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ate1904="1" codeName="ThisWorkbook"/>
  <mc:AlternateContent xmlns:mc="http://schemas.openxmlformats.org/markup-compatibility/2006">
    <mc:Choice Requires="x15">
      <x15ac:absPath xmlns:x15ac="http://schemas.microsoft.com/office/spreadsheetml/2010/11/ac" url="C:\Users\swm451\OneDrive - Northwestern University\Budget Templates\"/>
    </mc:Choice>
  </mc:AlternateContent>
  <xr:revisionPtr revIDLastSave="9" documentId="8_{6CE0B546-0E96-4C15-8D94-C14B968503EE}" xr6:coauthVersionLast="45" xr6:coauthVersionMax="45" xr10:uidLastSave="{BA250059-CA30-4544-8D1E-9EEBCAD8DEF4}"/>
  <bookViews>
    <workbookView xWindow="-120" yWindow="-120" windowWidth="29040" windowHeight="15840" tabRatio="878" activeTab="2" xr2:uid="{00000000-000D-0000-FFFF-FFFF00000000}"/>
  </bookViews>
  <sheets>
    <sheet name="Summary of All Budget Periods" sheetId="16" r:id="rId1"/>
    <sheet name="Cost Share Summary" sheetId="20" r:id="rId2"/>
    <sheet name="BP1" sheetId="2" r:id="rId3"/>
    <sheet name="BP2" sheetId="4" r:id="rId4"/>
    <sheet name="BP3" sheetId="5" r:id="rId5"/>
    <sheet name="BP4" sheetId="13" r:id="rId6"/>
    <sheet name="BP5" sheetId="14" r:id="rId7"/>
    <sheet name="Cumulative Budget" sheetId="6" r:id="rId8"/>
    <sheet name="Budget Justification" sheetId="18" r:id="rId9"/>
    <sheet name="Subaward Calculator" sheetId="23" r:id="rId10"/>
    <sheet name="Travel Calculator" sheetId="21" r:id="rId11"/>
    <sheet name="Questionnaire - WIP" sheetId="22" state="hidden" r:id="rId12"/>
    <sheet name="Lists" sheetId="9" r:id="rId13"/>
    <sheet name="Appendix A-Boilerplate Language" sheetId="19" r:id="rId14"/>
    <sheet name="Appendix B-Effort Calculator" sheetId="8" r:id="rId15"/>
    <sheet name="Appendix C-Grants.gov Form Info" sheetId="15" r:id="rId16"/>
    <sheet name="Appendix D-Rate Tables" sheetId="24" r:id="rId17"/>
    <sheet name="Appendix E -Change Log" sheetId="25" r:id="rId18"/>
  </sheets>
  <externalReferences>
    <externalReference r:id="rId19"/>
    <externalReference r:id="rId20"/>
    <externalReference r:id="rId21"/>
  </externalReferences>
  <definedNames>
    <definedName name="_xlnm._FilterDatabase" localSheetId="2" hidden="1">'BP1'!$U$1:$U$93</definedName>
    <definedName name="_xlnm._FilterDatabase" localSheetId="3" hidden="1">'BP2'!$R$1:$R$93</definedName>
    <definedName name="_xlnm._FilterDatabase" localSheetId="4" hidden="1">'BP3'!$R$1:$R$93</definedName>
    <definedName name="_xlnm._FilterDatabase" localSheetId="5" hidden="1">'BP4'!$R$1:$R$93</definedName>
    <definedName name="_xlnm._FilterDatabase" localSheetId="6" hidden="1">'BP5'!$R$1:$R$93</definedName>
    <definedName name="_xlnm._FilterDatabase" localSheetId="8" hidden="1">'Budget Justification'!$U$1:$U$79</definedName>
    <definedName name="_xlnm._FilterDatabase" localSheetId="1" hidden="1">'Cost Share Summary'!$T$1:$T$100</definedName>
    <definedName name="_xlnm._FilterDatabase" localSheetId="7" hidden="1">'Cumulative Budget'!$R$1:$R$90</definedName>
    <definedName name="_xlnm._FilterDatabase" localSheetId="11" hidden="1">'Questionnaire - WIP'!$A$1:$P$41</definedName>
    <definedName name="_xlnm._FilterDatabase" localSheetId="0" hidden="1">'Summary of All Budget Periods'!$I$1:$I$93</definedName>
    <definedName name="EndDateList">Lists!$B$2:$B$812</definedName>
    <definedName name="Federal">'Appendix A-Boilerplate Language'!$M$4:$M$8</definedName>
    <definedName name="FederalDoDContract">Lists!$S:$S</definedName>
    <definedName name="FederalOffCampus">Lists!$N:$N</definedName>
    <definedName name="FederalOnCampus">Lists!$R:$R</definedName>
    <definedName name="NIH" localSheetId="16">'[1]Appendix C-Grants.gov Form Info'!$D:$D</definedName>
    <definedName name="NIH">'Appendix C-Grants.gov Form Info'!$D:$D</definedName>
    <definedName name="NIHSalCap" localSheetId="16">'[1]Appendix C-Grants.gov Form Info'!$D$2</definedName>
    <definedName name="NIHSalCap">'Appendix C-Grants.gov Form Info'!$D$2</definedName>
    <definedName name="NonFederal">'Appendix A-Boilerplate Language'!$N$4:$N$7</definedName>
    <definedName name="NonFederalOffCampus">Lists!$P:$P</definedName>
    <definedName name="NonFederalOnCampus">Lists!$Q:$Q</definedName>
    <definedName name="_xlnm.Print_Area" localSheetId="13">'Appendix A-Boilerplate Language'!$A$1:$I$57</definedName>
    <definedName name="_xlnm.Print_Area" localSheetId="14">'Appendix B-Effort Calculator'!$A$1:$K$48</definedName>
    <definedName name="_xlnm.Print_Area" localSheetId="15">'Appendix C-Grants.gov Form Info'!$A$1:$B$68</definedName>
    <definedName name="_xlnm.Print_Area" localSheetId="16">'Appendix D-Rate Tables'!$A$4:$E$256</definedName>
    <definedName name="_xlnm.Print_Area" localSheetId="2">'BP1'!$A$1:$L$80</definedName>
    <definedName name="_xlnm.Print_Area" localSheetId="3">'BP2'!$A$1:$L$80</definedName>
    <definedName name="_xlnm.Print_Area" localSheetId="4">'BP3'!$A$1:$L$80</definedName>
    <definedName name="_xlnm.Print_Area" localSheetId="5">'BP4'!$A$1:$L$80</definedName>
    <definedName name="_xlnm.Print_Area" localSheetId="6">'BP5'!$A$1:$L$80</definedName>
    <definedName name="_xlnm.Print_Area" localSheetId="8">'Budget Justification'!$A$1:$H$68</definedName>
    <definedName name="_xlnm.Print_Area" localSheetId="1">'Cost Share Summary'!$A$1:$R$100</definedName>
    <definedName name="_xlnm.Print_Area" localSheetId="7">'Cumulative Budget'!$A$1:$L$80</definedName>
    <definedName name="_xlnm.Print_Area" localSheetId="12">Lists!$A$50:$N$217</definedName>
    <definedName name="_xlnm.Print_Area" localSheetId="9">'Subaward Calculator'!$A$4:$AG$46</definedName>
    <definedName name="_xlnm.Print_Area" localSheetId="0">'Summary of All Budget Periods'!$A$1:$G$93</definedName>
    <definedName name="_xlnm.Print_Area" localSheetId="10">'Travel Calculator'!$H$2:$Y$50</definedName>
    <definedName name="StartDateList" localSheetId="16">[1]Lists!$A:$A</definedName>
    <definedName name="StartDateList" localSheetId="1">[2]Lists!$A$2:$A$812</definedName>
    <definedName name="StartDateList" localSheetId="10">[3]Lists!$A$2:$A$812</definedName>
    <definedName name="StartDateList">Lists!$A:$A</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3" i="18" l="1"/>
  <c r="B72" i="18"/>
  <c r="B71" i="18"/>
  <c r="B70" i="18"/>
  <c r="B69" i="18"/>
  <c r="B68" i="18"/>
  <c r="B67" i="18"/>
  <c r="B66" i="18"/>
  <c r="A79" i="18" l="1"/>
  <c r="A78" i="18"/>
  <c r="A77" i="18"/>
  <c r="A76" i="18"/>
  <c r="A75" i="18"/>
  <c r="U75" i="18"/>
  <c r="U76" i="18"/>
  <c r="U77" i="18"/>
  <c r="U78" i="18"/>
  <c r="U79" i="18"/>
  <c r="A73" i="18"/>
  <c r="A72" i="18"/>
  <c r="A71" i="18"/>
  <c r="A70" i="18"/>
  <c r="A69" i="18"/>
  <c r="A68" i="18"/>
  <c r="K10" i="2" l="1"/>
  <c r="A4" i="18" l="1"/>
  <c r="O805" i="9" l="1"/>
  <c r="M805" i="9"/>
  <c r="F805" i="9"/>
  <c r="E805" i="9"/>
  <c r="D805" i="9"/>
  <c r="C805" i="9"/>
  <c r="O804" i="9"/>
  <c r="M804" i="9"/>
  <c r="F804" i="9"/>
  <c r="E804" i="9"/>
  <c r="D804" i="9"/>
  <c r="C804" i="9"/>
  <c r="O803" i="9"/>
  <c r="M803" i="9"/>
  <c r="F803" i="9"/>
  <c r="E803" i="9"/>
  <c r="D803" i="9"/>
  <c r="C803" i="9"/>
  <c r="O802" i="9"/>
  <c r="M802" i="9"/>
  <c r="F802" i="9"/>
  <c r="E802" i="9"/>
  <c r="D802" i="9"/>
  <c r="C802" i="9"/>
  <c r="O801" i="9"/>
  <c r="M801" i="9"/>
  <c r="F801" i="9"/>
  <c r="E801" i="9"/>
  <c r="D801" i="9"/>
  <c r="C801" i="9"/>
  <c r="O800" i="9"/>
  <c r="M800" i="9"/>
  <c r="F800" i="9"/>
  <c r="E800" i="9"/>
  <c r="D800" i="9"/>
  <c r="C800" i="9"/>
  <c r="O799" i="9"/>
  <c r="M799" i="9"/>
  <c r="F799" i="9"/>
  <c r="E799" i="9"/>
  <c r="D799" i="9"/>
  <c r="C799" i="9"/>
  <c r="O798" i="9"/>
  <c r="M798" i="9"/>
  <c r="F798" i="9"/>
  <c r="E798" i="9"/>
  <c r="D798" i="9"/>
  <c r="C798" i="9"/>
  <c r="O797" i="9"/>
  <c r="M797" i="9"/>
  <c r="F797" i="9"/>
  <c r="E797" i="9"/>
  <c r="D797" i="9"/>
  <c r="C797" i="9"/>
  <c r="O796" i="9"/>
  <c r="M796" i="9"/>
  <c r="F796" i="9"/>
  <c r="E796" i="9"/>
  <c r="D796" i="9"/>
  <c r="C796" i="9"/>
  <c r="O795" i="9"/>
  <c r="M795" i="9"/>
  <c r="F795" i="9"/>
  <c r="E795" i="9"/>
  <c r="D795" i="9"/>
  <c r="C795" i="9"/>
  <c r="O794" i="9"/>
  <c r="M794" i="9"/>
  <c r="F794" i="9"/>
  <c r="E794" i="9"/>
  <c r="D794" i="9"/>
  <c r="C794" i="9"/>
  <c r="O793" i="9"/>
  <c r="M793" i="9"/>
  <c r="F793" i="9"/>
  <c r="E793" i="9"/>
  <c r="D793" i="9"/>
  <c r="C793" i="9"/>
  <c r="O792" i="9"/>
  <c r="M792" i="9"/>
  <c r="F792" i="9"/>
  <c r="E792" i="9"/>
  <c r="D792" i="9"/>
  <c r="C792" i="9"/>
  <c r="O791" i="9"/>
  <c r="M791" i="9"/>
  <c r="F791" i="9"/>
  <c r="E791" i="9"/>
  <c r="D791" i="9"/>
  <c r="C791" i="9"/>
  <c r="O790" i="9"/>
  <c r="M790" i="9"/>
  <c r="F790" i="9"/>
  <c r="E790" i="9"/>
  <c r="D790" i="9"/>
  <c r="C790" i="9"/>
  <c r="O789" i="9"/>
  <c r="M789" i="9"/>
  <c r="F789" i="9"/>
  <c r="E789" i="9"/>
  <c r="D789" i="9"/>
  <c r="C789" i="9"/>
  <c r="O788" i="9"/>
  <c r="M788" i="9"/>
  <c r="F788" i="9"/>
  <c r="E788" i="9"/>
  <c r="D788" i="9"/>
  <c r="C788" i="9"/>
  <c r="O787" i="9"/>
  <c r="M787" i="9"/>
  <c r="F787" i="9"/>
  <c r="E787" i="9"/>
  <c r="D787" i="9"/>
  <c r="C787" i="9"/>
  <c r="O786" i="9"/>
  <c r="M786" i="9"/>
  <c r="F786" i="9"/>
  <c r="E786" i="9"/>
  <c r="D786" i="9"/>
  <c r="C786" i="9"/>
  <c r="O785" i="9"/>
  <c r="M785" i="9"/>
  <c r="F785" i="9"/>
  <c r="E785" i="9"/>
  <c r="D785" i="9"/>
  <c r="C785" i="9"/>
  <c r="O784" i="9"/>
  <c r="M784" i="9"/>
  <c r="F784" i="9"/>
  <c r="E784" i="9"/>
  <c r="D784" i="9"/>
  <c r="C784" i="9"/>
  <c r="O783" i="9"/>
  <c r="M783" i="9"/>
  <c r="F783" i="9"/>
  <c r="E783" i="9"/>
  <c r="D783" i="9"/>
  <c r="C783" i="9"/>
  <c r="O782" i="9"/>
  <c r="M782" i="9"/>
  <c r="F782" i="9"/>
  <c r="E782" i="9"/>
  <c r="D782" i="9"/>
  <c r="C782" i="9"/>
  <c r="O781" i="9"/>
  <c r="M781" i="9"/>
  <c r="F781" i="9"/>
  <c r="E781" i="9"/>
  <c r="D781" i="9"/>
  <c r="C781" i="9"/>
  <c r="O780" i="9"/>
  <c r="M780" i="9"/>
  <c r="F780" i="9"/>
  <c r="E780" i="9"/>
  <c r="D780" i="9"/>
  <c r="C780" i="9"/>
  <c r="O779" i="9"/>
  <c r="M779" i="9"/>
  <c r="F779" i="9"/>
  <c r="E779" i="9"/>
  <c r="D779" i="9"/>
  <c r="C779" i="9"/>
  <c r="O778" i="9"/>
  <c r="M778" i="9"/>
  <c r="F778" i="9"/>
  <c r="E778" i="9"/>
  <c r="D778" i="9"/>
  <c r="C778" i="9"/>
  <c r="O777" i="9"/>
  <c r="M777" i="9"/>
  <c r="F777" i="9"/>
  <c r="E777" i="9"/>
  <c r="D777" i="9"/>
  <c r="C777" i="9"/>
  <c r="O776" i="9"/>
  <c r="M776" i="9"/>
  <c r="F776" i="9"/>
  <c r="E776" i="9"/>
  <c r="D776" i="9"/>
  <c r="C776" i="9"/>
  <c r="O775" i="9"/>
  <c r="M775" i="9"/>
  <c r="F775" i="9"/>
  <c r="E775" i="9"/>
  <c r="D775" i="9"/>
  <c r="C775" i="9"/>
  <c r="O774" i="9"/>
  <c r="M774" i="9"/>
  <c r="F774" i="9"/>
  <c r="E774" i="9"/>
  <c r="D774" i="9"/>
  <c r="C774" i="9"/>
  <c r="O773" i="9"/>
  <c r="M773" i="9"/>
  <c r="F773" i="9"/>
  <c r="E773" i="9"/>
  <c r="D773" i="9"/>
  <c r="C773" i="9"/>
  <c r="O772" i="9"/>
  <c r="M772" i="9"/>
  <c r="F772" i="9"/>
  <c r="E772" i="9"/>
  <c r="D772" i="9"/>
  <c r="C772" i="9"/>
  <c r="O771" i="9"/>
  <c r="M771" i="9"/>
  <c r="F771" i="9"/>
  <c r="E771" i="9"/>
  <c r="D771" i="9"/>
  <c r="C771" i="9"/>
  <c r="O770" i="9"/>
  <c r="M770" i="9"/>
  <c r="F770" i="9"/>
  <c r="E770" i="9"/>
  <c r="D770" i="9"/>
  <c r="C770" i="9"/>
  <c r="O769" i="9"/>
  <c r="M769" i="9"/>
  <c r="F769" i="9"/>
  <c r="E769" i="9"/>
  <c r="D769" i="9"/>
  <c r="C769" i="9"/>
  <c r="O768" i="9"/>
  <c r="M768" i="9"/>
  <c r="F768" i="9"/>
  <c r="E768" i="9"/>
  <c r="D768" i="9"/>
  <c r="C768" i="9"/>
  <c r="O767" i="9"/>
  <c r="M767" i="9"/>
  <c r="F767" i="9"/>
  <c r="E767" i="9"/>
  <c r="D767" i="9"/>
  <c r="C767" i="9"/>
  <c r="O766" i="9"/>
  <c r="M766" i="9"/>
  <c r="F766" i="9"/>
  <c r="E766" i="9"/>
  <c r="D766" i="9"/>
  <c r="C766" i="9"/>
  <c r="O765" i="9"/>
  <c r="M765" i="9"/>
  <c r="F765" i="9"/>
  <c r="E765" i="9"/>
  <c r="D765" i="9"/>
  <c r="C765" i="9"/>
  <c r="O764" i="9"/>
  <c r="M764" i="9"/>
  <c r="F764" i="9"/>
  <c r="E764" i="9"/>
  <c r="D764" i="9"/>
  <c r="C764" i="9"/>
  <c r="O763" i="9"/>
  <c r="M763" i="9"/>
  <c r="F763" i="9"/>
  <c r="E763" i="9"/>
  <c r="D763" i="9"/>
  <c r="C763" i="9"/>
  <c r="O762" i="9"/>
  <c r="M762" i="9"/>
  <c r="F762" i="9"/>
  <c r="E762" i="9"/>
  <c r="D762" i="9"/>
  <c r="C762" i="9"/>
  <c r="O761" i="9"/>
  <c r="M761" i="9"/>
  <c r="F761" i="9"/>
  <c r="E761" i="9"/>
  <c r="D761" i="9"/>
  <c r="C761" i="9"/>
  <c r="O760" i="9"/>
  <c r="M760" i="9"/>
  <c r="F760" i="9"/>
  <c r="E760" i="9"/>
  <c r="D760" i="9"/>
  <c r="C760" i="9"/>
  <c r="O759" i="9"/>
  <c r="M759" i="9"/>
  <c r="F759" i="9"/>
  <c r="E759" i="9"/>
  <c r="D759" i="9"/>
  <c r="C759" i="9"/>
  <c r="O758" i="9"/>
  <c r="M758" i="9"/>
  <c r="F758" i="9"/>
  <c r="E758" i="9"/>
  <c r="D758" i="9"/>
  <c r="C758" i="9"/>
  <c r="O757" i="9"/>
  <c r="M757" i="9"/>
  <c r="F757" i="9"/>
  <c r="E757" i="9"/>
  <c r="D757" i="9"/>
  <c r="C757" i="9"/>
  <c r="O756" i="9"/>
  <c r="M756" i="9"/>
  <c r="F756" i="9"/>
  <c r="E756" i="9"/>
  <c r="D756" i="9"/>
  <c r="C756" i="9"/>
  <c r="O755" i="9"/>
  <c r="M755" i="9"/>
  <c r="F755" i="9"/>
  <c r="E755" i="9"/>
  <c r="D755" i="9"/>
  <c r="C755" i="9"/>
  <c r="O754" i="9"/>
  <c r="M754" i="9"/>
  <c r="F754" i="9"/>
  <c r="E754" i="9"/>
  <c r="D754" i="9"/>
  <c r="C754" i="9"/>
  <c r="O753" i="9"/>
  <c r="M753" i="9"/>
  <c r="F753" i="9"/>
  <c r="E753" i="9"/>
  <c r="D753" i="9"/>
  <c r="C753" i="9"/>
  <c r="O752" i="9"/>
  <c r="M752" i="9"/>
  <c r="F752" i="9"/>
  <c r="E752" i="9"/>
  <c r="D752" i="9"/>
  <c r="C752" i="9"/>
  <c r="O751" i="9"/>
  <c r="M751" i="9"/>
  <c r="F751" i="9"/>
  <c r="E751" i="9"/>
  <c r="D751" i="9"/>
  <c r="C751" i="9"/>
  <c r="O750" i="9"/>
  <c r="M750" i="9"/>
  <c r="F750" i="9"/>
  <c r="E750" i="9"/>
  <c r="D750" i="9"/>
  <c r="C750" i="9"/>
  <c r="O749" i="9"/>
  <c r="M749" i="9"/>
  <c r="F749" i="9"/>
  <c r="E749" i="9"/>
  <c r="D749" i="9"/>
  <c r="C749" i="9"/>
  <c r="O748" i="9"/>
  <c r="M748" i="9"/>
  <c r="F748" i="9"/>
  <c r="E748" i="9"/>
  <c r="D748" i="9"/>
  <c r="C748" i="9"/>
  <c r="O747" i="9"/>
  <c r="M747" i="9"/>
  <c r="F747" i="9"/>
  <c r="E747" i="9"/>
  <c r="D747" i="9"/>
  <c r="C747" i="9"/>
  <c r="O746" i="9"/>
  <c r="M746" i="9"/>
  <c r="F746" i="9"/>
  <c r="E746" i="9"/>
  <c r="D746" i="9"/>
  <c r="C746" i="9"/>
  <c r="O745" i="9"/>
  <c r="M745" i="9"/>
  <c r="F745" i="9"/>
  <c r="E745" i="9"/>
  <c r="D745" i="9"/>
  <c r="C745" i="9"/>
  <c r="O744" i="9"/>
  <c r="M744" i="9"/>
  <c r="F744" i="9"/>
  <c r="E744" i="9"/>
  <c r="D744" i="9"/>
  <c r="C744" i="9"/>
  <c r="O743" i="9"/>
  <c r="M743" i="9"/>
  <c r="F743" i="9"/>
  <c r="E743" i="9"/>
  <c r="D743" i="9"/>
  <c r="C743" i="9"/>
  <c r="O742" i="9"/>
  <c r="M742" i="9"/>
  <c r="F742" i="9"/>
  <c r="E742" i="9"/>
  <c r="D742" i="9"/>
  <c r="C742" i="9"/>
  <c r="O741" i="9"/>
  <c r="M741" i="9"/>
  <c r="F741" i="9"/>
  <c r="E741" i="9"/>
  <c r="D741" i="9"/>
  <c r="C741" i="9"/>
  <c r="O740" i="9"/>
  <c r="M740" i="9"/>
  <c r="F740" i="9"/>
  <c r="E740" i="9"/>
  <c r="D740" i="9"/>
  <c r="C740" i="9"/>
  <c r="O739" i="9"/>
  <c r="M739" i="9"/>
  <c r="F739" i="9"/>
  <c r="E739" i="9"/>
  <c r="D739" i="9"/>
  <c r="C739" i="9"/>
  <c r="O738" i="9"/>
  <c r="M738" i="9"/>
  <c r="F738" i="9"/>
  <c r="E738" i="9"/>
  <c r="D738" i="9"/>
  <c r="C738" i="9"/>
  <c r="O737" i="9"/>
  <c r="M737" i="9"/>
  <c r="F737" i="9"/>
  <c r="E737" i="9"/>
  <c r="D737" i="9"/>
  <c r="C737" i="9"/>
  <c r="O736" i="9"/>
  <c r="M736" i="9"/>
  <c r="F736" i="9"/>
  <c r="E736" i="9"/>
  <c r="D736" i="9"/>
  <c r="C736" i="9"/>
  <c r="O735" i="9"/>
  <c r="M735" i="9"/>
  <c r="F735" i="9"/>
  <c r="E735" i="9"/>
  <c r="D735" i="9"/>
  <c r="C735" i="9"/>
  <c r="O734" i="9"/>
  <c r="M734" i="9"/>
  <c r="F734" i="9"/>
  <c r="E734" i="9"/>
  <c r="D734" i="9"/>
  <c r="C734" i="9"/>
  <c r="O733" i="9"/>
  <c r="M733" i="9"/>
  <c r="F733" i="9"/>
  <c r="E733" i="9"/>
  <c r="D733" i="9"/>
  <c r="C733" i="9"/>
  <c r="O732" i="9"/>
  <c r="M732" i="9"/>
  <c r="F732" i="9"/>
  <c r="E732" i="9"/>
  <c r="D732" i="9"/>
  <c r="C732" i="9"/>
  <c r="O731" i="9"/>
  <c r="M731" i="9"/>
  <c r="F731" i="9"/>
  <c r="E731" i="9"/>
  <c r="D731" i="9"/>
  <c r="C731" i="9"/>
  <c r="O730" i="9"/>
  <c r="M730" i="9"/>
  <c r="F730" i="9"/>
  <c r="E730" i="9"/>
  <c r="D730" i="9"/>
  <c r="C730" i="9"/>
  <c r="O729" i="9"/>
  <c r="M729" i="9"/>
  <c r="F729" i="9"/>
  <c r="E729" i="9"/>
  <c r="D729" i="9"/>
  <c r="C729" i="9"/>
  <c r="O728" i="9"/>
  <c r="M728" i="9"/>
  <c r="F728" i="9"/>
  <c r="E728" i="9"/>
  <c r="D728" i="9"/>
  <c r="C728" i="9"/>
  <c r="O727" i="9"/>
  <c r="M727" i="9"/>
  <c r="F727" i="9"/>
  <c r="E727" i="9"/>
  <c r="D727" i="9"/>
  <c r="C727" i="9"/>
  <c r="O726" i="9"/>
  <c r="M726" i="9"/>
  <c r="F726" i="9"/>
  <c r="E726" i="9"/>
  <c r="D726" i="9"/>
  <c r="C726" i="9"/>
  <c r="O725" i="9"/>
  <c r="M725" i="9"/>
  <c r="F725" i="9"/>
  <c r="E725" i="9"/>
  <c r="D725" i="9"/>
  <c r="C725" i="9"/>
  <c r="O724" i="9"/>
  <c r="M724" i="9"/>
  <c r="F724" i="9"/>
  <c r="E724" i="9"/>
  <c r="D724" i="9"/>
  <c r="C724" i="9"/>
  <c r="O723" i="9"/>
  <c r="M723" i="9"/>
  <c r="F723" i="9"/>
  <c r="E723" i="9"/>
  <c r="D723" i="9"/>
  <c r="C723" i="9"/>
  <c r="O722" i="9"/>
  <c r="M722" i="9"/>
  <c r="F722" i="9"/>
  <c r="E722" i="9"/>
  <c r="D722" i="9"/>
  <c r="C722" i="9"/>
  <c r="O721" i="9"/>
  <c r="M721" i="9"/>
  <c r="F721" i="9"/>
  <c r="E721" i="9"/>
  <c r="D721" i="9"/>
  <c r="C721" i="9"/>
  <c r="O720" i="9"/>
  <c r="M720" i="9"/>
  <c r="F720" i="9"/>
  <c r="E720" i="9"/>
  <c r="D720" i="9"/>
  <c r="C720" i="9"/>
  <c r="O719" i="9"/>
  <c r="M719" i="9"/>
  <c r="F719" i="9"/>
  <c r="E719" i="9"/>
  <c r="D719" i="9"/>
  <c r="C719" i="9"/>
  <c r="O718" i="9"/>
  <c r="M718" i="9"/>
  <c r="F718" i="9"/>
  <c r="E718" i="9"/>
  <c r="D718" i="9"/>
  <c r="C718" i="9"/>
  <c r="O717" i="9"/>
  <c r="M717" i="9"/>
  <c r="F717" i="9"/>
  <c r="E717" i="9"/>
  <c r="D717" i="9"/>
  <c r="C717" i="9"/>
  <c r="O716" i="9"/>
  <c r="M716" i="9"/>
  <c r="F716" i="9"/>
  <c r="E716" i="9"/>
  <c r="D716" i="9"/>
  <c r="C716" i="9"/>
  <c r="O715" i="9"/>
  <c r="M715" i="9"/>
  <c r="F715" i="9"/>
  <c r="E715" i="9"/>
  <c r="D715" i="9"/>
  <c r="C715" i="9"/>
  <c r="O714" i="9"/>
  <c r="M714" i="9"/>
  <c r="F714" i="9"/>
  <c r="E714" i="9"/>
  <c r="D714" i="9"/>
  <c r="C714" i="9"/>
  <c r="O713" i="9"/>
  <c r="M713" i="9"/>
  <c r="F713" i="9"/>
  <c r="E713" i="9"/>
  <c r="D713" i="9"/>
  <c r="C713" i="9"/>
  <c r="O712" i="9"/>
  <c r="M712" i="9"/>
  <c r="F712" i="9"/>
  <c r="E712" i="9"/>
  <c r="D712" i="9"/>
  <c r="C712" i="9"/>
  <c r="O711" i="9"/>
  <c r="M711" i="9"/>
  <c r="F711" i="9"/>
  <c r="E711" i="9"/>
  <c r="D711" i="9"/>
  <c r="C711" i="9"/>
  <c r="O710" i="9"/>
  <c r="M710" i="9"/>
  <c r="F710" i="9"/>
  <c r="E710" i="9"/>
  <c r="D710" i="9"/>
  <c r="C710" i="9"/>
  <c r="O709" i="9"/>
  <c r="M709" i="9"/>
  <c r="F709" i="9"/>
  <c r="E709" i="9"/>
  <c r="D709" i="9"/>
  <c r="C709" i="9"/>
  <c r="O708" i="9"/>
  <c r="M708" i="9"/>
  <c r="F708" i="9"/>
  <c r="E708" i="9"/>
  <c r="D708" i="9"/>
  <c r="C708" i="9"/>
  <c r="O707" i="9"/>
  <c r="M707" i="9"/>
  <c r="F707" i="9"/>
  <c r="E707" i="9"/>
  <c r="D707" i="9"/>
  <c r="C707" i="9"/>
  <c r="O706" i="9"/>
  <c r="M706" i="9"/>
  <c r="F706" i="9"/>
  <c r="E706" i="9"/>
  <c r="D706" i="9"/>
  <c r="C706" i="9"/>
  <c r="O705" i="9"/>
  <c r="M705" i="9"/>
  <c r="F705" i="9"/>
  <c r="E705" i="9"/>
  <c r="D705" i="9"/>
  <c r="C705" i="9"/>
  <c r="O704" i="9"/>
  <c r="M704" i="9"/>
  <c r="F704" i="9"/>
  <c r="E704" i="9"/>
  <c r="D704" i="9"/>
  <c r="C704" i="9"/>
  <c r="O703" i="9"/>
  <c r="M703" i="9"/>
  <c r="F703" i="9"/>
  <c r="E703" i="9"/>
  <c r="D703" i="9"/>
  <c r="C703" i="9"/>
  <c r="O702" i="9"/>
  <c r="M702" i="9"/>
  <c r="F702" i="9"/>
  <c r="E702" i="9"/>
  <c r="D702" i="9"/>
  <c r="C702" i="9"/>
  <c r="O701" i="9"/>
  <c r="M701" i="9"/>
  <c r="F701" i="9"/>
  <c r="E701" i="9"/>
  <c r="D701" i="9"/>
  <c r="C701" i="9"/>
  <c r="O700" i="9"/>
  <c r="M700" i="9"/>
  <c r="F700" i="9"/>
  <c r="E700" i="9"/>
  <c r="D700" i="9"/>
  <c r="C700" i="9"/>
  <c r="O699" i="9"/>
  <c r="M699" i="9"/>
  <c r="F699" i="9"/>
  <c r="E699" i="9"/>
  <c r="D699" i="9"/>
  <c r="C699" i="9"/>
  <c r="O698" i="9"/>
  <c r="M698" i="9"/>
  <c r="F698" i="9"/>
  <c r="E698" i="9"/>
  <c r="D698" i="9"/>
  <c r="C698" i="9"/>
  <c r="O697" i="9"/>
  <c r="M697" i="9"/>
  <c r="F697" i="9"/>
  <c r="E697" i="9"/>
  <c r="D697" i="9"/>
  <c r="C697" i="9"/>
  <c r="O696" i="9"/>
  <c r="M696" i="9"/>
  <c r="F696" i="9"/>
  <c r="E696" i="9"/>
  <c r="D696" i="9"/>
  <c r="C696" i="9"/>
  <c r="O695" i="9"/>
  <c r="M695" i="9"/>
  <c r="F695" i="9"/>
  <c r="E695" i="9"/>
  <c r="D695" i="9"/>
  <c r="C695" i="9"/>
  <c r="O694" i="9"/>
  <c r="M694" i="9"/>
  <c r="F694" i="9"/>
  <c r="E694" i="9"/>
  <c r="D694" i="9"/>
  <c r="C694" i="9"/>
  <c r="O693" i="9"/>
  <c r="M693" i="9"/>
  <c r="F693" i="9"/>
  <c r="E693" i="9"/>
  <c r="D693" i="9"/>
  <c r="C693" i="9"/>
  <c r="O692" i="9"/>
  <c r="M692" i="9"/>
  <c r="F692" i="9"/>
  <c r="E692" i="9"/>
  <c r="D692" i="9"/>
  <c r="C692" i="9"/>
  <c r="O691" i="9"/>
  <c r="M691" i="9"/>
  <c r="F691" i="9"/>
  <c r="E691" i="9"/>
  <c r="D691" i="9"/>
  <c r="C691" i="9"/>
  <c r="O690" i="9"/>
  <c r="M690" i="9"/>
  <c r="F690" i="9"/>
  <c r="E690" i="9"/>
  <c r="D690" i="9"/>
  <c r="C690" i="9"/>
  <c r="O689" i="9"/>
  <c r="M689" i="9"/>
  <c r="F689" i="9"/>
  <c r="E689" i="9"/>
  <c r="D689" i="9"/>
  <c r="C689" i="9"/>
  <c r="O688" i="9"/>
  <c r="M688" i="9"/>
  <c r="F688" i="9"/>
  <c r="E688" i="9"/>
  <c r="D688" i="9"/>
  <c r="C688" i="9"/>
  <c r="O687" i="9"/>
  <c r="M687" i="9"/>
  <c r="F687" i="9"/>
  <c r="E687" i="9"/>
  <c r="D687" i="9"/>
  <c r="C687" i="9"/>
  <c r="O686" i="9"/>
  <c r="M686" i="9"/>
  <c r="F686" i="9"/>
  <c r="E686" i="9"/>
  <c r="D686" i="9"/>
  <c r="C686" i="9"/>
  <c r="O685" i="9"/>
  <c r="M685" i="9"/>
  <c r="F685" i="9"/>
  <c r="E685" i="9"/>
  <c r="D685" i="9"/>
  <c r="C685" i="9"/>
  <c r="O684" i="9"/>
  <c r="M684" i="9"/>
  <c r="F684" i="9"/>
  <c r="E684" i="9"/>
  <c r="D684" i="9"/>
  <c r="C684" i="9"/>
  <c r="O683" i="9"/>
  <c r="M683" i="9"/>
  <c r="F683" i="9"/>
  <c r="E683" i="9"/>
  <c r="D683" i="9"/>
  <c r="C683" i="9"/>
  <c r="O682" i="9"/>
  <c r="M682" i="9"/>
  <c r="F682" i="9"/>
  <c r="E682" i="9"/>
  <c r="D682" i="9"/>
  <c r="C682" i="9"/>
  <c r="O681" i="9"/>
  <c r="M681" i="9"/>
  <c r="F681" i="9"/>
  <c r="E681" i="9"/>
  <c r="D681" i="9"/>
  <c r="C681" i="9"/>
  <c r="O680" i="9"/>
  <c r="M680" i="9"/>
  <c r="F680" i="9"/>
  <c r="E680" i="9"/>
  <c r="D680" i="9"/>
  <c r="C680" i="9"/>
  <c r="O679" i="9"/>
  <c r="M679" i="9"/>
  <c r="F679" i="9"/>
  <c r="E679" i="9"/>
  <c r="D679" i="9"/>
  <c r="C679" i="9"/>
  <c r="O678" i="9"/>
  <c r="M678" i="9"/>
  <c r="F678" i="9"/>
  <c r="E678" i="9"/>
  <c r="D678" i="9"/>
  <c r="C678" i="9"/>
  <c r="O677" i="9"/>
  <c r="M677" i="9"/>
  <c r="F677" i="9"/>
  <c r="E677" i="9"/>
  <c r="D677" i="9"/>
  <c r="C677" i="9"/>
  <c r="O676" i="9"/>
  <c r="M676" i="9"/>
  <c r="F676" i="9"/>
  <c r="E676" i="9"/>
  <c r="D676" i="9"/>
  <c r="C676" i="9"/>
  <c r="O675" i="9"/>
  <c r="M675" i="9"/>
  <c r="F675" i="9"/>
  <c r="E675" i="9"/>
  <c r="D675" i="9"/>
  <c r="C675" i="9"/>
  <c r="O674" i="9"/>
  <c r="M674" i="9"/>
  <c r="F674" i="9"/>
  <c r="E674" i="9"/>
  <c r="D674" i="9"/>
  <c r="C674" i="9"/>
  <c r="O673" i="9"/>
  <c r="M673" i="9"/>
  <c r="F673" i="9"/>
  <c r="E673" i="9"/>
  <c r="D673" i="9"/>
  <c r="C673" i="9"/>
  <c r="O672" i="9"/>
  <c r="M672" i="9"/>
  <c r="F672" i="9"/>
  <c r="E672" i="9"/>
  <c r="D672" i="9"/>
  <c r="C672" i="9"/>
  <c r="O671" i="9"/>
  <c r="M671" i="9"/>
  <c r="F671" i="9"/>
  <c r="E671" i="9"/>
  <c r="D671" i="9"/>
  <c r="C671" i="9"/>
  <c r="O670" i="9"/>
  <c r="M670" i="9"/>
  <c r="F670" i="9"/>
  <c r="E670" i="9"/>
  <c r="D670" i="9"/>
  <c r="C670" i="9"/>
  <c r="O669" i="9"/>
  <c r="M669" i="9"/>
  <c r="F669" i="9"/>
  <c r="E669" i="9"/>
  <c r="D669" i="9"/>
  <c r="C669" i="9"/>
  <c r="O668" i="9"/>
  <c r="M668" i="9"/>
  <c r="F668" i="9"/>
  <c r="E668" i="9"/>
  <c r="D668" i="9"/>
  <c r="C668" i="9"/>
  <c r="O667" i="9"/>
  <c r="M667" i="9"/>
  <c r="F667" i="9"/>
  <c r="E667" i="9"/>
  <c r="D667" i="9"/>
  <c r="C667" i="9"/>
  <c r="O666" i="9"/>
  <c r="M666" i="9"/>
  <c r="F666" i="9"/>
  <c r="E666" i="9"/>
  <c r="D666" i="9"/>
  <c r="C666" i="9"/>
  <c r="O665" i="9"/>
  <c r="M665" i="9"/>
  <c r="F665" i="9"/>
  <c r="E665" i="9"/>
  <c r="D665" i="9"/>
  <c r="C665" i="9"/>
  <c r="O664" i="9"/>
  <c r="M664" i="9"/>
  <c r="F664" i="9"/>
  <c r="E664" i="9"/>
  <c r="D664" i="9"/>
  <c r="C664" i="9"/>
  <c r="O663" i="9"/>
  <c r="M663" i="9"/>
  <c r="F663" i="9"/>
  <c r="E663" i="9"/>
  <c r="D663" i="9"/>
  <c r="C663" i="9"/>
  <c r="O662" i="9"/>
  <c r="M662" i="9"/>
  <c r="F662" i="9"/>
  <c r="E662" i="9"/>
  <c r="D662" i="9"/>
  <c r="C662" i="9"/>
  <c r="O661" i="9"/>
  <c r="M661" i="9"/>
  <c r="F661" i="9"/>
  <c r="E661" i="9"/>
  <c r="D661" i="9"/>
  <c r="C661" i="9"/>
  <c r="O660" i="9"/>
  <c r="M660" i="9"/>
  <c r="F660" i="9"/>
  <c r="E660" i="9"/>
  <c r="D660" i="9"/>
  <c r="C660" i="9"/>
  <c r="O659" i="9"/>
  <c r="M659" i="9"/>
  <c r="F659" i="9"/>
  <c r="E659" i="9"/>
  <c r="D659" i="9"/>
  <c r="C659" i="9"/>
  <c r="O658" i="9"/>
  <c r="M658" i="9"/>
  <c r="F658" i="9"/>
  <c r="E658" i="9"/>
  <c r="D658" i="9"/>
  <c r="C658" i="9"/>
  <c r="O657" i="9"/>
  <c r="M657" i="9"/>
  <c r="F657" i="9"/>
  <c r="E657" i="9"/>
  <c r="D657" i="9"/>
  <c r="C657" i="9"/>
  <c r="O656" i="9"/>
  <c r="M656" i="9"/>
  <c r="F656" i="9"/>
  <c r="E656" i="9"/>
  <c r="D656" i="9"/>
  <c r="C656" i="9"/>
  <c r="O655" i="9"/>
  <c r="M655" i="9"/>
  <c r="F655" i="9"/>
  <c r="E655" i="9"/>
  <c r="D655" i="9"/>
  <c r="C655" i="9"/>
  <c r="O654" i="9"/>
  <c r="M654" i="9"/>
  <c r="F654" i="9"/>
  <c r="E654" i="9"/>
  <c r="D654" i="9"/>
  <c r="C654" i="9"/>
  <c r="O653" i="9"/>
  <c r="M653" i="9"/>
  <c r="F653" i="9"/>
  <c r="E653" i="9"/>
  <c r="D653" i="9"/>
  <c r="C653" i="9"/>
  <c r="O652" i="9"/>
  <c r="M652" i="9"/>
  <c r="F652" i="9"/>
  <c r="E652" i="9"/>
  <c r="D652" i="9"/>
  <c r="C652" i="9"/>
  <c r="O651" i="9"/>
  <c r="M651" i="9"/>
  <c r="F651" i="9"/>
  <c r="E651" i="9"/>
  <c r="D651" i="9"/>
  <c r="C651" i="9"/>
  <c r="O650" i="9"/>
  <c r="M650" i="9"/>
  <c r="F650" i="9"/>
  <c r="E650" i="9"/>
  <c r="D650" i="9"/>
  <c r="C650" i="9"/>
  <c r="O649" i="9"/>
  <c r="M649" i="9"/>
  <c r="F649" i="9"/>
  <c r="E649" i="9"/>
  <c r="D649" i="9"/>
  <c r="C649" i="9"/>
  <c r="O648" i="9"/>
  <c r="M648" i="9"/>
  <c r="F648" i="9"/>
  <c r="E648" i="9"/>
  <c r="D648" i="9"/>
  <c r="C648" i="9"/>
  <c r="O647" i="9"/>
  <c r="M647" i="9"/>
  <c r="F647" i="9"/>
  <c r="E647" i="9"/>
  <c r="D647" i="9"/>
  <c r="C647" i="9"/>
  <c r="O646" i="9"/>
  <c r="M646" i="9"/>
  <c r="F646" i="9"/>
  <c r="E646" i="9"/>
  <c r="D646" i="9"/>
  <c r="C646" i="9"/>
  <c r="O645" i="9"/>
  <c r="M645" i="9"/>
  <c r="F645" i="9"/>
  <c r="E645" i="9"/>
  <c r="D645" i="9"/>
  <c r="C645" i="9"/>
  <c r="O644" i="9"/>
  <c r="M644" i="9"/>
  <c r="F644" i="9"/>
  <c r="E644" i="9"/>
  <c r="D644" i="9"/>
  <c r="C644" i="9"/>
  <c r="O643" i="9"/>
  <c r="M643" i="9"/>
  <c r="F643" i="9"/>
  <c r="E643" i="9"/>
  <c r="D643" i="9"/>
  <c r="C643" i="9"/>
  <c r="O642" i="9"/>
  <c r="M642" i="9"/>
  <c r="F642" i="9"/>
  <c r="E642" i="9"/>
  <c r="D642" i="9"/>
  <c r="C642" i="9"/>
  <c r="O641" i="9"/>
  <c r="M641" i="9"/>
  <c r="F641" i="9"/>
  <c r="E641" i="9"/>
  <c r="D641" i="9"/>
  <c r="C641" i="9"/>
  <c r="O640" i="9"/>
  <c r="M640" i="9"/>
  <c r="F640" i="9"/>
  <c r="E640" i="9"/>
  <c r="D640" i="9"/>
  <c r="C640" i="9"/>
  <c r="O639" i="9"/>
  <c r="M639" i="9"/>
  <c r="F639" i="9"/>
  <c r="E639" i="9"/>
  <c r="D639" i="9"/>
  <c r="C639" i="9"/>
  <c r="O638" i="9"/>
  <c r="M638" i="9"/>
  <c r="F638" i="9"/>
  <c r="E638" i="9"/>
  <c r="D638" i="9"/>
  <c r="C638" i="9"/>
  <c r="O637" i="9"/>
  <c r="M637" i="9"/>
  <c r="F637" i="9"/>
  <c r="E637" i="9"/>
  <c r="D637" i="9"/>
  <c r="C637" i="9"/>
  <c r="O636" i="9"/>
  <c r="M636" i="9"/>
  <c r="F636" i="9"/>
  <c r="E636" i="9"/>
  <c r="D636" i="9"/>
  <c r="C636" i="9"/>
  <c r="O635" i="9"/>
  <c r="M635" i="9"/>
  <c r="F635" i="9"/>
  <c r="E635" i="9"/>
  <c r="D635" i="9"/>
  <c r="C635" i="9"/>
  <c r="O634" i="9"/>
  <c r="M634" i="9"/>
  <c r="F634" i="9"/>
  <c r="E634" i="9"/>
  <c r="D634" i="9"/>
  <c r="C634" i="9"/>
  <c r="O633" i="9"/>
  <c r="M633" i="9"/>
  <c r="F633" i="9"/>
  <c r="E633" i="9"/>
  <c r="D633" i="9"/>
  <c r="C633" i="9"/>
  <c r="O632" i="9"/>
  <c r="M632" i="9"/>
  <c r="F632" i="9"/>
  <c r="E632" i="9"/>
  <c r="D632" i="9"/>
  <c r="C632" i="9"/>
  <c r="O631" i="9"/>
  <c r="M631" i="9"/>
  <c r="F631" i="9"/>
  <c r="E631" i="9"/>
  <c r="D631" i="9"/>
  <c r="C631" i="9"/>
  <c r="O630" i="9"/>
  <c r="M630" i="9"/>
  <c r="F630" i="9"/>
  <c r="E630" i="9"/>
  <c r="D630" i="9"/>
  <c r="C630" i="9"/>
  <c r="O629" i="9"/>
  <c r="M629" i="9"/>
  <c r="F629" i="9"/>
  <c r="E629" i="9"/>
  <c r="D629" i="9"/>
  <c r="C629" i="9"/>
  <c r="O628" i="9"/>
  <c r="M628" i="9"/>
  <c r="F628" i="9"/>
  <c r="E628" i="9"/>
  <c r="D628" i="9"/>
  <c r="C628" i="9"/>
  <c r="O627" i="9"/>
  <c r="M627" i="9"/>
  <c r="F627" i="9"/>
  <c r="E627" i="9"/>
  <c r="D627" i="9"/>
  <c r="C627" i="9"/>
  <c r="O626" i="9"/>
  <c r="M626" i="9"/>
  <c r="F626" i="9"/>
  <c r="E626" i="9"/>
  <c r="D626" i="9"/>
  <c r="C626" i="9"/>
  <c r="O625" i="9"/>
  <c r="M625" i="9"/>
  <c r="F625" i="9"/>
  <c r="E625" i="9"/>
  <c r="D625" i="9"/>
  <c r="C625" i="9"/>
  <c r="O624" i="9"/>
  <c r="M624" i="9"/>
  <c r="F624" i="9"/>
  <c r="E624" i="9"/>
  <c r="D624" i="9"/>
  <c r="C624" i="9"/>
  <c r="O623" i="9"/>
  <c r="M623" i="9"/>
  <c r="F623" i="9"/>
  <c r="E623" i="9"/>
  <c r="D623" i="9"/>
  <c r="C623" i="9"/>
  <c r="O622" i="9"/>
  <c r="M622" i="9"/>
  <c r="F622" i="9"/>
  <c r="E622" i="9"/>
  <c r="D622" i="9"/>
  <c r="C622" i="9"/>
  <c r="O621" i="9"/>
  <c r="M621" i="9"/>
  <c r="F621" i="9"/>
  <c r="E621" i="9"/>
  <c r="D621" i="9"/>
  <c r="C621" i="9"/>
  <c r="O620" i="9"/>
  <c r="M620" i="9"/>
  <c r="F620" i="9"/>
  <c r="E620" i="9"/>
  <c r="D620" i="9"/>
  <c r="C620" i="9"/>
  <c r="O619" i="9"/>
  <c r="M619" i="9"/>
  <c r="F619" i="9"/>
  <c r="E619" i="9"/>
  <c r="D619" i="9"/>
  <c r="C619" i="9"/>
  <c r="O618" i="9"/>
  <c r="M618" i="9"/>
  <c r="F618" i="9"/>
  <c r="E618" i="9"/>
  <c r="D618" i="9"/>
  <c r="C618" i="9"/>
  <c r="O617" i="9"/>
  <c r="M617" i="9"/>
  <c r="F617" i="9"/>
  <c r="E617" i="9"/>
  <c r="D617" i="9"/>
  <c r="C617" i="9"/>
  <c r="O616" i="9"/>
  <c r="M616" i="9"/>
  <c r="F616" i="9"/>
  <c r="E616" i="9"/>
  <c r="D616" i="9"/>
  <c r="C616" i="9"/>
  <c r="O615" i="9"/>
  <c r="M615" i="9"/>
  <c r="F615" i="9"/>
  <c r="E615" i="9"/>
  <c r="D615" i="9"/>
  <c r="C615" i="9"/>
  <c r="O614" i="9"/>
  <c r="M614" i="9"/>
  <c r="F614" i="9"/>
  <c r="E614" i="9"/>
  <c r="D614" i="9"/>
  <c r="C614" i="9"/>
  <c r="O613" i="9"/>
  <c r="M613" i="9"/>
  <c r="F613" i="9"/>
  <c r="E613" i="9"/>
  <c r="D613" i="9"/>
  <c r="C613" i="9"/>
  <c r="O612" i="9"/>
  <c r="M612" i="9"/>
  <c r="F612" i="9"/>
  <c r="E612" i="9"/>
  <c r="D612" i="9"/>
  <c r="C612" i="9"/>
  <c r="O611" i="9"/>
  <c r="M611" i="9"/>
  <c r="F611" i="9"/>
  <c r="E611" i="9"/>
  <c r="D611" i="9"/>
  <c r="C611" i="9"/>
  <c r="O610" i="9"/>
  <c r="M610" i="9"/>
  <c r="F610" i="9"/>
  <c r="E610" i="9"/>
  <c r="D610" i="9"/>
  <c r="C610" i="9"/>
  <c r="O609" i="9"/>
  <c r="M609" i="9"/>
  <c r="F609" i="9"/>
  <c r="E609" i="9"/>
  <c r="D609" i="9"/>
  <c r="C609" i="9"/>
  <c r="O608" i="9"/>
  <c r="M608" i="9"/>
  <c r="F608" i="9"/>
  <c r="E608" i="9"/>
  <c r="D608" i="9"/>
  <c r="C608" i="9"/>
  <c r="O607" i="9"/>
  <c r="M607" i="9"/>
  <c r="F607" i="9"/>
  <c r="E607" i="9"/>
  <c r="D607" i="9"/>
  <c r="C607" i="9"/>
  <c r="O606" i="9"/>
  <c r="M606" i="9"/>
  <c r="F606" i="9"/>
  <c r="E606" i="9"/>
  <c r="D606" i="9"/>
  <c r="C606" i="9"/>
  <c r="O605" i="9"/>
  <c r="M605" i="9"/>
  <c r="F605" i="9"/>
  <c r="E605" i="9"/>
  <c r="D605" i="9"/>
  <c r="C605" i="9"/>
  <c r="O604" i="9"/>
  <c r="M604" i="9"/>
  <c r="F604" i="9"/>
  <c r="E604" i="9"/>
  <c r="D604" i="9"/>
  <c r="C604" i="9"/>
  <c r="O603" i="9"/>
  <c r="M603" i="9"/>
  <c r="F603" i="9"/>
  <c r="E603" i="9"/>
  <c r="D603" i="9"/>
  <c r="C603" i="9"/>
  <c r="O602" i="9"/>
  <c r="M602" i="9"/>
  <c r="F602" i="9"/>
  <c r="E602" i="9"/>
  <c r="D602" i="9"/>
  <c r="C602" i="9"/>
  <c r="O601" i="9"/>
  <c r="M601" i="9"/>
  <c r="F601" i="9"/>
  <c r="E601" i="9"/>
  <c r="D601" i="9"/>
  <c r="C601" i="9"/>
  <c r="O600" i="9"/>
  <c r="M600" i="9"/>
  <c r="F600" i="9"/>
  <c r="E600" i="9"/>
  <c r="D600" i="9"/>
  <c r="C600" i="9"/>
  <c r="O599" i="9"/>
  <c r="M599" i="9"/>
  <c r="F599" i="9"/>
  <c r="E599" i="9"/>
  <c r="D599" i="9"/>
  <c r="C599" i="9"/>
  <c r="O598" i="9"/>
  <c r="M598" i="9"/>
  <c r="F598" i="9"/>
  <c r="E598" i="9"/>
  <c r="D598" i="9"/>
  <c r="C598" i="9"/>
  <c r="O597" i="9"/>
  <c r="M597" i="9"/>
  <c r="F597" i="9"/>
  <c r="E597" i="9"/>
  <c r="D597" i="9"/>
  <c r="C597" i="9"/>
  <c r="O596" i="9"/>
  <c r="M596" i="9"/>
  <c r="F596" i="9"/>
  <c r="E596" i="9"/>
  <c r="D596" i="9"/>
  <c r="C596" i="9"/>
  <c r="O595" i="9"/>
  <c r="M595" i="9"/>
  <c r="F595" i="9"/>
  <c r="E595" i="9"/>
  <c r="D595" i="9"/>
  <c r="C595" i="9"/>
  <c r="O594" i="9"/>
  <c r="M594" i="9"/>
  <c r="F594" i="9"/>
  <c r="E594" i="9"/>
  <c r="D594" i="9"/>
  <c r="C594" i="9"/>
  <c r="O593" i="9"/>
  <c r="M593" i="9"/>
  <c r="F593" i="9"/>
  <c r="E593" i="9"/>
  <c r="D593" i="9"/>
  <c r="C593" i="9"/>
  <c r="O592" i="9"/>
  <c r="M592" i="9"/>
  <c r="F592" i="9"/>
  <c r="E592" i="9"/>
  <c r="D592" i="9"/>
  <c r="C592" i="9"/>
  <c r="O591" i="9"/>
  <c r="M591" i="9"/>
  <c r="F591" i="9"/>
  <c r="E591" i="9"/>
  <c r="D591" i="9"/>
  <c r="C591" i="9"/>
  <c r="O590" i="9"/>
  <c r="M590" i="9"/>
  <c r="F590" i="9"/>
  <c r="E590" i="9"/>
  <c r="D590" i="9"/>
  <c r="C590" i="9"/>
  <c r="O589" i="9"/>
  <c r="M589" i="9"/>
  <c r="F589" i="9"/>
  <c r="E589" i="9"/>
  <c r="D589" i="9"/>
  <c r="C589" i="9"/>
  <c r="O588" i="9"/>
  <c r="M588" i="9"/>
  <c r="F588" i="9"/>
  <c r="E588" i="9"/>
  <c r="D588" i="9"/>
  <c r="C588" i="9"/>
  <c r="O587" i="9"/>
  <c r="M587" i="9"/>
  <c r="F587" i="9"/>
  <c r="E587" i="9"/>
  <c r="D587" i="9"/>
  <c r="C587" i="9"/>
  <c r="O586" i="9"/>
  <c r="M586" i="9"/>
  <c r="F586" i="9"/>
  <c r="E586" i="9"/>
  <c r="D586" i="9"/>
  <c r="C586" i="9"/>
  <c r="O585" i="9"/>
  <c r="M585" i="9"/>
  <c r="F585" i="9"/>
  <c r="E585" i="9"/>
  <c r="D585" i="9"/>
  <c r="C585" i="9"/>
  <c r="O584" i="9"/>
  <c r="M584" i="9"/>
  <c r="F584" i="9"/>
  <c r="E584" i="9"/>
  <c r="D584" i="9"/>
  <c r="C584" i="9"/>
  <c r="O583" i="9"/>
  <c r="M583" i="9"/>
  <c r="F583" i="9"/>
  <c r="E583" i="9"/>
  <c r="D583" i="9"/>
  <c r="C583" i="9"/>
  <c r="O582" i="9"/>
  <c r="M582" i="9"/>
  <c r="F582" i="9"/>
  <c r="E582" i="9"/>
  <c r="D582" i="9"/>
  <c r="C582" i="9"/>
  <c r="O581" i="9"/>
  <c r="M581" i="9"/>
  <c r="F581" i="9"/>
  <c r="E581" i="9"/>
  <c r="D581" i="9"/>
  <c r="C581" i="9"/>
  <c r="O580" i="9"/>
  <c r="M580" i="9"/>
  <c r="F580" i="9"/>
  <c r="E580" i="9"/>
  <c r="D580" i="9"/>
  <c r="C580" i="9"/>
  <c r="O579" i="9"/>
  <c r="M579" i="9"/>
  <c r="F579" i="9"/>
  <c r="E579" i="9"/>
  <c r="D579" i="9"/>
  <c r="C579" i="9"/>
  <c r="O578" i="9"/>
  <c r="M578" i="9"/>
  <c r="F578" i="9"/>
  <c r="E578" i="9"/>
  <c r="D578" i="9"/>
  <c r="C578" i="9"/>
  <c r="O577" i="9"/>
  <c r="M577" i="9"/>
  <c r="F577" i="9"/>
  <c r="E577" i="9"/>
  <c r="D577" i="9"/>
  <c r="C577" i="9"/>
  <c r="O576" i="9"/>
  <c r="M576" i="9"/>
  <c r="F576" i="9"/>
  <c r="E576" i="9"/>
  <c r="D576" i="9"/>
  <c r="C576" i="9"/>
  <c r="O575" i="9"/>
  <c r="M575" i="9"/>
  <c r="F575" i="9"/>
  <c r="E575" i="9"/>
  <c r="D575" i="9"/>
  <c r="C575" i="9"/>
  <c r="O574" i="9"/>
  <c r="M574" i="9"/>
  <c r="F574" i="9"/>
  <c r="E574" i="9"/>
  <c r="D574" i="9"/>
  <c r="C574" i="9"/>
  <c r="O573" i="9"/>
  <c r="M573" i="9"/>
  <c r="F573" i="9"/>
  <c r="E573" i="9"/>
  <c r="D573" i="9"/>
  <c r="C573" i="9"/>
  <c r="O572" i="9"/>
  <c r="M572" i="9"/>
  <c r="F572" i="9"/>
  <c r="E572" i="9"/>
  <c r="D572" i="9"/>
  <c r="C572" i="9"/>
  <c r="O571" i="9"/>
  <c r="M571" i="9"/>
  <c r="F571" i="9"/>
  <c r="E571" i="9"/>
  <c r="D571" i="9"/>
  <c r="C571" i="9"/>
  <c r="O570" i="9"/>
  <c r="M570" i="9"/>
  <c r="F570" i="9"/>
  <c r="E570" i="9"/>
  <c r="D570" i="9"/>
  <c r="C570" i="9"/>
  <c r="O569" i="9"/>
  <c r="M569" i="9"/>
  <c r="F569" i="9"/>
  <c r="E569" i="9"/>
  <c r="D569" i="9"/>
  <c r="C569" i="9"/>
  <c r="O568" i="9"/>
  <c r="M568" i="9"/>
  <c r="F568" i="9"/>
  <c r="E568" i="9"/>
  <c r="D568" i="9"/>
  <c r="C568" i="9"/>
  <c r="O567" i="9"/>
  <c r="M567" i="9"/>
  <c r="F567" i="9"/>
  <c r="E567" i="9"/>
  <c r="D567" i="9"/>
  <c r="C567" i="9"/>
  <c r="O566" i="9"/>
  <c r="M566" i="9"/>
  <c r="F566" i="9"/>
  <c r="E566" i="9"/>
  <c r="D566" i="9"/>
  <c r="C566" i="9"/>
  <c r="O565" i="9"/>
  <c r="M565" i="9"/>
  <c r="F565" i="9"/>
  <c r="E565" i="9"/>
  <c r="D565" i="9"/>
  <c r="C565" i="9"/>
  <c r="O564" i="9"/>
  <c r="M564" i="9"/>
  <c r="F564" i="9"/>
  <c r="E564" i="9"/>
  <c r="D564" i="9"/>
  <c r="C564" i="9"/>
  <c r="O563" i="9"/>
  <c r="M563" i="9"/>
  <c r="F563" i="9"/>
  <c r="E563" i="9"/>
  <c r="D563" i="9"/>
  <c r="C563" i="9"/>
  <c r="O562" i="9"/>
  <c r="M562" i="9"/>
  <c r="F562" i="9"/>
  <c r="E562" i="9"/>
  <c r="D562" i="9"/>
  <c r="C562" i="9"/>
  <c r="O561" i="9"/>
  <c r="M561" i="9"/>
  <c r="F561" i="9"/>
  <c r="E561" i="9"/>
  <c r="D561" i="9"/>
  <c r="C561" i="9"/>
  <c r="O560" i="9"/>
  <c r="M560" i="9"/>
  <c r="F560" i="9"/>
  <c r="E560" i="9"/>
  <c r="D560" i="9"/>
  <c r="C560" i="9"/>
  <c r="O559" i="9"/>
  <c r="M559" i="9"/>
  <c r="F559" i="9"/>
  <c r="E559" i="9"/>
  <c r="D559" i="9"/>
  <c r="C559" i="9"/>
  <c r="O558" i="9"/>
  <c r="M558" i="9"/>
  <c r="F558" i="9"/>
  <c r="E558" i="9"/>
  <c r="D558" i="9"/>
  <c r="C558" i="9"/>
  <c r="O557" i="9"/>
  <c r="M557" i="9"/>
  <c r="F557" i="9"/>
  <c r="E557" i="9"/>
  <c r="D557" i="9"/>
  <c r="C557" i="9"/>
  <c r="O556" i="9"/>
  <c r="M556" i="9"/>
  <c r="F556" i="9"/>
  <c r="E556" i="9"/>
  <c r="D556" i="9"/>
  <c r="C556" i="9"/>
  <c r="O555" i="9"/>
  <c r="M555" i="9"/>
  <c r="F555" i="9"/>
  <c r="E555" i="9"/>
  <c r="D555" i="9"/>
  <c r="C555" i="9"/>
  <c r="O554" i="9"/>
  <c r="M554" i="9"/>
  <c r="F554" i="9"/>
  <c r="E554" i="9"/>
  <c r="D554" i="9"/>
  <c r="C554" i="9"/>
  <c r="O553" i="9"/>
  <c r="M553" i="9"/>
  <c r="F553" i="9"/>
  <c r="E553" i="9"/>
  <c r="D553" i="9"/>
  <c r="C553" i="9"/>
  <c r="O552" i="9"/>
  <c r="M552" i="9"/>
  <c r="F552" i="9"/>
  <c r="E552" i="9"/>
  <c r="D552" i="9"/>
  <c r="C552" i="9"/>
  <c r="O551" i="9"/>
  <c r="M551" i="9"/>
  <c r="F551" i="9"/>
  <c r="E551" i="9"/>
  <c r="D551" i="9"/>
  <c r="C551" i="9"/>
  <c r="O550" i="9"/>
  <c r="M550" i="9"/>
  <c r="F550" i="9"/>
  <c r="E550" i="9"/>
  <c r="D550" i="9"/>
  <c r="C550" i="9"/>
  <c r="O549" i="9"/>
  <c r="M549" i="9"/>
  <c r="F549" i="9"/>
  <c r="E549" i="9"/>
  <c r="D549" i="9"/>
  <c r="C549" i="9"/>
  <c r="O548" i="9"/>
  <c r="M548" i="9"/>
  <c r="F548" i="9"/>
  <c r="E548" i="9"/>
  <c r="D548" i="9"/>
  <c r="C548" i="9"/>
  <c r="O547" i="9"/>
  <c r="M547" i="9"/>
  <c r="F547" i="9"/>
  <c r="E547" i="9"/>
  <c r="D547" i="9"/>
  <c r="C547" i="9"/>
  <c r="O546" i="9"/>
  <c r="M546" i="9"/>
  <c r="F546" i="9"/>
  <c r="E546" i="9"/>
  <c r="D546" i="9"/>
  <c r="C546" i="9"/>
  <c r="O545" i="9"/>
  <c r="M545" i="9"/>
  <c r="F545" i="9"/>
  <c r="E545" i="9"/>
  <c r="D545" i="9"/>
  <c r="C545" i="9"/>
  <c r="O544" i="9"/>
  <c r="M544" i="9"/>
  <c r="F544" i="9"/>
  <c r="E544" i="9"/>
  <c r="D544" i="9"/>
  <c r="C544" i="9"/>
  <c r="O543" i="9"/>
  <c r="M543" i="9"/>
  <c r="F543" i="9"/>
  <c r="E543" i="9"/>
  <c r="D543" i="9"/>
  <c r="C543" i="9"/>
  <c r="O542" i="9"/>
  <c r="M542" i="9"/>
  <c r="F542" i="9"/>
  <c r="E542" i="9"/>
  <c r="D542" i="9"/>
  <c r="C542" i="9"/>
  <c r="O541" i="9"/>
  <c r="M541" i="9"/>
  <c r="F541" i="9"/>
  <c r="E541" i="9"/>
  <c r="D541" i="9"/>
  <c r="C541" i="9"/>
  <c r="O540" i="9"/>
  <c r="M540" i="9"/>
  <c r="F540" i="9"/>
  <c r="E540" i="9"/>
  <c r="D540" i="9"/>
  <c r="C540" i="9"/>
  <c r="O539" i="9"/>
  <c r="M539" i="9"/>
  <c r="F539" i="9"/>
  <c r="E539" i="9"/>
  <c r="D539" i="9"/>
  <c r="C539" i="9"/>
  <c r="O538" i="9"/>
  <c r="M538" i="9"/>
  <c r="F538" i="9"/>
  <c r="E538" i="9"/>
  <c r="D538" i="9"/>
  <c r="C538" i="9"/>
  <c r="O537" i="9"/>
  <c r="M537" i="9"/>
  <c r="F537" i="9"/>
  <c r="E537" i="9"/>
  <c r="D537" i="9"/>
  <c r="C537" i="9"/>
  <c r="O536" i="9"/>
  <c r="M536" i="9"/>
  <c r="F536" i="9"/>
  <c r="E536" i="9"/>
  <c r="D536" i="9"/>
  <c r="C536" i="9"/>
  <c r="O535" i="9"/>
  <c r="M535" i="9"/>
  <c r="F535" i="9"/>
  <c r="E535" i="9"/>
  <c r="D535" i="9"/>
  <c r="C535" i="9"/>
  <c r="O534" i="9"/>
  <c r="M534" i="9"/>
  <c r="F534" i="9"/>
  <c r="E534" i="9"/>
  <c r="D534" i="9"/>
  <c r="C534" i="9"/>
  <c r="O533" i="9"/>
  <c r="M533" i="9"/>
  <c r="F533" i="9"/>
  <c r="E533" i="9"/>
  <c r="D533" i="9"/>
  <c r="C533" i="9"/>
  <c r="O532" i="9"/>
  <c r="M532" i="9"/>
  <c r="F532" i="9"/>
  <c r="E532" i="9"/>
  <c r="D532" i="9"/>
  <c r="C532" i="9"/>
  <c r="O531" i="9"/>
  <c r="M531" i="9"/>
  <c r="F531" i="9"/>
  <c r="E531" i="9"/>
  <c r="D531" i="9"/>
  <c r="C531" i="9"/>
  <c r="O530" i="9"/>
  <c r="M530" i="9"/>
  <c r="F530" i="9"/>
  <c r="E530" i="9"/>
  <c r="D530" i="9"/>
  <c r="C530" i="9"/>
  <c r="O529" i="9"/>
  <c r="M529" i="9"/>
  <c r="F529" i="9"/>
  <c r="E529" i="9"/>
  <c r="D529" i="9"/>
  <c r="C529" i="9"/>
  <c r="O528" i="9"/>
  <c r="M528" i="9"/>
  <c r="F528" i="9"/>
  <c r="E528" i="9"/>
  <c r="D528" i="9"/>
  <c r="C528" i="9"/>
  <c r="O527" i="9"/>
  <c r="M527" i="9"/>
  <c r="F527" i="9"/>
  <c r="E527" i="9"/>
  <c r="D527" i="9"/>
  <c r="C527" i="9"/>
  <c r="O526" i="9"/>
  <c r="M526" i="9"/>
  <c r="F526" i="9"/>
  <c r="E526" i="9"/>
  <c r="D526" i="9"/>
  <c r="C526" i="9"/>
  <c r="O525" i="9"/>
  <c r="M525" i="9"/>
  <c r="F525" i="9"/>
  <c r="E525" i="9"/>
  <c r="D525" i="9"/>
  <c r="C525" i="9"/>
  <c r="O524" i="9"/>
  <c r="M524" i="9"/>
  <c r="F524" i="9"/>
  <c r="E524" i="9"/>
  <c r="D524" i="9"/>
  <c r="C524" i="9"/>
  <c r="O523" i="9"/>
  <c r="M523" i="9"/>
  <c r="F523" i="9"/>
  <c r="E523" i="9"/>
  <c r="D523" i="9"/>
  <c r="C523" i="9"/>
  <c r="O522" i="9"/>
  <c r="M522" i="9"/>
  <c r="F522" i="9"/>
  <c r="E522" i="9"/>
  <c r="D522" i="9"/>
  <c r="C522" i="9"/>
  <c r="O521" i="9"/>
  <c r="M521" i="9"/>
  <c r="F521" i="9"/>
  <c r="E521" i="9"/>
  <c r="D521" i="9"/>
  <c r="C521" i="9"/>
  <c r="O520" i="9"/>
  <c r="M520" i="9"/>
  <c r="F520" i="9"/>
  <c r="E520" i="9"/>
  <c r="D520" i="9"/>
  <c r="C520" i="9"/>
  <c r="O519" i="9"/>
  <c r="M519" i="9"/>
  <c r="F519" i="9"/>
  <c r="E519" i="9"/>
  <c r="D519" i="9"/>
  <c r="C519" i="9"/>
  <c r="O518" i="9"/>
  <c r="M518" i="9"/>
  <c r="F518" i="9"/>
  <c r="E518" i="9"/>
  <c r="D518" i="9"/>
  <c r="C518" i="9"/>
  <c r="O517" i="9"/>
  <c r="M517" i="9"/>
  <c r="F517" i="9"/>
  <c r="E517" i="9"/>
  <c r="D517" i="9"/>
  <c r="C517" i="9"/>
  <c r="O516" i="9"/>
  <c r="M516" i="9"/>
  <c r="F516" i="9"/>
  <c r="E516" i="9"/>
  <c r="D516" i="9"/>
  <c r="C516" i="9"/>
  <c r="O515" i="9"/>
  <c r="M515" i="9"/>
  <c r="F515" i="9"/>
  <c r="E515" i="9"/>
  <c r="D515" i="9"/>
  <c r="C515" i="9"/>
  <c r="O514" i="9"/>
  <c r="M514" i="9"/>
  <c r="F514" i="9"/>
  <c r="E514" i="9"/>
  <c r="D514" i="9"/>
  <c r="C514" i="9"/>
  <c r="O513" i="9"/>
  <c r="M513" i="9"/>
  <c r="F513" i="9"/>
  <c r="E513" i="9"/>
  <c r="D513" i="9"/>
  <c r="C513" i="9"/>
  <c r="O512" i="9"/>
  <c r="M512" i="9"/>
  <c r="F512" i="9"/>
  <c r="E512" i="9"/>
  <c r="D512" i="9"/>
  <c r="C512" i="9"/>
  <c r="O511" i="9"/>
  <c r="M511" i="9"/>
  <c r="F511" i="9"/>
  <c r="E511" i="9"/>
  <c r="D511" i="9"/>
  <c r="C511" i="9"/>
  <c r="O510" i="9"/>
  <c r="M510" i="9"/>
  <c r="F510" i="9"/>
  <c r="E510" i="9"/>
  <c r="D510" i="9"/>
  <c r="C510" i="9"/>
  <c r="O509" i="9"/>
  <c r="M509" i="9"/>
  <c r="F509" i="9"/>
  <c r="E509" i="9"/>
  <c r="D509" i="9"/>
  <c r="C509" i="9"/>
  <c r="O508" i="9"/>
  <c r="M508" i="9"/>
  <c r="F508" i="9"/>
  <c r="E508" i="9"/>
  <c r="D508" i="9"/>
  <c r="C508" i="9"/>
  <c r="O507" i="9"/>
  <c r="M507" i="9"/>
  <c r="F507" i="9"/>
  <c r="E507" i="9"/>
  <c r="D507" i="9"/>
  <c r="C507" i="9"/>
  <c r="O506" i="9"/>
  <c r="M506" i="9"/>
  <c r="F506" i="9"/>
  <c r="E506" i="9"/>
  <c r="D506" i="9"/>
  <c r="C506" i="9"/>
  <c r="O505" i="9"/>
  <c r="M505" i="9"/>
  <c r="F505" i="9"/>
  <c r="E505" i="9"/>
  <c r="D505" i="9"/>
  <c r="C505" i="9"/>
  <c r="O504" i="9"/>
  <c r="M504" i="9"/>
  <c r="F504" i="9"/>
  <c r="E504" i="9"/>
  <c r="D504" i="9"/>
  <c r="C504" i="9"/>
  <c r="O503" i="9"/>
  <c r="M503" i="9"/>
  <c r="F503" i="9"/>
  <c r="E503" i="9"/>
  <c r="D503" i="9"/>
  <c r="C503" i="9"/>
  <c r="O502" i="9"/>
  <c r="M502" i="9"/>
  <c r="F502" i="9"/>
  <c r="E502" i="9"/>
  <c r="D502" i="9"/>
  <c r="C502" i="9"/>
  <c r="O501" i="9"/>
  <c r="M501" i="9"/>
  <c r="F501" i="9"/>
  <c r="E501" i="9"/>
  <c r="D501" i="9"/>
  <c r="C501" i="9"/>
  <c r="O500" i="9"/>
  <c r="M500" i="9"/>
  <c r="F500" i="9"/>
  <c r="E500" i="9"/>
  <c r="D500" i="9"/>
  <c r="C500" i="9"/>
  <c r="O499" i="9"/>
  <c r="M499" i="9"/>
  <c r="F499" i="9"/>
  <c r="E499" i="9"/>
  <c r="D499" i="9"/>
  <c r="C499" i="9"/>
  <c r="O498" i="9"/>
  <c r="M498" i="9"/>
  <c r="F498" i="9"/>
  <c r="E498" i="9"/>
  <c r="D498" i="9"/>
  <c r="C498" i="9"/>
  <c r="O497" i="9"/>
  <c r="M497" i="9"/>
  <c r="F497" i="9"/>
  <c r="E497" i="9"/>
  <c r="D497" i="9"/>
  <c r="C497" i="9"/>
  <c r="O496" i="9"/>
  <c r="M496" i="9"/>
  <c r="F496" i="9"/>
  <c r="E496" i="9"/>
  <c r="D496" i="9"/>
  <c r="C496" i="9"/>
  <c r="O495" i="9"/>
  <c r="M495" i="9"/>
  <c r="F495" i="9"/>
  <c r="E495" i="9"/>
  <c r="D495" i="9"/>
  <c r="C495" i="9"/>
  <c r="O494" i="9"/>
  <c r="M494" i="9"/>
  <c r="F494" i="9"/>
  <c r="E494" i="9"/>
  <c r="D494" i="9"/>
  <c r="C494" i="9"/>
  <c r="O493" i="9"/>
  <c r="M493" i="9"/>
  <c r="F493" i="9"/>
  <c r="E493" i="9"/>
  <c r="D493" i="9"/>
  <c r="C493" i="9"/>
  <c r="O492" i="9"/>
  <c r="M492" i="9"/>
  <c r="F492" i="9"/>
  <c r="E492" i="9"/>
  <c r="D492" i="9"/>
  <c r="C492" i="9"/>
  <c r="O491" i="9"/>
  <c r="M491" i="9"/>
  <c r="F491" i="9"/>
  <c r="E491" i="9"/>
  <c r="D491" i="9"/>
  <c r="C491" i="9"/>
  <c r="O490" i="9"/>
  <c r="M490" i="9"/>
  <c r="F490" i="9"/>
  <c r="E490" i="9"/>
  <c r="D490" i="9"/>
  <c r="C490" i="9"/>
  <c r="O489" i="9"/>
  <c r="M489" i="9"/>
  <c r="F489" i="9"/>
  <c r="E489" i="9"/>
  <c r="D489" i="9"/>
  <c r="C489" i="9"/>
  <c r="O488" i="9"/>
  <c r="M488" i="9"/>
  <c r="F488" i="9"/>
  <c r="E488" i="9"/>
  <c r="D488" i="9"/>
  <c r="C488" i="9"/>
  <c r="O487" i="9"/>
  <c r="M487" i="9"/>
  <c r="F487" i="9"/>
  <c r="E487" i="9"/>
  <c r="D487" i="9"/>
  <c r="C487" i="9"/>
  <c r="O486" i="9"/>
  <c r="M486" i="9"/>
  <c r="F486" i="9"/>
  <c r="E486" i="9"/>
  <c r="D486" i="9"/>
  <c r="C486" i="9"/>
  <c r="O485" i="9"/>
  <c r="M485" i="9"/>
  <c r="F485" i="9"/>
  <c r="E485" i="9"/>
  <c r="D485" i="9"/>
  <c r="C485" i="9"/>
  <c r="O484" i="9"/>
  <c r="M484" i="9"/>
  <c r="F484" i="9"/>
  <c r="E484" i="9"/>
  <c r="D484" i="9"/>
  <c r="C484" i="9"/>
  <c r="O483" i="9"/>
  <c r="M483" i="9"/>
  <c r="F483" i="9"/>
  <c r="E483" i="9"/>
  <c r="D483" i="9"/>
  <c r="C483" i="9"/>
  <c r="O482" i="9"/>
  <c r="M482" i="9"/>
  <c r="F482" i="9"/>
  <c r="E482" i="9"/>
  <c r="D482" i="9"/>
  <c r="C482" i="9"/>
  <c r="O481" i="9"/>
  <c r="M481" i="9"/>
  <c r="F481" i="9"/>
  <c r="E481" i="9"/>
  <c r="D481" i="9"/>
  <c r="C481" i="9"/>
  <c r="O480" i="9"/>
  <c r="M480" i="9"/>
  <c r="F480" i="9"/>
  <c r="E480" i="9"/>
  <c r="D480" i="9"/>
  <c r="C480" i="9"/>
  <c r="O479" i="9"/>
  <c r="M479" i="9"/>
  <c r="F479" i="9"/>
  <c r="E479" i="9"/>
  <c r="D479" i="9"/>
  <c r="C479" i="9"/>
  <c r="O478" i="9"/>
  <c r="M478" i="9"/>
  <c r="F478" i="9"/>
  <c r="E478" i="9"/>
  <c r="D478" i="9"/>
  <c r="C478" i="9"/>
  <c r="O477" i="9"/>
  <c r="M477" i="9"/>
  <c r="F477" i="9"/>
  <c r="E477" i="9"/>
  <c r="D477" i="9"/>
  <c r="C477" i="9"/>
  <c r="O476" i="9"/>
  <c r="M476" i="9"/>
  <c r="F476" i="9"/>
  <c r="E476" i="9"/>
  <c r="D476" i="9"/>
  <c r="C476" i="9"/>
  <c r="O475" i="9"/>
  <c r="M475" i="9"/>
  <c r="F475" i="9"/>
  <c r="E475" i="9"/>
  <c r="D475" i="9"/>
  <c r="C475" i="9"/>
  <c r="O474" i="9"/>
  <c r="M474" i="9"/>
  <c r="F474" i="9"/>
  <c r="E474" i="9"/>
  <c r="D474" i="9"/>
  <c r="C474" i="9"/>
  <c r="O473" i="9"/>
  <c r="M473" i="9"/>
  <c r="F473" i="9"/>
  <c r="E473" i="9"/>
  <c r="D473" i="9"/>
  <c r="C473" i="9"/>
  <c r="O472" i="9"/>
  <c r="M472" i="9"/>
  <c r="F472" i="9"/>
  <c r="E472" i="9"/>
  <c r="D472" i="9"/>
  <c r="C472" i="9"/>
  <c r="O471" i="9"/>
  <c r="M471" i="9"/>
  <c r="F471" i="9"/>
  <c r="E471" i="9"/>
  <c r="D471" i="9"/>
  <c r="C471" i="9"/>
  <c r="O470" i="9"/>
  <c r="M470" i="9"/>
  <c r="F470" i="9"/>
  <c r="E470" i="9"/>
  <c r="D470" i="9"/>
  <c r="C470" i="9"/>
  <c r="O469" i="9"/>
  <c r="M469" i="9"/>
  <c r="F469" i="9"/>
  <c r="E469" i="9"/>
  <c r="D469" i="9"/>
  <c r="C469" i="9"/>
  <c r="O468" i="9"/>
  <c r="M468" i="9"/>
  <c r="F468" i="9"/>
  <c r="E468" i="9"/>
  <c r="D468" i="9"/>
  <c r="C468" i="9"/>
  <c r="O467" i="9"/>
  <c r="M467" i="9"/>
  <c r="F467" i="9"/>
  <c r="E467" i="9"/>
  <c r="D467" i="9"/>
  <c r="C467" i="9"/>
  <c r="O466" i="9"/>
  <c r="M466" i="9"/>
  <c r="F466" i="9"/>
  <c r="E466" i="9"/>
  <c r="D466" i="9"/>
  <c r="C466" i="9"/>
  <c r="O465" i="9"/>
  <c r="M465" i="9"/>
  <c r="F465" i="9"/>
  <c r="E465" i="9"/>
  <c r="D465" i="9"/>
  <c r="C465" i="9"/>
  <c r="O464" i="9"/>
  <c r="M464" i="9"/>
  <c r="F464" i="9"/>
  <c r="E464" i="9"/>
  <c r="D464" i="9"/>
  <c r="C464" i="9"/>
  <c r="O463" i="9"/>
  <c r="M463" i="9"/>
  <c r="F463" i="9"/>
  <c r="E463" i="9"/>
  <c r="D463" i="9"/>
  <c r="C463" i="9"/>
  <c r="O462" i="9"/>
  <c r="M462" i="9"/>
  <c r="F462" i="9"/>
  <c r="E462" i="9"/>
  <c r="D462" i="9"/>
  <c r="C462" i="9"/>
  <c r="O461" i="9"/>
  <c r="M461" i="9"/>
  <c r="F461" i="9"/>
  <c r="E461" i="9"/>
  <c r="D461" i="9"/>
  <c r="C461" i="9"/>
  <c r="O460" i="9"/>
  <c r="M460" i="9"/>
  <c r="F460" i="9"/>
  <c r="E460" i="9"/>
  <c r="D460" i="9"/>
  <c r="C460" i="9"/>
  <c r="O459" i="9"/>
  <c r="M459" i="9"/>
  <c r="F459" i="9"/>
  <c r="E459" i="9"/>
  <c r="D459" i="9"/>
  <c r="C459" i="9"/>
  <c r="O458" i="9"/>
  <c r="M458" i="9"/>
  <c r="F458" i="9"/>
  <c r="E458" i="9"/>
  <c r="D458" i="9"/>
  <c r="C458" i="9"/>
  <c r="O457" i="9"/>
  <c r="M457" i="9"/>
  <c r="F457" i="9"/>
  <c r="E457" i="9"/>
  <c r="D457" i="9"/>
  <c r="C457" i="9"/>
  <c r="O456" i="9"/>
  <c r="M456" i="9"/>
  <c r="F456" i="9"/>
  <c r="E456" i="9"/>
  <c r="D456" i="9"/>
  <c r="C456" i="9"/>
  <c r="O455" i="9"/>
  <c r="M455" i="9"/>
  <c r="F455" i="9"/>
  <c r="E455" i="9"/>
  <c r="D455" i="9"/>
  <c r="C455" i="9"/>
  <c r="O454" i="9"/>
  <c r="M454" i="9"/>
  <c r="F454" i="9"/>
  <c r="E454" i="9"/>
  <c r="D454" i="9"/>
  <c r="C454" i="9"/>
  <c r="O453" i="9"/>
  <c r="M453" i="9"/>
  <c r="F453" i="9"/>
  <c r="E453" i="9"/>
  <c r="D453" i="9"/>
  <c r="C453" i="9"/>
  <c r="O452" i="9"/>
  <c r="M452" i="9"/>
  <c r="F452" i="9"/>
  <c r="E452" i="9"/>
  <c r="D452" i="9"/>
  <c r="C452" i="9"/>
  <c r="O451" i="9"/>
  <c r="M451" i="9"/>
  <c r="F451" i="9"/>
  <c r="E451" i="9"/>
  <c r="D451" i="9"/>
  <c r="C451" i="9"/>
  <c r="O450" i="9"/>
  <c r="M450" i="9"/>
  <c r="F450" i="9"/>
  <c r="E450" i="9"/>
  <c r="D450" i="9"/>
  <c r="C450" i="9"/>
  <c r="O449" i="9"/>
  <c r="M449" i="9"/>
  <c r="F449" i="9"/>
  <c r="E449" i="9"/>
  <c r="D449" i="9"/>
  <c r="C449" i="9"/>
  <c r="O448" i="9"/>
  <c r="M448" i="9"/>
  <c r="F448" i="9"/>
  <c r="E448" i="9"/>
  <c r="D448" i="9"/>
  <c r="C448" i="9"/>
  <c r="O447" i="9"/>
  <c r="M447" i="9"/>
  <c r="F447" i="9"/>
  <c r="E447" i="9"/>
  <c r="D447" i="9"/>
  <c r="C447" i="9"/>
  <c r="O446" i="9"/>
  <c r="M446" i="9"/>
  <c r="F446" i="9"/>
  <c r="E446" i="9"/>
  <c r="D446" i="9"/>
  <c r="C446" i="9"/>
  <c r="O445" i="9"/>
  <c r="M445" i="9"/>
  <c r="F445" i="9"/>
  <c r="E445" i="9"/>
  <c r="D445" i="9"/>
  <c r="C445" i="9"/>
  <c r="O444" i="9"/>
  <c r="M444" i="9"/>
  <c r="F444" i="9"/>
  <c r="E444" i="9"/>
  <c r="D444" i="9"/>
  <c r="C444" i="9"/>
  <c r="O443" i="9"/>
  <c r="M443" i="9"/>
  <c r="F443" i="9"/>
  <c r="E443" i="9"/>
  <c r="D443" i="9"/>
  <c r="C443" i="9"/>
  <c r="O442" i="9"/>
  <c r="M442" i="9"/>
  <c r="F442" i="9"/>
  <c r="E442" i="9"/>
  <c r="D442" i="9"/>
  <c r="C442" i="9"/>
  <c r="O441" i="9"/>
  <c r="M441" i="9"/>
  <c r="F441" i="9"/>
  <c r="E441" i="9"/>
  <c r="D441" i="9"/>
  <c r="C441" i="9"/>
  <c r="O440" i="9"/>
  <c r="M440" i="9"/>
  <c r="F440" i="9"/>
  <c r="E440" i="9"/>
  <c r="D440" i="9"/>
  <c r="C440" i="9"/>
  <c r="O439" i="9"/>
  <c r="M439" i="9"/>
  <c r="F439" i="9"/>
  <c r="E439" i="9"/>
  <c r="D439" i="9"/>
  <c r="C439" i="9"/>
  <c r="O438" i="9"/>
  <c r="M438" i="9"/>
  <c r="F438" i="9"/>
  <c r="E438" i="9"/>
  <c r="D438" i="9"/>
  <c r="C438" i="9"/>
  <c r="O437" i="9"/>
  <c r="M437" i="9"/>
  <c r="F437" i="9"/>
  <c r="E437" i="9"/>
  <c r="D437" i="9"/>
  <c r="C437" i="9"/>
  <c r="O436" i="9"/>
  <c r="M436" i="9"/>
  <c r="F436" i="9"/>
  <c r="E436" i="9"/>
  <c r="D436" i="9"/>
  <c r="C436" i="9"/>
  <c r="O435" i="9"/>
  <c r="M435" i="9"/>
  <c r="F435" i="9"/>
  <c r="E435" i="9"/>
  <c r="D435" i="9"/>
  <c r="C435" i="9"/>
  <c r="O434" i="9"/>
  <c r="M434" i="9"/>
  <c r="F434" i="9"/>
  <c r="E434" i="9"/>
  <c r="D434" i="9"/>
  <c r="C434" i="9"/>
  <c r="O433" i="9"/>
  <c r="M433" i="9"/>
  <c r="F433" i="9"/>
  <c r="E433" i="9"/>
  <c r="D433" i="9"/>
  <c r="C433" i="9"/>
  <c r="O432" i="9"/>
  <c r="M432" i="9"/>
  <c r="F432" i="9"/>
  <c r="E432" i="9"/>
  <c r="D432" i="9"/>
  <c r="C432" i="9"/>
  <c r="O431" i="9"/>
  <c r="M431" i="9"/>
  <c r="F431" i="9"/>
  <c r="E431" i="9"/>
  <c r="D431" i="9"/>
  <c r="C431" i="9"/>
  <c r="O430" i="9"/>
  <c r="M430" i="9"/>
  <c r="F430" i="9"/>
  <c r="E430" i="9"/>
  <c r="D430" i="9"/>
  <c r="C430" i="9"/>
  <c r="O429" i="9"/>
  <c r="M429" i="9"/>
  <c r="F429" i="9"/>
  <c r="E429" i="9"/>
  <c r="D429" i="9"/>
  <c r="C429" i="9"/>
  <c r="O428" i="9"/>
  <c r="M428" i="9"/>
  <c r="F428" i="9"/>
  <c r="E428" i="9"/>
  <c r="D428" i="9"/>
  <c r="C428" i="9"/>
  <c r="O427" i="9"/>
  <c r="M427" i="9"/>
  <c r="F427" i="9"/>
  <c r="E427" i="9"/>
  <c r="D427" i="9"/>
  <c r="C427" i="9"/>
  <c r="O426" i="9"/>
  <c r="M426" i="9"/>
  <c r="F426" i="9"/>
  <c r="E426" i="9"/>
  <c r="D426" i="9"/>
  <c r="C426" i="9"/>
  <c r="O425" i="9"/>
  <c r="M425" i="9"/>
  <c r="F425" i="9"/>
  <c r="E425" i="9"/>
  <c r="D425" i="9"/>
  <c r="C425" i="9"/>
  <c r="O424" i="9"/>
  <c r="M424" i="9"/>
  <c r="F424" i="9"/>
  <c r="E424" i="9"/>
  <c r="D424" i="9"/>
  <c r="C424" i="9"/>
  <c r="O423" i="9"/>
  <c r="M423" i="9"/>
  <c r="F423" i="9"/>
  <c r="E423" i="9"/>
  <c r="D423" i="9"/>
  <c r="C423" i="9"/>
  <c r="O422" i="9"/>
  <c r="M422" i="9"/>
  <c r="F422" i="9"/>
  <c r="E422" i="9"/>
  <c r="D422" i="9"/>
  <c r="C422" i="9"/>
  <c r="O421" i="9"/>
  <c r="M421" i="9"/>
  <c r="F421" i="9"/>
  <c r="E421" i="9"/>
  <c r="D421" i="9"/>
  <c r="C421" i="9"/>
  <c r="O420" i="9"/>
  <c r="M420" i="9"/>
  <c r="F420" i="9"/>
  <c r="E420" i="9"/>
  <c r="D420" i="9"/>
  <c r="C420" i="9"/>
  <c r="O419" i="9"/>
  <c r="M419" i="9"/>
  <c r="F419" i="9"/>
  <c r="E419" i="9"/>
  <c r="D419" i="9"/>
  <c r="C419" i="9"/>
  <c r="O418" i="9"/>
  <c r="M418" i="9"/>
  <c r="F418" i="9"/>
  <c r="E418" i="9"/>
  <c r="D418" i="9"/>
  <c r="C418" i="9"/>
  <c r="O417" i="9"/>
  <c r="M417" i="9"/>
  <c r="F417" i="9"/>
  <c r="E417" i="9"/>
  <c r="D417" i="9"/>
  <c r="C417" i="9"/>
  <c r="O416" i="9"/>
  <c r="M416" i="9"/>
  <c r="F416" i="9"/>
  <c r="E416" i="9"/>
  <c r="D416" i="9"/>
  <c r="C416" i="9"/>
  <c r="O415" i="9"/>
  <c r="M415" i="9"/>
  <c r="F415" i="9"/>
  <c r="E415" i="9"/>
  <c r="D415" i="9"/>
  <c r="C415" i="9"/>
  <c r="O414" i="9"/>
  <c r="M414" i="9"/>
  <c r="F414" i="9"/>
  <c r="E414" i="9"/>
  <c r="D414" i="9"/>
  <c r="C414" i="9"/>
  <c r="O413" i="9"/>
  <c r="M413" i="9"/>
  <c r="F413" i="9"/>
  <c r="E413" i="9"/>
  <c r="D413" i="9"/>
  <c r="C413" i="9"/>
  <c r="O412" i="9"/>
  <c r="M412" i="9"/>
  <c r="F412" i="9"/>
  <c r="E412" i="9"/>
  <c r="D412" i="9"/>
  <c r="C412" i="9"/>
  <c r="O411" i="9"/>
  <c r="M411" i="9"/>
  <c r="F411" i="9"/>
  <c r="E411" i="9"/>
  <c r="D411" i="9"/>
  <c r="C411" i="9"/>
  <c r="O410" i="9"/>
  <c r="M410" i="9"/>
  <c r="F410" i="9"/>
  <c r="E410" i="9"/>
  <c r="D410" i="9"/>
  <c r="C410" i="9"/>
  <c r="O409" i="9"/>
  <c r="M409" i="9"/>
  <c r="F409" i="9"/>
  <c r="E409" i="9"/>
  <c r="D409" i="9"/>
  <c r="C409" i="9"/>
  <c r="O408" i="9"/>
  <c r="M408" i="9"/>
  <c r="F408" i="9"/>
  <c r="E408" i="9"/>
  <c r="D408" i="9"/>
  <c r="C408" i="9"/>
  <c r="O407" i="9"/>
  <c r="M407" i="9"/>
  <c r="F407" i="9"/>
  <c r="E407" i="9"/>
  <c r="D407" i="9"/>
  <c r="C407" i="9"/>
  <c r="O406" i="9"/>
  <c r="M406" i="9"/>
  <c r="F406" i="9"/>
  <c r="E406" i="9"/>
  <c r="D406" i="9"/>
  <c r="C406" i="9"/>
  <c r="O405" i="9"/>
  <c r="M405" i="9"/>
  <c r="F405" i="9"/>
  <c r="E405" i="9"/>
  <c r="D405" i="9"/>
  <c r="C405" i="9"/>
  <c r="O404" i="9"/>
  <c r="M404" i="9"/>
  <c r="F404" i="9"/>
  <c r="E404" i="9"/>
  <c r="D404" i="9"/>
  <c r="C404" i="9"/>
  <c r="O403" i="9"/>
  <c r="M403" i="9"/>
  <c r="F403" i="9"/>
  <c r="E403" i="9"/>
  <c r="D403" i="9"/>
  <c r="C403" i="9"/>
  <c r="O402" i="9"/>
  <c r="M402" i="9"/>
  <c r="F402" i="9"/>
  <c r="E402" i="9"/>
  <c r="D402" i="9"/>
  <c r="C402" i="9"/>
  <c r="O401" i="9"/>
  <c r="M401" i="9"/>
  <c r="F401" i="9"/>
  <c r="E401" i="9"/>
  <c r="D401" i="9"/>
  <c r="C401" i="9"/>
  <c r="O400" i="9"/>
  <c r="M400" i="9"/>
  <c r="F400" i="9"/>
  <c r="E400" i="9"/>
  <c r="D400" i="9"/>
  <c r="C400" i="9"/>
  <c r="O399" i="9"/>
  <c r="M399" i="9"/>
  <c r="F399" i="9"/>
  <c r="E399" i="9"/>
  <c r="D399" i="9"/>
  <c r="C399" i="9"/>
  <c r="O398" i="9"/>
  <c r="M398" i="9"/>
  <c r="F398" i="9"/>
  <c r="E398" i="9"/>
  <c r="D398" i="9"/>
  <c r="C398" i="9"/>
  <c r="O397" i="9"/>
  <c r="M397" i="9"/>
  <c r="F397" i="9"/>
  <c r="E397" i="9"/>
  <c r="D397" i="9"/>
  <c r="C397" i="9"/>
  <c r="O396" i="9"/>
  <c r="M396" i="9"/>
  <c r="F396" i="9"/>
  <c r="E396" i="9"/>
  <c r="D396" i="9"/>
  <c r="C396" i="9"/>
  <c r="O395" i="9"/>
  <c r="M395" i="9"/>
  <c r="F395" i="9"/>
  <c r="E395" i="9"/>
  <c r="D395" i="9"/>
  <c r="C395" i="9"/>
  <c r="O394" i="9"/>
  <c r="M394" i="9"/>
  <c r="F394" i="9"/>
  <c r="E394" i="9"/>
  <c r="D394" i="9"/>
  <c r="C394" i="9"/>
  <c r="O393" i="9"/>
  <c r="M393" i="9"/>
  <c r="F393" i="9"/>
  <c r="E393" i="9"/>
  <c r="D393" i="9"/>
  <c r="C393" i="9"/>
  <c r="O392" i="9"/>
  <c r="M392" i="9"/>
  <c r="F392" i="9"/>
  <c r="E392" i="9"/>
  <c r="D392" i="9"/>
  <c r="C392" i="9"/>
  <c r="O391" i="9"/>
  <c r="M391" i="9"/>
  <c r="F391" i="9"/>
  <c r="E391" i="9"/>
  <c r="D391" i="9"/>
  <c r="C391" i="9"/>
  <c r="O390" i="9"/>
  <c r="M390" i="9"/>
  <c r="F390" i="9"/>
  <c r="E390" i="9"/>
  <c r="D390" i="9"/>
  <c r="C390" i="9"/>
  <c r="O389" i="9"/>
  <c r="M389" i="9"/>
  <c r="F389" i="9"/>
  <c r="E389" i="9"/>
  <c r="D389" i="9"/>
  <c r="C389" i="9"/>
  <c r="O388" i="9"/>
  <c r="M388" i="9"/>
  <c r="F388" i="9"/>
  <c r="E388" i="9"/>
  <c r="D388" i="9"/>
  <c r="C388" i="9"/>
  <c r="O387" i="9"/>
  <c r="M387" i="9"/>
  <c r="F387" i="9"/>
  <c r="E387" i="9"/>
  <c r="D387" i="9"/>
  <c r="C387" i="9"/>
  <c r="O386" i="9"/>
  <c r="M386" i="9"/>
  <c r="F386" i="9"/>
  <c r="E386" i="9"/>
  <c r="D386" i="9"/>
  <c r="C386" i="9"/>
  <c r="O385" i="9"/>
  <c r="M385" i="9"/>
  <c r="F385" i="9"/>
  <c r="E385" i="9"/>
  <c r="D385" i="9"/>
  <c r="C385" i="9"/>
  <c r="O384" i="9"/>
  <c r="M384" i="9"/>
  <c r="F384" i="9"/>
  <c r="E384" i="9"/>
  <c r="D384" i="9"/>
  <c r="C384" i="9"/>
  <c r="O383" i="9"/>
  <c r="M383" i="9"/>
  <c r="F383" i="9"/>
  <c r="E383" i="9"/>
  <c r="D383" i="9"/>
  <c r="C383" i="9"/>
  <c r="O382" i="9"/>
  <c r="M382" i="9"/>
  <c r="F382" i="9"/>
  <c r="E382" i="9"/>
  <c r="D382" i="9"/>
  <c r="C382" i="9"/>
  <c r="O381" i="9"/>
  <c r="M381" i="9"/>
  <c r="F381" i="9"/>
  <c r="E381" i="9"/>
  <c r="D381" i="9"/>
  <c r="C381" i="9"/>
  <c r="O380" i="9"/>
  <c r="M380" i="9"/>
  <c r="F380" i="9"/>
  <c r="E380" i="9"/>
  <c r="D380" i="9"/>
  <c r="C380" i="9"/>
  <c r="O379" i="9"/>
  <c r="M379" i="9"/>
  <c r="F379" i="9"/>
  <c r="E379" i="9"/>
  <c r="D379" i="9"/>
  <c r="C379" i="9"/>
  <c r="O378" i="9"/>
  <c r="M378" i="9"/>
  <c r="F378" i="9"/>
  <c r="E378" i="9"/>
  <c r="D378" i="9"/>
  <c r="C378" i="9"/>
  <c r="O377" i="9"/>
  <c r="M377" i="9"/>
  <c r="F377" i="9"/>
  <c r="E377" i="9"/>
  <c r="D377" i="9"/>
  <c r="C377" i="9"/>
  <c r="O376" i="9"/>
  <c r="M376" i="9"/>
  <c r="F376" i="9"/>
  <c r="E376" i="9"/>
  <c r="D376" i="9"/>
  <c r="C376" i="9"/>
  <c r="O375" i="9"/>
  <c r="M375" i="9"/>
  <c r="F375" i="9"/>
  <c r="E375" i="9"/>
  <c r="D375" i="9"/>
  <c r="C375" i="9"/>
  <c r="O374" i="9"/>
  <c r="M374" i="9"/>
  <c r="F374" i="9"/>
  <c r="E374" i="9"/>
  <c r="D374" i="9"/>
  <c r="C374" i="9"/>
  <c r="O373" i="9"/>
  <c r="M373" i="9"/>
  <c r="F373" i="9"/>
  <c r="E373" i="9"/>
  <c r="D373" i="9"/>
  <c r="C373" i="9"/>
  <c r="O372" i="9"/>
  <c r="M372" i="9"/>
  <c r="F372" i="9"/>
  <c r="E372" i="9"/>
  <c r="D372" i="9"/>
  <c r="C372" i="9"/>
  <c r="O371" i="9"/>
  <c r="M371" i="9"/>
  <c r="F371" i="9"/>
  <c r="E371" i="9"/>
  <c r="D371" i="9"/>
  <c r="C371" i="9"/>
  <c r="O370" i="9"/>
  <c r="M370" i="9"/>
  <c r="F370" i="9"/>
  <c r="E370" i="9"/>
  <c r="D370" i="9"/>
  <c r="C370" i="9"/>
  <c r="O369" i="9"/>
  <c r="M369" i="9"/>
  <c r="F369" i="9"/>
  <c r="E369" i="9"/>
  <c r="D369" i="9"/>
  <c r="C369" i="9"/>
  <c r="O368" i="9"/>
  <c r="M368" i="9"/>
  <c r="F368" i="9"/>
  <c r="E368" i="9"/>
  <c r="D368" i="9"/>
  <c r="C368" i="9"/>
  <c r="O367" i="9"/>
  <c r="M367" i="9"/>
  <c r="F367" i="9"/>
  <c r="E367" i="9"/>
  <c r="D367" i="9"/>
  <c r="C367" i="9"/>
  <c r="O366" i="9"/>
  <c r="M366" i="9"/>
  <c r="F366" i="9"/>
  <c r="E366" i="9"/>
  <c r="D366" i="9"/>
  <c r="C366" i="9"/>
  <c r="O365" i="9"/>
  <c r="M365" i="9"/>
  <c r="F365" i="9"/>
  <c r="E365" i="9"/>
  <c r="D365" i="9"/>
  <c r="C365" i="9"/>
  <c r="O364" i="9"/>
  <c r="M364" i="9"/>
  <c r="F364" i="9"/>
  <c r="E364" i="9"/>
  <c r="D364" i="9"/>
  <c r="C364" i="9"/>
  <c r="O363" i="9"/>
  <c r="M363" i="9"/>
  <c r="F363" i="9"/>
  <c r="E363" i="9"/>
  <c r="D363" i="9"/>
  <c r="C363" i="9"/>
  <c r="O362" i="9"/>
  <c r="M362" i="9"/>
  <c r="F362" i="9"/>
  <c r="E362" i="9"/>
  <c r="D362" i="9"/>
  <c r="C362" i="9"/>
  <c r="O361" i="9"/>
  <c r="M361" i="9"/>
  <c r="F361" i="9"/>
  <c r="E361" i="9"/>
  <c r="D361" i="9"/>
  <c r="C361" i="9"/>
  <c r="O360" i="9"/>
  <c r="M360" i="9"/>
  <c r="F360" i="9"/>
  <c r="E360" i="9"/>
  <c r="D360" i="9"/>
  <c r="C360" i="9"/>
  <c r="O359" i="9"/>
  <c r="M359" i="9"/>
  <c r="F359" i="9"/>
  <c r="E359" i="9"/>
  <c r="D359" i="9"/>
  <c r="C359" i="9"/>
  <c r="O358" i="9"/>
  <c r="M358" i="9"/>
  <c r="F358" i="9"/>
  <c r="E358" i="9"/>
  <c r="D358" i="9"/>
  <c r="C358" i="9"/>
  <c r="O357" i="9"/>
  <c r="M357" i="9"/>
  <c r="F357" i="9"/>
  <c r="E357" i="9"/>
  <c r="D357" i="9"/>
  <c r="C357" i="9"/>
  <c r="O356" i="9"/>
  <c r="M356" i="9"/>
  <c r="F356" i="9"/>
  <c r="E356" i="9"/>
  <c r="D356" i="9"/>
  <c r="C356" i="9"/>
  <c r="O355" i="9"/>
  <c r="M355" i="9"/>
  <c r="F355" i="9"/>
  <c r="E355" i="9"/>
  <c r="D355" i="9"/>
  <c r="C355" i="9"/>
  <c r="O354" i="9"/>
  <c r="M354" i="9"/>
  <c r="F354" i="9"/>
  <c r="E354" i="9"/>
  <c r="D354" i="9"/>
  <c r="C354" i="9"/>
  <c r="O353" i="9"/>
  <c r="M353" i="9"/>
  <c r="F353" i="9"/>
  <c r="E353" i="9"/>
  <c r="D353" i="9"/>
  <c r="C353" i="9"/>
  <c r="O352" i="9"/>
  <c r="M352" i="9"/>
  <c r="F352" i="9"/>
  <c r="E352" i="9"/>
  <c r="D352" i="9"/>
  <c r="C352" i="9"/>
  <c r="O351" i="9"/>
  <c r="M351" i="9"/>
  <c r="F351" i="9"/>
  <c r="E351" i="9"/>
  <c r="D351" i="9"/>
  <c r="C351" i="9"/>
  <c r="O350" i="9"/>
  <c r="M350" i="9"/>
  <c r="F350" i="9"/>
  <c r="E350" i="9"/>
  <c r="D350" i="9"/>
  <c r="C350" i="9"/>
  <c r="O349" i="9"/>
  <c r="M349" i="9"/>
  <c r="F349" i="9"/>
  <c r="E349" i="9"/>
  <c r="D349" i="9"/>
  <c r="C349" i="9"/>
  <c r="O348" i="9"/>
  <c r="M348" i="9"/>
  <c r="F348" i="9"/>
  <c r="E348" i="9"/>
  <c r="D348" i="9"/>
  <c r="C348" i="9"/>
  <c r="O347" i="9"/>
  <c r="M347" i="9"/>
  <c r="F347" i="9"/>
  <c r="E347" i="9"/>
  <c r="D347" i="9"/>
  <c r="C347" i="9"/>
  <c r="O346" i="9"/>
  <c r="M346" i="9"/>
  <c r="F346" i="9"/>
  <c r="E346" i="9"/>
  <c r="D346" i="9"/>
  <c r="C346" i="9"/>
  <c r="O345" i="9"/>
  <c r="M345" i="9"/>
  <c r="F345" i="9"/>
  <c r="E345" i="9"/>
  <c r="D345" i="9"/>
  <c r="C345" i="9"/>
  <c r="O344" i="9"/>
  <c r="M344" i="9"/>
  <c r="F344" i="9"/>
  <c r="E344" i="9"/>
  <c r="D344" i="9"/>
  <c r="C344" i="9"/>
  <c r="O343" i="9"/>
  <c r="M343" i="9"/>
  <c r="F343" i="9"/>
  <c r="E343" i="9"/>
  <c r="D343" i="9"/>
  <c r="C343" i="9"/>
  <c r="O342" i="9"/>
  <c r="M342" i="9"/>
  <c r="F342" i="9"/>
  <c r="E342" i="9"/>
  <c r="D342" i="9"/>
  <c r="C342" i="9"/>
  <c r="O341" i="9"/>
  <c r="M341" i="9"/>
  <c r="F341" i="9"/>
  <c r="E341" i="9"/>
  <c r="D341" i="9"/>
  <c r="C341" i="9"/>
  <c r="O340" i="9"/>
  <c r="M340" i="9"/>
  <c r="F340" i="9"/>
  <c r="E340" i="9"/>
  <c r="D340" i="9"/>
  <c r="C340" i="9"/>
  <c r="O339" i="9"/>
  <c r="M339" i="9"/>
  <c r="F339" i="9"/>
  <c r="E339" i="9"/>
  <c r="D339" i="9"/>
  <c r="C339" i="9"/>
  <c r="O338" i="9"/>
  <c r="M338" i="9"/>
  <c r="F338" i="9"/>
  <c r="E338" i="9"/>
  <c r="D338" i="9"/>
  <c r="C338" i="9"/>
  <c r="O337" i="9"/>
  <c r="M337" i="9"/>
  <c r="F337" i="9"/>
  <c r="E337" i="9"/>
  <c r="D337" i="9"/>
  <c r="C337" i="9"/>
  <c r="O336" i="9"/>
  <c r="M336" i="9"/>
  <c r="F336" i="9"/>
  <c r="E336" i="9"/>
  <c r="D336" i="9"/>
  <c r="C336" i="9"/>
  <c r="O335" i="9"/>
  <c r="M335" i="9"/>
  <c r="F335" i="9"/>
  <c r="E335" i="9"/>
  <c r="D335" i="9"/>
  <c r="C335" i="9"/>
  <c r="O334" i="9"/>
  <c r="M334" i="9"/>
  <c r="F334" i="9"/>
  <c r="E334" i="9"/>
  <c r="D334" i="9"/>
  <c r="C334" i="9"/>
  <c r="O333" i="9"/>
  <c r="M333" i="9"/>
  <c r="F333" i="9"/>
  <c r="E333" i="9"/>
  <c r="D333" i="9"/>
  <c r="C333" i="9"/>
  <c r="O332" i="9"/>
  <c r="M332" i="9"/>
  <c r="F332" i="9"/>
  <c r="E332" i="9"/>
  <c r="D332" i="9"/>
  <c r="C332" i="9"/>
  <c r="O331" i="9"/>
  <c r="M331" i="9"/>
  <c r="F331" i="9"/>
  <c r="E331" i="9"/>
  <c r="D331" i="9"/>
  <c r="C331" i="9"/>
  <c r="O330" i="9"/>
  <c r="M330" i="9"/>
  <c r="F330" i="9"/>
  <c r="E330" i="9"/>
  <c r="D330" i="9"/>
  <c r="C330" i="9"/>
  <c r="O329" i="9"/>
  <c r="M329" i="9"/>
  <c r="F329" i="9"/>
  <c r="E329" i="9"/>
  <c r="D329" i="9"/>
  <c r="C329" i="9"/>
  <c r="O328" i="9"/>
  <c r="M328" i="9"/>
  <c r="F328" i="9"/>
  <c r="E328" i="9"/>
  <c r="D328" i="9"/>
  <c r="C328" i="9"/>
  <c r="O327" i="9"/>
  <c r="M327" i="9"/>
  <c r="F327" i="9"/>
  <c r="E327" i="9"/>
  <c r="D327" i="9"/>
  <c r="C327" i="9"/>
  <c r="O326" i="9"/>
  <c r="M326" i="9"/>
  <c r="F326" i="9"/>
  <c r="E326" i="9"/>
  <c r="D326" i="9"/>
  <c r="C326" i="9"/>
  <c r="O325" i="9"/>
  <c r="M325" i="9"/>
  <c r="F325" i="9"/>
  <c r="E325" i="9"/>
  <c r="D325" i="9"/>
  <c r="C325" i="9"/>
  <c r="O324" i="9"/>
  <c r="M324" i="9"/>
  <c r="F324" i="9"/>
  <c r="E324" i="9"/>
  <c r="D324" i="9"/>
  <c r="C324" i="9"/>
  <c r="O323" i="9"/>
  <c r="M323" i="9"/>
  <c r="F323" i="9"/>
  <c r="E323" i="9"/>
  <c r="D323" i="9"/>
  <c r="C323" i="9"/>
  <c r="O322" i="9"/>
  <c r="M322" i="9"/>
  <c r="F322" i="9"/>
  <c r="E322" i="9"/>
  <c r="D322" i="9"/>
  <c r="C322" i="9"/>
  <c r="O321" i="9"/>
  <c r="M321" i="9"/>
  <c r="F321" i="9"/>
  <c r="E321" i="9"/>
  <c r="D321" i="9"/>
  <c r="C321" i="9"/>
  <c r="O320" i="9"/>
  <c r="M320" i="9"/>
  <c r="F320" i="9"/>
  <c r="E320" i="9"/>
  <c r="D320" i="9"/>
  <c r="C320" i="9"/>
  <c r="O319" i="9"/>
  <c r="M319" i="9"/>
  <c r="F319" i="9"/>
  <c r="E319" i="9"/>
  <c r="D319" i="9"/>
  <c r="C319" i="9"/>
  <c r="O318" i="9"/>
  <c r="M318" i="9"/>
  <c r="F318" i="9"/>
  <c r="E318" i="9"/>
  <c r="D318" i="9"/>
  <c r="C318" i="9"/>
  <c r="O317" i="9"/>
  <c r="M317" i="9"/>
  <c r="F317" i="9"/>
  <c r="E317" i="9"/>
  <c r="D317" i="9"/>
  <c r="C317" i="9"/>
  <c r="O316" i="9"/>
  <c r="M316" i="9"/>
  <c r="F316" i="9"/>
  <c r="E316" i="9"/>
  <c r="D316" i="9"/>
  <c r="C316" i="9"/>
  <c r="O315" i="9"/>
  <c r="M315" i="9"/>
  <c r="F315" i="9"/>
  <c r="E315" i="9"/>
  <c r="D315" i="9"/>
  <c r="C315" i="9"/>
  <c r="O314" i="9"/>
  <c r="M314" i="9"/>
  <c r="F314" i="9"/>
  <c r="E314" i="9"/>
  <c r="D314" i="9"/>
  <c r="C314" i="9"/>
  <c r="O313" i="9"/>
  <c r="M313" i="9"/>
  <c r="F313" i="9"/>
  <c r="E313" i="9"/>
  <c r="D313" i="9"/>
  <c r="C313" i="9"/>
  <c r="O312" i="9"/>
  <c r="M312" i="9"/>
  <c r="F312" i="9"/>
  <c r="E312" i="9"/>
  <c r="D312" i="9"/>
  <c r="C312" i="9"/>
  <c r="O311" i="9"/>
  <c r="M311" i="9"/>
  <c r="F311" i="9"/>
  <c r="E311" i="9"/>
  <c r="D311" i="9"/>
  <c r="C311" i="9"/>
  <c r="O310" i="9"/>
  <c r="M310" i="9"/>
  <c r="F310" i="9"/>
  <c r="E310" i="9"/>
  <c r="D310" i="9"/>
  <c r="C310" i="9"/>
  <c r="O309" i="9"/>
  <c r="M309" i="9"/>
  <c r="F309" i="9"/>
  <c r="E309" i="9"/>
  <c r="D309" i="9"/>
  <c r="C309" i="9"/>
  <c r="O308" i="9"/>
  <c r="M308" i="9"/>
  <c r="F308" i="9"/>
  <c r="E308" i="9"/>
  <c r="D308" i="9"/>
  <c r="C308" i="9"/>
  <c r="O307" i="9"/>
  <c r="M307" i="9"/>
  <c r="F307" i="9"/>
  <c r="E307" i="9"/>
  <c r="D307" i="9"/>
  <c r="C307" i="9"/>
  <c r="O306" i="9"/>
  <c r="M306" i="9"/>
  <c r="F306" i="9"/>
  <c r="E306" i="9"/>
  <c r="D306" i="9"/>
  <c r="C306" i="9"/>
  <c r="O305" i="9"/>
  <c r="M305" i="9"/>
  <c r="F305" i="9"/>
  <c r="E305" i="9"/>
  <c r="D305" i="9"/>
  <c r="C305" i="9"/>
  <c r="O304" i="9"/>
  <c r="M304" i="9"/>
  <c r="F304" i="9"/>
  <c r="E304" i="9"/>
  <c r="D304" i="9"/>
  <c r="C304" i="9"/>
  <c r="O303" i="9"/>
  <c r="M303" i="9"/>
  <c r="F303" i="9"/>
  <c r="E303" i="9"/>
  <c r="D303" i="9"/>
  <c r="C303" i="9"/>
  <c r="O302" i="9"/>
  <c r="M302" i="9"/>
  <c r="F302" i="9"/>
  <c r="E302" i="9"/>
  <c r="D302" i="9"/>
  <c r="C302" i="9"/>
  <c r="O301" i="9"/>
  <c r="M301" i="9"/>
  <c r="F301" i="9"/>
  <c r="E301" i="9"/>
  <c r="D301" i="9"/>
  <c r="C301" i="9"/>
  <c r="O300" i="9"/>
  <c r="M300" i="9"/>
  <c r="F300" i="9"/>
  <c r="E300" i="9"/>
  <c r="D300" i="9"/>
  <c r="C300" i="9"/>
  <c r="O299" i="9"/>
  <c r="M299" i="9"/>
  <c r="F299" i="9"/>
  <c r="E299" i="9"/>
  <c r="D299" i="9"/>
  <c r="C299" i="9"/>
  <c r="O298" i="9"/>
  <c r="M298" i="9"/>
  <c r="F298" i="9"/>
  <c r="E298" i="9"/>
  <c r="D298" i="9"/>
  <c r="C298" i="9"/>
  <c r="O297" i="9"/>
  <c r="M297" i="9"/>
  <c r="F297" i="9"/>
  <c r="E297" i="9"/>
  <c r="D297" i="9"/>
  <c r="C297" i="9"/>
  <c r="O296" i="9"/>
  <c r="M296" i="9"/>
  <c r="F296" i="9"/>
  <c r="E296" i="9"/>
  <c r="D296" i="9"/>
  <c r="C296" i="9"/>
  <c r="O295" i="9"/>
  <c r="M295" i="9"/>
  <c r="F295" i="9"/>
  <c r="E295" i="9"/>
  <c r="D295" i="9"/>
  <c r="C295" i="9"/>
  <c r="O294" i="9"/>
  <c r="M294" i="9"/>
  <c r="F294" i="9"/>
  <c r="E294" i="9"/>
  <c r="D294" i="9"/>
  <c r="C294" i="9"/>
  <c r="O293" i="9"/>
  <c r="M293" i="9"/>
  <c r="F293" i="9"/>
  <c r="E293" i="9"/>
  <c r="D293" i="9"/>
  <c r="C293" i="9"/>
  <c r="O292" i="9"/>
  <c r="M292" i="9"/>
  <c r="F292" i="9"/>
  <c r="E292" i="9"/>
  <c r="D292" i="9"/>
  <c r="C292" i="9"/>
  <c r="O291" i="9"/>
  <c r="M291" i="9"/>
  <c r="F291" i="9"/>
  <c r="E291" i="9"/>
  <c r="D291" i="9"/>
  <c r="C291" i="9"/>
  <c r="O290" i="9"/>
  <c r="M290" i="9"/>
  <c r="F290" i="9"/>
  <c r="E290" i="9"/>
  <c r="D290" i="9"/>
  <c r="C290" i="9"/>
  <c r="O289" i="9"/>
  <c r="M289" i="9"/>
  <c r="F289" i="9"/>
  <c r="E289" i="9"/>
  <c r="D289" i="9"/>
  <c r="C289" i="9"/>
  <c r="O288" i="9"/>
  <c r="M288" i="9"/>
  <c r="F288" i="9"/>
  <c r="E288" i="9"/>
  <c r="D288" i="9"/>
  <c r="C288" i="9"/>
  <c r="O287" i="9"/>
  <c r="M287" i="9"/>
  <c r="F287" i="9"/>
  <c r="E287" i="9"/>
  <c r="D287" i="9"/>
  <c r="C287" i="9"/>
  <c r="O286" i="9"/>
  <c r="M286" i="9"/>
  <c r="F286" i="9"/>
  <c r="E286" i="9"/>
  <c r="D286" i="9"/>
  <c r="C286" i="9"/>
  <c r="O285" i="9"/>
  <c r="M285" i="9"/>
  <c r="F285" i="9"/>
  <c r="E285" i="9"/>
  <c r="D285" i="9"/>
  <c r="C285" i="9"/>
  <c r="O284" i="9"/>
  <c r="M284" i="9"/>
  <c r="F284" i="9"/>
  <c r="E284" i="9"/>
  <c r="D284" i="9"/>
  <c r="C284" i="9"/>
  <c r="O283" i="9"/>
  <c r="M283" i="9"/>
  <c r="F283" i="9"/>
  <c r="E283" i="9"/>
  <c r="D283" i="9"/>
  <c r="C283" i="9"/>
  <c r="O282" i="9"/>
  <c r="M282" i="9"/>
  <c r="F282" i="9"/>
  <c r="E282" i="9"/>
  <c r="D282" i="9"/>
  <c r="C282" i="9"/>
  <c r="O281" i="9"/>
  <c r="M281" i="9"/>
  <c r="F281" i="9"/>
  <c r="E281" i="9"/>
  <c r="D281" i="9"/>
  <c r="C281" i="9"/>
  <c r="O280" i="9"/>
  <c r="M280" i="9"/>
  <c r="F280" i="9"/>
  <c r="E280" i="9"/>
  <c r="D280" i="9"/>
  <c r="C280" i="9"/>
  <c r="O279" i="9"/>
  <c r="M279" i="9"/>
  <c r="F279" i="9"/>
  <c r="E279" i="9"/>
  <c r="D279" i="9"/>
  <c r="C279" i="9"/>
  <c r="O278" i="9"/>
  <c r="M278" i="9"/>
  <c r="F278" i="9"/>
  <c r="E278" i="9"/>
  <c r="D278" i="9"/>
  <c r="C278" i="9"/>
  <c r="O277" i="9"/>
  <c r="M277" i="9"/>
  <c r="F277" i="9"/>
  <c r="E277" i="9"/>
  <c r="D277" i="9"/>
  <c r="C277" i="9"/>
  <c r="O276" i="9"/>
  <c r="M276" i="9"/>
  <c r="F276" i="9"/>
  <c r="E276" i="9"/>
  <c r="D276" i="9"/>
  <c r="C276" i="9"/>
  <c r="O275" i="9"/>
  <c r="M275" i="9"/>
  <c r="F275" i="9"/>
  <c r="E275" i="9"/>
  <c r="D275" i="9"/>
  <c r="C275" i="9"/>
  <c r="O274" i="9"/>
  <c r="M274" i="9"/>
  <c r="F274" i="9"/>
  <c r="E274" i="9"/>
  <c r="D274" i="9"/>
  <c r="C274" i="9"/>
  <c r="O273" i="9"/>
  <c r="M273" i="9"/>
  <c r="F273" i="9"/>
  <c r="E273" i="9"/>
  <c r="D273" i="9"/>
  <c r="C273" i="9"/>
  <c r="O272" i="9"/>
  <c r="M272" i="9"/>
  <c r="F272" i="9"/>
  <c r="E272" i="9"/>
  <c r="D272" i="9"/>
  <c r="C272" i="9"/>
  <c r="O271" i="9"/>
  <c r="M271" i="9"/>
  <c r="F271" i="9"/>
  <c r="E271" i="9"/>
  <c r="D271" i="9"/>
  <c r="C271" i="9"/>
  <c r="O270" i="9"/>
  <c r="M270" i="9"/>
  <c r="F270" i="9"/>
  <c r="E270" i="9"/>
  <c r="D270" i="9"/>
  <c r="C270" i="9"/>
  <c r="O269" i="9"/>
  <c r="M269" i="9"/>
  <c r="F269" i="9"/>
  <c r="E269" i="9"/>
  <c r="D269" i="9"/>
  <c r="C269" i="9"/>
  <c r="O268" i="9"/>
  <c r="M268" i="9"/>
  <c r="F268" i="9"/>
  <c r="E268" i="9"/>
  <c r="D268" i="9"/>
  <c r="C268" i="9"/>
  <c r="O267" i="9"/>
  <c r="M267" i="9"/>
  <c r="F267" i="9"/>
  <c r="E267" i="9"/>
  <c r="D267" i="9"/>
  <c r="C267" i="9"/>
  <c r="O266" i="9"/>
  <c r="M266" i="9"/>
  <c r="F266" i="9"/>
  <c r="E266" i="9"/>
  <c r="D266" i="9"/>
  <c r="C266" i="9"/>
  <c r="O265" i="9"/>
  <c r="M265" i="9"/>
  <c r="F265" i="9"/>
  <c r="E265" i="9"/>
  <c r="D265" i="9"/>
  <c r="C265" i="9"/>
  <c r="O264" i="9"/>
  <c r="M264" i="9"/>
  <c r="F264" i="9"/>
  <c r="E264" i="9"/>
  <c r="D264" i="9"/>
  <c r="C264" i="9"/>
  <c r="O263" i="9"/>
  <c r="M263" i="9"/>
  <c r="F263" i="9"/>
  <c r="E263" i="9"/>
  <c r="D263" i="9"/>
  <c r="C263" i="9"/>
  <c r="O262" i="9"/>
  <c r="M262" i="9"/>
  <c r="F262" i="9"/>
  <c r="E262" i="9"/>
  <c r="D262" i="9"/>
  <c r="C262" i="9"/>
  <c r="O261" i="9"/>
  <c r="M261" i="9"/>
  <c r="F261" i="9"/>
  <c r="E261" i="9"/>
  <c r="D261" i="9"/>
  <c r="C261" i="9"/>
  <c r="O260" i="9"/>
  <c r="M260" i="9"/>
  <c r="F260" i="9"/>
  <c r="E260" i="9"/>
  <c r="D260" i="9"/>
  <c r="C260" i="9"/>
  <c r="O259" i="9"/>
  <c r="M259" i="9"/>
  <c r="F259" i="9"/>
  <c r="E259" i="9"/>
  <c r="D259" i="9"/>
  <c r="C259" i="9"/>
  <c r="O258" i="9"/>
  <c r="M258" i="9"/>
  <c r="F258" i="9"/>
  <c r="E258" i="9"/>
  <c r="D258" i="9"/>
  <c r="C258" i="9"/>
  <c r="O257" i="9"/>
  <c r="M257" i="9"/>
  <c r="F257" i="9"/>
  <c r="E257" i="9"/>
  <c r="D257" i="9"/>
  <c r="C257" i="9"/>
  <c r="O256" i="9"/>
  <c r="M256" i="9"/>
  <c r="F256" i="9"/>
  <c r="E256" i="9"/>
  <c r="D256" i="9"/>
  <c r="C256" i="9"/>
  <c r="O255" i="9"/>
  <c r="M255" i="9"/>
  <c r="F255" i="9"/>
  <c r="E255" i="9"/>
  <c r="D255" i="9"/>
  <c r="C255" i="9"/>
  <c r="O254" i="9"/>
  <c r="M254" i="9"/>
  <c r="F254" i="9"/>
  <c r="E254" i="9"/>
  <c r="D254" i="9"/>
  <c r="C254" i="9"/>
  <c r="O253" i="9"/>
  <c r="M253" i="9"/>
  <c r="F253" i="9"/>
  <c r="E253" i="9"/>
  <c r="D253" i="9"/>
  <c r="C253" i="9"/>
  <c r="O252" i="9"/>
  <c r="M252" i="9"/>
  <c r="F252" i="9"/>
  <c r="E252" i="9"/>
  <c r="D252" i="9"/>
  <c r="C252" i="9"/>
  <c r="O251" i="9"/>
  <c r="M251" i="9"/>
  <c r="F251" i="9"/>
  <c r="E251" i="9"/>
  <c r="D251" i="9"/>
  <c r="C251" i="9"/>
  <c r="O250" i="9"/>
  <c r="M250" i="9"/>
  <c r="F250" i="9"/>
  <c r="E250" i="9"/>
  <c r="D250" i="9"/>
  <c r="C250" i="9"/>
  <c r="O249" i="9"/>
  <c r="M249" i="9"/>
  <c r="F249" i="9"/>
  <c r="E249" i="9"/>
  <c r="D249" i="9"/>
  <c r="C249" i="9"/>
  <c r="O248" i="9"/>
  <c r="M248" i="9"/>
  <c r="F248" i="9"/>
  <c r="E248" i="9"/>
  <c r="D248" i="9"/>
  <c r="C248" i="9"/>
  <c r="O247" i="9"/>
  <c r="M247" i="9"/>
  <c r="F247" i="9"/>
  <c r="E247" i="9"/>
  <c r="D247" i="9"/>
  <c r="C247" i="9"/>
  <c r="O246" i="9"/>
  <c r="M246" i="9"/>
  <c r="F246" i="9"/>
  <c r="E246" i="9"/>
  <c r="D246" i="9"/>
  <c r="C246" i="9"/>
  <c r="O245" i="9"/>
  <c r="M245" i="9"/>
  <c r="F245" i="9"/>
  <c r="E245" i="9"/>
  <c r="D245" i="9"/>
  <c r="C245" i="9"/>
  <c r="O244" i="9"/>
  <c r="M244" i="9"/>
  <c r="F244" i="9"/>
  <c r="E244" i="9"/>
  <c r="D244" i="9"/>
  <c r="C244" i="9"/>
  <c r="O243" i="9"/>
  <c r="M243" i="9"/>
  <c r="F243" i="9"/>
  <c r="E243" i="9"/>
  <c r="D243" i="9"/>
  <c r="C243" i="9"/>
  <c r="O242" i="9"/>
  <c r="M242" i="9"/>
  <c r="F242" i="9"/>
  <c r="E242" i="9"/>
  <c r="D242" i="9"/>
  <c r="C242" i="9"/>
  <c r="O241" i="9"/>
  <c r="M241" i="9"/>
  <c r="F241" i="9"/>
  <c r="E241" i="9"/>
  <c r="D241" i="9"/>
  <c r="C241" i="9"/>
  <c r="O240" i="9"/>
  <c r="M240" i="9"/>
  <c r="F240" i="9"/>
  <c r="E240" i="9"/>
  <c r="D240" i="9"/>
  <c r="C240" i="9"/>
  <c r="O239" i="9"/>
  <c r="M239" i="9"/>
  <c r="F239" i="9"/>
  <c r="E239" i="9"/>
  <c r="D239" i="9"/>
  <c r="C239" i="9"/>
  <c r="O238" i="9"/>
  <c r="M238" i="9"/>
  <c r="F238" i="9"/>
  <c r="E238" i="9"/>
  <c r="D238" i="9"/>
  <c r="C238" i="9"/>
  <c r="O237" i="9"/>
  <c r="M237" i="9"/>
  <c r="F237" i="9"/>
  <c r="E237" i="9"/>
  <c r="D237" i="9"/>
  <c r="C237" i="9"/>
  <c r="O236" i="9"/>
  <c r="M236" i="9"/>
  <c r="F236" i="9"/>
  <c r="E236" i="9"/>
  <c r="D236" i="9"/>
  <c r="C236" i="9"/>
  <c r="O235" i="9"/>
  <c r="M235" i="9"/>
  <c r="F235" i="9"/>
  <c r="E235" i="9"/>
  <c r="D235" i="9"/>
  <c r="C235" i="9"/>
  <c r="O234" i="9"/>
  <c r="M234" i="9"/>
  <c r="F234" i="9"/>
  <c r="E234" i="9"/>
  <c r="D234" i="9"/>
  <c r="C234" i="9"/>
  <c r="O233" i="9"/>
  <c r="M233" i="9"/>
  <c r="F233" i="9"/>
  <c r="E233" i="9"/>
  <c r="D233" i="9"/>
  <c r="C233" i="9"/>
  <c r="O232" i="9"/>
  <c r="M232" i="9"/>
  <c r="F232" i="9"/>
  <c r="E232" i="9"/>
  <c r="D232" i="9"/>
  <c r="C232" i="9"/>
  <c r="O231" i="9"/>
  <c r="M231" i="9"/>
  <c r="F231" i="9"/>
  <c r="E231" i="9"/>
  <c r="D231" i="9"/>
  <c r="C231" i="9"/>
  <c r="O230" i="9"/>
  <c r="M230" i="9"/>
  <c r="F230" i="9"/>
  <c r="E230" i="9"/>
  <c r="D230" i="9"/>
  <c r="C230" i="9"/>
  <c r="O229" i="9"/>
  <c r="M229" i="9"/>
  <c r="F229" i="9"/>
  <c r="E229" i="9"/>
  <c r="D229" i="9"/>
  <c r="C229" i="9"/>
  <c r="O228" i="9"/>
  <c r="M228" i="9"/>
  <c r="F228" i="9"/>
  <c r="E228" i="9"/>
  <c r="D228" i="9"/>
  <c r="C228" i="9"/>
  <c r="O227" i="9"/>
  <c r="M227" i="9"/>
  <c r="F227" i="9"/>
  <c r="E227" i="9"/>
  <c r="D227" i="9"/>
  <c r="C227" i="9"/>
  <c r="O226" i="9"/>
  <c r="M226" i="9"/>
  <c r="F226" i="9"/>
  <c r="E226" i="9"/>
  <c r="D226" i="9"/>
  <c r="C226" i="9"/>
  <c r="O225" i="9"/>
  <c r="M225" i="9"/>
  <c r="F225" i="9"/>
  <c r="E225" i="9"/>
  <c r="D225" i="9"/>
  <c r="C225" i="9"/>
  <c r="O224" i="9"/>
  <c r="M224" i="9"/>
  <c r="F224" i="9"/>
  <c r="E224" i="9"/>
  <c r="D224" i="9"/>
  <c r="C224" i="9"/>
  <c r="O223" i="9"/>
  <c r="M223" i="9"/>
  <c r="F223" i="9"/>
  <c r="E223" i="9"/>
  <c r="D223" i="9"/>
  <c r="C223" i="9"/>
  <c r="O222" i="9"/>
  <c r="M222" i="9"/>
  <c r="F222" i="9"/>
  <c r="E222" i="9"/>
  <c r="D222" i="9"/>
  <c r="C222" i="9"/>
  <c r="O221" i="9"/>
  <c r="M221" i="9"/>
  <c r="F221" i="9"/>
  <c r="E221" i="9"/>
  <c r="D221" i="9"/>
  <c r="C221" i="9"/>
  <c r="O220" i="9"/>
  <c r="M220" i="9"/>
  <c r="F220" i="9"/>
  <c r="E220" i="9"/>
  <c r="D220" i="9"/>
  <c r="C220" i="9"/>
  <c r="O219" i="9"/>
  <c r="M219" i="9"/>
  <c r="F219" i="9"/>
  <c r="E219" i="9"/>
  <c r="D219" i="9"/>
  <c r="C219" i="9"/>
  <c r="O218" i="9"/>
  <c r="M218" i="9"/>
  <c r="F218" i="9"/>
  <c r="E218" i="9"/>
  <c r="D218" i="9"/>
  <c r="C218" i="9"/>
  <c r="O217" i="9"/>
  <c r="M217" i="9"/>
  <c r="F217" i="9"/>
  <c r="E217" i="9"/>
  <c r="D217" i="9"/>
  <c r="C217" i="9"/>
  <c r="O216" i="9"/>
  <c r="M216" i="9"/>
  <c r="F216" i="9"/>
  <c r="E216" i="9"/>
  <c r="D216" i="9"/>
  <c r="C216" i="9"/>
  <c r="O215" i="9"/>
  <c r="M215" i="9"/>
  <c r="F215" i="9"/>
  <c r="E215" i="9"/>
  <c r="D215" i="9"/>
  <c r="C215" i="9"/>
  <c r="O214" i="9"/>
  <c r="M214" i="9"/>
  <c r="F214" i="9"/>
  <c r="E214" i="9"/>
  <c r="D214" i="9"/>
  <c r="C214" i="9"/>
  <c r="O213" i="9"/>
  <c r="M213" i="9"/>
  <c r="F213" i="9"/>
  <c r="E213" i="9"/>
  <c r="D213" i="9"/>
  <c r="C213" i="9"/>
  <c r="O212" i="9"/>
  <c r="M212" i="9"/>
  <c r="F212" i="9"/>
  <c r="E212" i="9"/>
  <c r="D212" i="9"/>
  <c r="C212" i="9"/>
  <c r="O211" i="9"/>
  <c r="M211" i="9"/>
  <c r="F211" i="9"/>
  <c r="E211" i="9"/>
  <c r="D211" i="9"/>
  <c r="C211" i="9"/>
  <c r="O210" i="9"/>
  <c r="M210" i="9"/>
  <c r="F210" i="9"/>
  <c r="E210" i="9"/>
  <c r="D210" i="9"/>
  <c r="C210" i="9"/>
  <c r="O209" i="9"/>
  <c r="M209" i="9"/>
  <c r="F209" i="9"/>
  <c r="E209" i="9"/>
  <c r="D209" i="9"/>
  <c r="C209" i="9"/>
  <c r="O208" i="9"/>
  <c r="M208" i="9"/>
  <c r="F208" i="9"/>
  <c r="E208" i="9"/>
  <c r="D208" i="9"/>
  <c r="C208" i="9"/>
  <c r="O207" i="9"/>
  <c r="M207" i="9"/>
  <c r="F207" i="9"/>
  <c r="E207" i="9"/>
  <c r="D207" i="9"/>
  <c r="C207" i="9"/>
  <c r="O206" i="9"/>
  <c r="M206" i="9"/>
  <c r="F206" i="9"/>
  <c r="E206" i="9"/>
  <c r="D206" i="9"/>
  <c r="C206" i="9"/>
  <c r="O205" i="9"/>
  <c r="M205" i="9"/>
  <c r="F205" i="9"/>
  <c r="E205" i="9"/>
  <c r="D205" i="9"/>
  <c r="C205" i="9"/>
  <c r="O204" i="9"/>
  <c r="M204" i="9"/>
  <c r="F204" i="9"/>
  <c r="E204" i="9"/>
  <c r="D204" i="9"/>
  <c r="C204" i="9"/>
  <c r="O203" i="9"/>
  <c r="M203" i="9"/>
  <c r="F203" i="9"/>
  <c r="E203" i="9"/>
  <c r="D203" i="9"/>
  <c r="C203" i="9"/>
  <c r="O202" i="9"/>
  <c r="M202" i="9"/>
  <c r="F202" i="9"/>
  <c r="E202" i="9"/>
  <c r="D202" i="9"/>
  <c r="C202" i="9"/>
  <c r="O201" i="9"/>
  <c r="M201" i="9"/>
  <c r="F201" i="9"/>
  <c r="E201" i="9"/>
  <c r="D201" i="9"/>
  <c r="C201" i="9"/>
  <c r="O200" i="9"/>
  <c r="M200" i="9"/>
  <c r="F200" i="9"/>
  <c r="E200" i="9"/>
  <c r="D200" i="9"/>
  <c r="C200" i="9"/>
  <c r="O199" i="9"/>
  <c r="M199" i="9"/>
  <c r="F199" i="9"/>
  <c r="E199" i="9"/>
  <c r="D199" i="9"/>
  <c r="C199" i="9"/>
  <c r="O198" i="9"/>
  <c r="M198" i="9"/>
  <c r="F198" i="9"/>
  <c r="E198" i="9"/>
  <c r="D198" i="9"/>
  <c r="C198" i="9"/>
  <c r="O197" i="9"/>
  <c r="M197" i="9"/>
  <c r="F197" i="9"/>
  <c r="E197" i="9"/>
  <c r="D197" i="9"/>
  <c r="C197" i="9"/>
  <c r="O196" i="9"/>
  <c r="M196" i="9"/>
  <c r="F196" i="9"/>
  <c r="E196" i="9"/>
  <c r="D196" i="9"/>
  <c r="C196" i="9"/>
  <c r="O195" i="9"/>
  <c r="M195" i="9"/>
  <c r="F195" i="9"/>
  <c r="E195" i="9"/>
  <c r="D195" i="9"/>
  <c r="C195" i="9"/>
  <c r="O194" i="9"/>
  <c r="M194" i="9"/>
  <c r="F194" i="9"/>
  <c r="E194" i="9"/>
  <c r="D194" i="9"/>
  <c r="C194" i="9"/>
  <c r="O193" i="9"/>
  <c r="M193" i="9"/>
  <c r="F193" i="9"/>
  <c r="E193" i="9"/>
  <c r="D193" i="9"/>
  <c r="C193" i="9"/>
  <c r="O192" i="9"/>
  <c r="M192" i="9"/>
  <c r="F192" i="9"/>
  <c r="E192" i="9"/>
  <c r="D192" i="9"/>
  <c r="C192" i="9"/>
  <c r="O191" i="9"/>
  <c r="M191" i="9"/>
  <c r="F191" i="9"/>
  <c r="E191" i="9"/>
  <c r="D191" i="9"/>
  <c r="C191" i="9"/>
  <c r="O190" i="9"/>
  <c r="M190" i="9"/>
  <c r="F190" i="9"/>
  <c r="E190" i="9"/>
  <c r="D190" i="9"/>
  <c r="C190" i="9"/>
  <c r="O189" i="9"/>
  <c r="M189" i="9"/>
  <c r="F189" i="9"/>
  <c r="E189" i="9"/>
  <c r="D189" i="9"/>
  <c r="C189" i="9"/>
  <c r="O188" i="9"/>
  <c r="M188" i="9"/>
  <c r="F188" i="9"/>
  <c r="E188" i="9"/>
  <c r="D188" i="9"/>
  <c r="C188" i="9"/>
  <c r="O187" i="9"/>
  <c r="M187" i="9"/>
  <c r="F187" i="9"/>
  <c r="E187" i="9"/>
  <c r="D187" i="9"/>
  <c r="C187" i="9"/>
  <c r="O186" i="9"/>
  <c r="M186" i="9"/>
  <c r="F186" i="9"/>
  <c r="E186" i="9"/>
  <c r="D186" i="9"/>
  <c r="C186" i="9"/>
  <c r="O185" i="9"/>
  <c r="M185" i="9"/>
  <c r="F185" i="9"/>
  <c r="E185" i="9"/>
  <c r="D185" i="9"/>
  <c r="C185" i="9"/>
  <c r="O184" i="9"/>
  <c r="M184" i="9"/>
  <c r="F184" i="9"/>
  <c r="E184" i="9"/>
  <c r="D184" i="9"/>
  <c r="C184" i="9"/>
  <c r="O183" i="9"/>
  <c r="M183" i="9"/>
  <c r="F183" i="9"/>
  <c r="E183" i="9"/>
  <c r="D183" i="9"/>
  <c r="C183" i="9"/>
  <c r="O182" i="9"/>
  <c r="M182" i="9"/>
  <c r="F182" i="9"/>
  <c r="E182" i="9"/>
  <c r="D182" i="9"/>
  <c r="C182" i="9"/>
  <c r="O181" i="9"/>
  <c r="M181" i="9"/>
  <c r="F181" i="9"/>
  <c r="E181" i="9"/>
  <c r="D181" i="9"/>
  <c r="C181" i="9"/>
  <c r="O180" i="9"/>
  <c r="M180" i="9"/>
  <c r="F180" i="9"/>
  <c r="E180" i="9"/>
  <c r="D180" i="9"/>
  <c r="C180" i="9"/>
  <c r="O179" i="9"/>
  <c r="M179" i="9"/>
  <c r="F179" i="9"/>
  <c r="E179" i="9"/>
  <c r="D179" i="9"/>
  <c r="C179" i="9"/>
  <c r="O178" i="9"/>
  <c r="M178" i="9"/>
  <c r="F178" i="9"/>
  <c r="E178" i="9"/>
  <c r="D178" i="9"/>
  <c r="C178" i="9"/>
  <c r="O177" i="9"/>
  <c r="M177" i="9"/>
  <c r="F177" i="9"/>
  <c r="E177" i="9"/>
  <c r="D177" i="9"/>
  <c r="C177" i="9"/>
  <c r="O176" i="9"/>
  <c r="M176" i="9"/>
  <c r="F176" i="9"/>
  <c r="E176" i="9"/>
  <c r="D176" i="9"/>
  <c r="C176" i="9"/>
  <c r="O175" i="9"/>
  <c r="M175" i="9"/>
  <c r="F175" i="9"/>
  <c r="E175" i="9"/>
  <c r="D175" i="9"/>
  <c r="C175" i="9"/>
  <c r="O174" i="9"/>
  <c r="M174" i="9"/>
  <c r="F174" i="9"/>
  <c r="E174" i="9"/>
  <c r="D174" i="9"/>
  <c r="C174" i="9"/>
  <c r="O173" i="9"/>
  <c r="M173" i="9"/>
  <c r="F173" i="9"/>
  <c r="E173" i="9"/>
  <c r="D173" i="9"/>
  <c r="C173" i="9"/>
  <c r="O172" i="9"/>
  <c r="M172" i="9"/>
  <c r="F172" i="9"/>
  <c r="E172" i="9"/>
  <c r="D172" i="9"/>
  <c r="C172" i="9"/>
  <c r="O171" i="9"/>
  <c r="M171" i="9"/>
  <c r="F171" i="9"/>
  <c r="E171" i="9"/>
  <c r="D171" i="9"/>
  <c r="C171" i="9"/>
  <c r="O170" i="9"/>
  <c r="M170" i="9"/>
  <c r="L170" i="9"/>
  <c r="L182" i="9" s="1"/>
  <c r="F170" i="9"/>
  <c r="E170" i="9"/>
  <c r="D170" i="9"/>
  <c r="C170" i="9"/>
  <c r="O169" i="9"/>
  <c r="M169" i="9"/>
  <c r="F169" i="9"/>
  <c r="E169" i="9"/>
  <c r="D169" i="9"/>
  <c r="C169" i="9"/>
  <c r="O168" i="9"/>
  <c r="M168" i="9"/>
  <c r="F168" i="9"/>
  <c r="E168" i="9"/>
  <c r="D168" i="9"/>
  <c r="C168" i="9"/>
  <c r="O167" i="9"/>
  <c r="M167" i="9"/>
  <c r="F167" i="9"/>
  <c r="E167" i="9"/>
  <c r="D167" i="9"/>
  <c r="C167" i="9"/>
  <c r="O166" i="9"/>
  <c r="M166" i="9"/>
  <c r="F166" i="9"/>
  <c r="E166" i="9"/>
  <c r="D166" i="9"/>
  <c r="C166" i="9"/>
  <c r="O165" i="9"/>
  <c r="M165" i="9"/>
  <c r="F165" i="9"/>
  <c r="E165" i="9"/>
  <c r="D165" i="9"/>
  <c r="C165" i="9"/>
  <c r="O164" i="9"/>
  <c r="M164" i="9"/>
  <c r="F164" i="9"/>
  <c r="E164" i="9"/>
  <c r="D164" i="9"/>
  <c r="C164" i="9"/>
  <c r="O163" i="9"/>
  <c r="M163" i="9"/>
  <c r="K163" i="9"/>
  <c r="F163" i="9"/>
  <c r="E163" i="9"/>
  <c r="D163" i="9"/>
  <c r="C163" i="9"/>
  <c r="O162" i="9"/>
  <c r="M162" i="9"/>
  <c r="F162" i="9"/>
  <c r="E162" i="9"/>
  <c r="D162" i="9"/>
  <c r="C162" i="9"/>
  <c r="O161" i="9"/>
  <c r="M161" i="9"/>
  <c r="K161" i="9"/>
  <c r="F161" i="9"/>
  <c r="E161" i="9"/>
  <c r="D161" i="9"/>
  <c r="C161" i="9"/>
  <c r="O160" i="9"/>
  <c r="M160" i="9"/>
  <c r="F160" i="9"/>
  <c r="E160" i="9"/>
  <c r="D160" i="9"/>
  <c r="C160" i="9"/>
  <c r="O159" i="9"/>
  <c r="M159" i="9"/>
  <c r="F159" i="9"/>
  <c r="E159" i="9"/>
  <c r="D159" i="9"/>
  <c r="C159" i="9"/>
  <c r="O158" i="9"/>
  <c r="M158" i="9"/>
  <c r="K158" i="9"/>
  <c r="F158" i="9"/>
  <c r="E158" i="9"/>
  <c r="D158" i="9"/>
  <c r="C158" i="9"/>
  <c r="K159" i="9" l="1"/>
  <c r="K169" i="9"/>
  <c r="K167" i="9"/>
  <c r="K176" i="9"/>
  <c r="K182" i="9"/>
  <c r="L194" i="9"/>
  <c r="K187" i="9" s="1"/>
  <c r="K162" i="9"/>
  <c r="K170" i="9"/>
  <c r="K177" i="9"/>
  <c r="K178" i="9"/>
  <c r="K171" i="9"/>
  <c r="K179" i="9"/>
  <c r="K164" i="9"/>
  <c r="K165" i="9"/>
  <c r="K172" i="9"/>
  <c r="K180" i="9"/>
  <c r="K166" i="9"/>
  <c r="K173" i="9"/>
  <c r="K181" i="9"/>
  <c r="K174" i="9"/>
  <c r="K160" i="9"/>
  <c r="K168" i="9"/>
  <c r="K175" i="9"/>
  <c r="K194" i="9" l="1"/>
  <c r="L206" i="9"/>
  <c r="K200" i="9" s="1"/>
  <c r="K183" i="9"/>
  <c r="K191" i="9"/>
  <c r="K184" i="9"/>
  <c r="K188" i="9"/>
  <c r="K192" i="9"/>
  <c r="K185" i="9"/>
  <c r="K189" i="9"/>
  <c r="K193" i="9"/>
  <c r="K186" i="9"/>
  <c r="K190" i="9"/>
  <c r="K199" i="9" l="1"/>
  <c r="K198" i="9"/>
  <c r="K195" i="9"/>
  <c r="K203" i="9"/>
  <c r="K204" i="9"/>
  <c r="K197" i="9"/>
  <c r="L218" i="9"/>
  <c r="K211" i="9" s="1"/>
  <c r="K206" i="9"/>
  <c r="K196" i="9"/>
  <c r="K205" i="9"/>
  <c r="K201" i="9"/>
  <c r="K202" i="9"/>
  <c r="K213" i="9" l="1"/>
  <c r="K217" i="9"/>
  <c r="K207" i="9"/>
  <c r="K215" i="9"/>
  <c r="K214" i="9"/>
  <c r="K210" i="9"/>
  <c r="K216" i="9"/>
  <c r="K209" i="9"/>
  <c r="K218" i="9"/>
  <c r="L230" i="9"/>
  <c r="K227" i="9" s="1"/>
  <c r="K208" i="9"/>
  <c r="K212" i="9"/>
  <c r="K221" i="9" l="1"/>
  <c r="K220" i="9"/>
  <c r="K219" i="9"/>
  <c r="K229" i="9"/>
  <c r="K225" i="9"/>
  <c r="K228" i="9"/>
  <c r="K226" i="9"/>
  <c r="K222" i="9"/>
  <c r="K223" i="9"/>
  <c r="K230" i="9"/>
  <c r="L242" i="9"/>
  <c r="K232" i="9" s="1"/>
  <c r="K224" i="9"/>
  <c r="K237" i="9" l="1"/>
  <c r="K238" i="9"/>
  <c r="K231" i="9"/>
  <c r="K239" i="9"/>
  <c r="K241" i="9"/>
  <c r="K235" i="9"/>
  <c r="K234" i="9"/>
  <c r="K242" i="9"/>
  <c r="L254" i="9"/>
  <c r="K247" i="9" s="1"/>
  <c r="K240" i="9"/>
  <c r="K236" i="9"/>
  <c r="K233" i="9"/>
  <c r="K254" i="9" l="1"/>
  <c r="L266" i="9"/>
  <c r="K263" i="9" s="1"/>
  <c r="K246" i="9"/>
  <c r="K251" i="9"/>
  <c r="K243" i="9"/>
  <c r="K244" i="9"/>
  <c r="K248" i="9"/>
  <c r="K252" i="9"/>
  <c r="K245" i="9"/>
  <c r="K249" i="9"/>
  <c r="K253" i="9"/>
  <c r="K250" i="9"/>
  <c r="K264" i="9" l="1"/>
  <c r="K259" i="9"/>
  <c r="K260" i="9"/>
  <c r="K261" i="9"/>
  <c r="K265" i="9"/>
  <c r="K257" i="9"/>
  <c r="K262" i="9"/>
  <c r="K258" i="9"/>
  <c r="K255" i="9"/>
  <c r="L278" i="9"/>
  <c r="K271" i="9" s="1"/>
  <c r="K266" i="9"/>
  <c r="K256" i="9"/>
  <c r="K268" i="9" l="1"/>
  <c r="K275" i="9"/>
  <c r="K269" i="9"/>
  <c r="K276" i="9"/>
  <c r="K273" i="9"/>
  <c r="K277" i="9"/>
  <c r="K274" i="9"/>
  <c r="K270" i="9"/>
  <c r="K267" i="9"/>
  <c r="K278" i="9"/>
  <c r="L290" i="9"/>
  <c r="K286" i="9" s="1"/>
  <c r="K282" i="9"/>
  <c r="K272" i="9"/>
  <c r="K284" i="9" l="1"/>
  <c r="K279" i="9"/>
  <c r="K285" i="9"/>
  <c r="K287" i="9"/>
  <c r="K283" i="9"/>
  <c r="K289" i="9"/>
  <c r="L302" i="9"/>
  <c r="K292" i="9" s="1"/>
  <c r="K290" i="9"/>
  <c r="K280" i="9"/>
  <c r="K281" i="9"/>
  <c r="K288" i="9"/>
  <c r="K300" i="9" l="1"/>
  <c r="K297" i="9"/>
  <c r="K294" i="9"/>
  <c r="K293" i="9"/>
  <c r="K295" i="9"/>
  <c r="K291" i="9"/>
  <c r="K298" i="9"/>
  <c r="K299" i="9"/>
  <c r="K301" i="9"/>
  <c r="L314" i="9"/>
  <c r="K307" i="9" s="1"/>
  <c r="K302" i="9"/>
  <c r="K296" i="9"/>
  <c r="K309" i="9" l="1"/>
  <c r="K304" i="9"/>
  <c r="K313" i="9"/>
  <c r="K312" i="9"/>
  <c r="K311" i="9"/>
  <c r="K306" i="9"/>
  <c r="K314" i="9"/>
  <c r="L326" i="9"/>
  <c r="K321" i="9" s="1"/>
  <c r="K308" i="9"/>
  <c r="K310" i="9"/>
  <c r="K303" i="9"/>
  <c r="K305" i="9"/>
  <c r="K318" i="9" l="1"/>
  <c r="K319" i="9"/>
  <c r="K320" i="9"/>
  <c r="K315" i="9"/>
  <c r="L338" i="9"/>
  <c r="K333" i="9" s="1"/>
  <c r="K326" i="9"/>
  <c r="K316" i="9"/>
  <c r="K322" i="9"/>
  <c r="K323" i="9"/>
  <c r="K317" i="9"/>
  <c r="K324" i="9"/>
  <c r="K325" i="9"/>
  <c r="K327" i="9" l="1"/>
  <c r="K329" i="9"/>
  <c r="K330" i="9"/>
  <c r="K332" i="9"/>
  <c r="K337" i="9"/>
  <c r="K331" i="9"/>
  <c r="K338" i="9"/>
  <c r="L350" i="9"/>
  <c r="K343" i="9" s="1"/>
  <c r="K335" i="9"/>
  <c r="K328" i="9"/>
  <c r="K334" i="9"/>
  <c r="K336" i="9"/>
  <c r="K349" i="9" l="1"/>
  <c r="K344" i="9"/>
  <c r="K341" i="9"/>
  <c r="K345" i="9"/>
  <c r="K340" i="9"/>
  <c r="K346" i="9"/>
  <c r="K348" i="9"/>
  <c r="K339" i="9"/>
  <c r="K342" i="9"/>
  <c r="K347" i="9"/>
  <c r="K350" i="9"/>
  <c r="L362" i="9"/>
  <c r="K357" i="9" s="1"/>
  <c r="K358" i="9" l="1"/>
  <c r="K359" i="9"/>
  <c r="K352" i="9"/>
  <c r="K351" i="9"/>
  <c r="K356" i="9"/>
  <c r="K360" i="9"/>
  <c r="K355" i="9"/>
  <c r="K354" i="9"/>
  <c r="K362" i="9"/>
  <c r="L374" i="9"/>
  <c r="K367" i="9" s="1"/>
  <c r="K353" i="9"/>
  <c r="K361" i="9"/>
  <c r="K366" i="9" l="1"/>
  <c r="K371" i="9"/>
  <c r="K365" i="9"/>
  <c r="K363" i="9"/>
  <c r="K374" i="9"/>
  <c r="L386" i="9"/>
  <c r="K376" i="9" s="1"/>
  <c r="K370" i="9"/>
  <c r="K368" i="9"/>
  <c r="K364" i="9"/>
  <c r="K372" i="9"/>
  <c r="K369" i="9"/>
  <c r="K373" i="9"/>
  <c r="K381" i="9" l="1"/>
  <c r="K377" i="9"/>
  <c r="K382" i="9"/>
  <c r="K375" i="9"/>
  <c r="K378" i="9"/>
  <c r="K380" i="9"/>
  <c r="K385" i="9"/>
  <c r="K383" i="9"/>
  <c r="K379" i="9"/>
  <c r="L398" i="9"/>
  <c r="K391" i="9" s="1"/>
  <c r="K386" i="9"/>
  <c r="K384" i="9"/>
  <c r="K392" i="9" l="1"/>
  <c r="K390" i="9"/>
  <c r="K394" i="9"/>
  <c r="K398" i="9"/>
  <c r="L410" i="9"/>
  <c r="K405" i="9" s="1"/>
  <c r="K388" i="9"/>
  <c r="K396" i="9"/>
  <c r="K387" i="9"/>
  <c r="K393" i="9"/>
  <c r="K389" i="9"/>
  <c r="K395" i="9"/>
  <c r="K397" i="9"/>
  <c r="K402" i="9" l="1"/>
  <c r="K403" i="9"/>
  <c r="K408" i="9"/>
  <c r="K407" i="9"/>
  <c r="K410" i="9"/>
  <c r="L422" i="9"/>
  <c r="K411" i="9" s="1"/>
  <c r="K400" i="9"/>
  <c r="K399" i="9"/>
  <c r="K401" i="9"/>
  <c r="K406" i="9"/>
  <c r="K404" i="9"/>
  <c r="K409" i="9"/>
  <c r="K415" i="9" l="1"/>
  <c r="K420" i="9"/>
  <c r="K416" i="9"/>
  <c r="K421" i="9"/>
  <c r="K414" i="9"/>
  <c r="K417" i="9"/>
  <c r="K413" i="9"/>
  <c r="K418" i="9"/>
  <c r="K412" i="9"/>
  <c r="L434" i="9"/>
  <c r="K427" i="9" s="1"/>
  <c r="K422" i="9"/>
  <c r="K419" i="9"/>
  <c r="K424" i="9" l="1"/>
  <c r="K432" i="9"/>
  <c r="K425" i="9"/>
  <c r="K433" i="9"/>
  <c r="K430" i="9"/>
  <c r="K426" i="9"/>
  <c r="K429" i="9"/>
  <c r="K444" i="9"/>
  <c r="K434" i="9"/>
  <c r="L446" i="9"/>
  <c r="K445" i="9" s="1"/>
  <c r="K442" i="9"/>
  <c r="K423" i="9"/>
  <c r="K431" i="9"/>
  <c r="K428" i="9"/>
  <c r="K435" i="9" l="1"/>
  <c r="K436" i="9"/>
  <c r="K443" i="9"/>
  <c r="K441" i="9"/>
  <c r="K438" i="9"/>
  <c r="K437" i="9"/>
  <c r="K439" i="9"/>
  <c r="L458" i="9"/>
  <c r="K451" i="9" s="1"/>
  <c r="K446" i="9"/>
  <c r="K440" i="9"/>
  <c r="K450" i="9" l="1"/>
  <c r="K449" i="9"/>
  <c r="K453" i="9"/>
  <c r="L470" i="9"/>
  <c r="K468" i="9" s="1"/>
  <c r="K458" i="9"/>
  <c r="K452" i="9"/>
  <c r="K454" i="9"/>
  <c r="K457" i="9"/>
  <c r="K448" i="9"/>
  <c r="K455" i="9"/>
  <c r="K447" i="9"/>
  <c r="K456" i="9"/>
  <c r="K463" i="9" l="1"/>
  <c r="K460" i="9"/>
  <c r="K469" i="9"/>
  <c r="K461" i="9"/>
  <c r="K467" i="9"/>
  <c r="K459" i="9"/>
  <c r="K462" i="9"/>
  <c r="K470" i="9"/>
  <c r="L482" i="9"/>
  <c r="K474" i="9" s="1"/>
  <c r="K464" i="9"/>
  <c r="K465" i="9"/>
  <c r="K466" i="9"/>
  <c r="K477" i="9" l="1"/>
  <c r="K475" i="9"/>
  <c r="K478" i="9"/>
  <c r="K472" i="9"/>
  <c r="K473" i="9"/>
  <c r="K471" i="9"/>
  <c r="K481" i="9"/>
  <c r="K480" i="9"/>
  <c r="K482" i="9"/>
  <c r="L494" i="9"/>
  <c r="K491" i="9" s="1"/>
  <c r="K479" i="9"/>
  <c r="K476" i="9"/>
  <c r="K485" i="9" l="1"/>
  <c r="K487" i="9"/>
  <c r="K493" i="9"/>
  <c r="K494" i="9"/>
  <c r="L506" i="9"/>
  <c r="K499" i="9" s="1"/>
  <c r="K488" i="9"/>
  <c r="K492" i="9"/>
  <c r="K484" i="9"/>
  <c r="K490" i="9"/>
  <c r="K489" i="9"/>
  <c r="K486" i="9"/>
  <c r="K483" i="9"/>
  <c r="K502" i="9" l="1"/>
  <c r="K495" i="9"/>
  <c r="K503" i="9"/>
  <c r="K496" i="9"/>
  <c r="K506" i="9"/>
  <c r="L518" i="9"/>
  <c r="K510" i="9" s="1"/>
  <c r="K504" i="9"/>
  <c r="K497" i="9"/>
  <c r="K500" i="9"/>
  <c r="K505" i="9"/>
  <c r="K501" i="9"/>
  <c r="K498" i="9"/>
  <c r="K514" i="9" l="1"/>
  <c r="K512" i="9"/>
  <c r="K511" i="9"/>
  <c r="K507" i="9"/>
  <c r="K515" i="9"/>
  <c r="K509" i="9"/>
  <c r="K517" i="9"/>
  <c r="K518" i="9"/>
  <c r="L530" i="9"/>
  <c r="K520" i="9" s="1"/>
  <c r="K508" i="9"/>
  <c r="K516" i="9"/>
  <c r="K513" i="9"/>
  <c r="K526" i="9" l="1"/>
  <c r="K529" i="9"/>
  <c r="K519" i="9"/>
  <c r="K523" i="9"/>
  <c r="K525" i="9"/>
  <c r="K521" i="9"/>
  <c r="K527" i="9"/>
  <c r="K522" i="9"/>
  <c r="L542" i="9"/>
  <c r="K535" i="9" s="1"/>
  <c r="K530" i="9"/>
  <c r="K528" i="9"/>
  <c r="K524" i="9"/>
  <c r="K538" i="9" l="1"/>
  <c r="K531" i="9"/>
  <c r="K539" i="9"/>
  <c r="K532" i="9"/>
  <c r="K536" i="9"/>
  <c r="K533" i="9"/>
  <c r="K537" i="9"/>
  <c r="K540" i="9"/>
  <c r="K541" i="9"/>
  <c r="K534" i="9"/>
  <c r="K542" i="9"/>
  <c r="L554" i="9"/>
  <c r="K549" i="9" s="1"/>
  <c r="K547" i="9" l="1"/>
  <c r="K551" i="9"/>
  <c r="K554" i="9"/>
  <c r="L566" i="9"/>
  <c r="K565" i="9" s="1"/>
  <c r="K544" i="9"/>
  <c r="K552" i="9"/>
  <c r="K545" i="9"/>
  <c r="K550" i="9"/>
  <c r="K543" i="9"/>
  <c r="K548" i="9"/>
  <c r="K553" i="9"/>
  <c r="K546" i="9"/>
  <c r="K555" i="9" l="1"/>
  <c r="K559" i="9"/>
  <c r="K556" i="9"/>
  <c r="K558" i="9"/>
  <c r="K560" i="9"/>
  <c r="K557" i="9"/>
  <c r="K563" i="9"/>
  <c r="L578" i="9"/>
  <c r="K571" i="9" s="1"/>
  <c r="K566" i="9"/>
  <c r="K564" i="9"/>
  <c r="K561" i="9"/>
  <c r="K562" i="9"/>
  <c r="K575" i="9" l="1"/>
  <c r="K569" i="9"/>
  <c r="K574" i="9"/>
  <c r="K576" i="9"/>
  <c r="K577" i="9"/>
  <c r="K568" i="9"/>
  <c r="K573" i="9"/>
  <c r="K570" i="9"/>
  <c r="K567" i="9"/>
  <c r="K572" i="9"/>
  <c r="L590" i="9"/>
  <c r="K586" i="9" s="1"/>
  <c r="K578" i="9"/>
  <c r="K581" i="9" l="1"/>
  <c r="K582" i="9"/>
  <c r="K589" i="9"/>
  <c r="K580" i="9"/>
  <c r="K587" i="9"/>
  <c r="K585" i="9"/>
  <c r="K579" i="9"/>
  <c r="K583" i="9"/>
  <c r="K584" i="9"/>
  <c r="K588" i="9"/>
  <c r="L602" i="9"/>
  <c r="K599" i="9" s="1"/>
  <c r="K590" i="9"/>
  <c r="K595" i="9" l="1"/>
  <c r="K596" i="9"/>
  <c r="K591" i="9"/>
  <c r="L614" i="9"/>
  <c r="K609" i="9" s="1"/>
  <c r="K602" i="9"/>
  <c r="K598" i="9"/>
  <c r="K592" i="9"/>
  <c r="K593" i="9"/>
  <c r="K600" i="9"/>
  <c r="K597" i="9"/>
  <c r="K594" i="9"/>
  <c r="K601" i="9"/>
  <c r="K611" i="9" l="1"/>
  <c r="K605" i="9"/>
  <c r="K613" i="9"/>
  <c r="K603" i="9"/>
  <c r="K604" i="9"/>
  <c r="K612" i="9"/>
  <c r="K608" i="9"/>
  <c r="K614" i="9"/>
  <c r="L626" i="9"/>
  <c r="K619" i="9" s="1"/>
  <c r="K606" i="9"/>
  <c r="K607" i="9"/>
  <c r="K610" i="9"/>
  <c r="K617" i="9" l="1"/>
  <c r="K618" i="9"/>
  <c r="K625" i="9"/>
  <c r="K621" i="9"/>
  <c r="K615" i="9"/>
  <c r="K616" i="9"/>
  <c r="K624" i="9"/>
  <c r="K622" i="9"/>
  <c r="K623" i="9"/>
  <c r="K626" i="9"/>
  <c r="L638" i="9"/>
  <c r="K630" i="9" s="1"/>
  <c r="K631" i="9"/>
  <c r="K634" i="9"/>
  <c r="K620" i="9"/>
  <c r="K627" i="9" l="1"/>
  <c r="K635" i="9"/>
  <c r="K633" i="9"/>
  <c r="K629" i="9"/>
  <c r="K636" i="9"/>
  <c r="K637" i="9"/>
  <c r="K638" i="9"/>
  <c r="L650" i="9"/>
  <c r="K643" i="9" s="1"/>
  <c r="K632" i="9"/>
  <c r="K628" i="9"/>
  <c r="K645" i="9" l="1"/>
  <c r="K649" i="9"/>
  <c r="K641" i="9"/>
  <c r="K646" i="9"/>
  <c r="K644" i="9"/>
  <c r="K639" i="9"/>
  <c r="K642" i="9"/>
  <c r="K650" i="9"/>
  <c r="L662" i="9"/>
  <c r="K654" i="9" s="1"/>
  <c r="K647" i="9"/>
  <c r="K640" i="9"/>
  <c r="K648" i="9"/>
  <c r="L674" i="9" l="1"/>
  <c r="K667" i="9" s="1"/>
  <c r="K662" i="9"/>
  <c r="K661" i="9"/>
  <c r="K657" i="9"/>
  <c r="K651" i="9"/>
  <c r="K658" i="9"/>
  <c r="K655" i="9"/>
  <c r="K659" i="9"/>
  <c r="K652" i="9"/>
  <c r="K653" i="9"/>
  <c r="K656" i="9"/>
  <c r="K660" i="9"/>
  <c r="K670" i="9" l="1"/>
  <c r="K664" i="9"/>
  <c r="K666" i="9"/>
  <c r="K669" i="9"/>
  <c r="K663" i="9"/>
  <c r="K672" i="9"/>
  <c r="K671" i="9"/>
  <c r="K665" i="9"/>
  <c r="K668" i="9"/>
  <c r="K673" i="9"/>
  <c r="L686" i="9"/>
  <c r="K683" i="9" s="1"/>
  <c r="K674" i="9"/>
  <c r="K678" i="9" l="1"/>
  <c r="K677" i="9"/>
  <c r="K685" i="9"/>
  <c r="K679" i="9"/>
  <c r="K675" i="9"/>
  <c r="K682" i="9"/>
  <c r="L698" i="9"/>
  <c r="K689" i="9" s="1"/>
  <c r="K686" i="9"/>
  <c r="K681" i="9"/>
  <c r="K680" i="9"/>
  <c r="K676" i="9"/>
  <c r="K684" i="9"/>
  <c r="K694" i="9" l="1"/>
  <c r="K695" i="9"/>
  <c r="K687" i="9"/>
  <c r="K690" i="9"/>
  <c r="K688" i="9"/>
  <c r="K696" i="9"/>
  <c r="K692" i="9"/>
  <c r="K693" i="9"/>
  <c r="K691" i="9"/>
  <c r="L710" i="9"/>
  <c r="K699" i="9" s="1"/>
  <c r="K698" i="9"/>
  <c r="K705" i="9"/>
  <c r="K697" i="9"/>
  <c r="K707" i="9" l="1"/>
  <c r="K702" i="9"/>
  <c r="K703" i="9"/>
  <c r="K709" i="9"/>
  <c r="K708" i="9"/>
  <c r="K700" i="9"/>
  <c r="K710" i="9"/>
  <c r="L722" i="9"/>
  <c r="K718" i="9" s="1"/>
  <c r="K706" i="9"/>
  <c r="K704" i="9"/>
  <c r="K701" i="9"/>
  <c r="K715" i="9" l="1"/>
  <c r="K720" i="9"/>
  <c r="K721" i="9"/>
  <c r="K714" i="9"/>
  <c r="K716" i="9"/>
  <c r="K722" i="9"/>
  <c r="L734" i="9"/>
  <c r="K729" i="9" s="1"/>
  <c r="K717" i="9"/>
  <c r="K712" i="9"/>
  <c r="K711" i="9"/>
  <c r="K713" i="9"/>
  <c r="K719" i="9"/>
  <c r="K723" i="9" l="1"/>
  <c r="K731" i="9"/>
  <c r="K725" i="9"/>
  <c r="K730" i="9"/>
  <c r="K734" i="9"/>
  <c r="L746" i="9"/>
  <c r="K739" i="9" s="1"/>
  <c r="K724" i="9"/>
  <c r="K727" i="9"/>
  <c r="K732" i="9"/>
  <c r="K728" i="9"/>
  <c r="K733" i="9"/>
  <c r="K726" i="9"/>
  <c r="K744" i="9" l="1"/>
  <c r="K745" i="9"/>
  <c r="K738" i="9"/>
  <c r="K737" i="9"/>
  <c r="K755" i="9"/>
  <c r="K747" i="9"/>
  <c r="K754" i="9"/>
  <c r="K753" i="9"/>
  <c r="K746" i="9"/>
  <c r="L758" i="9"/>
  <c r="K752" i="9" s="1"/>
  <c r="K757" i="9"/>
  <c r="K749" i="9"/>
  <c r="K740" i="9"/>
  <c r="K743" i="9"/>
  <c r="K742" i="9"/>
  <c r="K735" i="9"/>
  <c r="K736" i="9"/>
  <c r="K741" i="9"/>
  <c r="K750" i="9" l="1"/>
  <c r="K751" i="9"/>
  <c r="K748" i="9"/>
  <c r="L770" i="9"/>
  <c r="K763" i="9" s="1"/>
  <c r="K758" i="9"/>
  <c r="K756" i="9"/>
  <c r="K761" i="9" l="1"/>
  <c r="K759" i="9"/>
  <c r="K768" i="9"/>
  <c r="K769" i="9"/>
  <c r="K764" i="9"/>
  <c r="K765" i="9"/>
  <c r="K762" i="9"/>
  <c r="K766" i="9"/>
  <c r="K770" i="9"/>
  <c r="L782" i="9"/>
  <c r="K778" i="9" s="1"/>
  <c r="K767" i="9"/>
  <c r="K760" i="9"/>
  <c r="K780" i="9" l="1"/>
  <c r="K777" i="9"/>
  <c r="K773" i="9"/>
  <c r="K782" i="9"/>
  <c r="L794" i="9"/>
  <c r="K785" i="9" s="1"/>
  <c r="K779" i="9"/>
  <c r="K781" i="9"/>
  <c r="K774" i="9"/>
  <c r="K771" i="9"/>
  <c r="K776" i="9"/>
  <c r="K772" i="9"/>
  <c r="K775" i="9"/>
  <c r="K784" i="9" l="1"/>
  <c r="K787" i="9"/>
  <c r="K791" i="9"/>
  <c r="K786" i="9"/>
  <c r="K792" i="9"/>
  <c r="K788" i="9"/>
  <c r="L806" i="9"/>
  <c r="K804" i="9" s="1"/>
  <c r="K794" i="9"/>
  <c r="K793" i="9"/>
  <c r="K789" i="9"/>
  <c r="K790" i="9"/>
  <c r="K783" i="9"/>
  <c r="K798" i="9" l="1"/>
  <c r="K797" i="9"/>
  <c r="K805" i="9"/>
  <c r="K801" i="9"/>
  <c r="K802" i="9"/>
  <c r="K799" i="9"/>
  <c r="K795" i="9"/>
  <c r="K800" i="9"/>
  <c r="K803" i="9"/>
  <c r="K796" i="9"/>
  <c r="J1" i="15" l="1"/>
  <c r="S15" i="2"/>
  <c r="A88" i="20" l="1"/>
  <c r="G90" i="16"/>
  <c r="A90" i="16"/>
  <c r="Q88" i="20"/>
  <c r="A76" i="14"/>
  <c r="A76" i="13"/>
  <c r="A76" i="6"/>
  <c r="A76" i="5"/>
  <c r="A76" i="4"/>
  <c r="A76" i="2"/>
  <c r="P38" i="2"/>
  <c r="C146" i="9" l="1"/>
  <c r="C147" i="9"/>
  <c r="C148" i="9"/>
  <c r="C149" i="9"/>
  <c r="C150" i="9"/>
  <c r="C151" i="9"/>
  <c r="C152" i="9"/>
  <c r="C153" i="9"/>
  <c r="C154" i="9"/>
  <c r="C155" i="9"/>
  <c r="C156" i="9"/>
  <c r="C157" i="9"/>
  <c r="AD38" i="18" l="1"/>
  <c r="AD37" i="18"/>
  <c r="N31" i="18" l="1"/>
  <c r="N30" i="18"/>
  <c r="N29" i="18"/>
  <c r="N28" i="18"/>
  <c r="N27" i="18"/>
  <c r="N26" i="18"/>
  <c r="N25" i="18"/>
  <c r="N24" i="18"/>
  <c r="N23" i="18"/>
  <c r="D34" i="2"/>
  <c r="Y42" i="23" l="1"/>
  <c r="Y39" i="23"/>
  <c r="Y36" i="23"/>
  <c r="Y33" i="23"/>
  <c r="Y30" i="23"/>
  <c r="Y27" i="23"/>
  <c r="Y24" i="23"/>
  <c r="Y21" i="23"/>
  <c r="Y18" i="23"/>
  <c r="Y15" i="23"/>
  <c r="Y12" i="23"/>
  <c r="Y9" i="23"/>
  <c r="T42" i="23"/>
  <c r="T39" i="23"/>
  <c r="T36" i="23"/>
  <c r="T33" i="23"/>
  <c r="T30" i="23"/>
  <c r="T27" i="23"/>
  <c r="T24" i="23"/>
  <c r="T21" i="23"/>
  <c r="T18" i="23"/>
  <c r="T15" i="23"/>
  <c r="T12" i="23"/>
  <c r="T9" i="23"/>
  <c r="O42" i="23"/>
  <c r="O39" i="23"/>
  <c r="O36" i="23"/>
  <c r="O33" i="23"/>
  <c r="O30" i="23"/>
  <c r="O27" i="23"/>
  <c r="O24" i="23"/>
  <c r="O21" i="23"/>
  <c r="O18" i="23"/>
  <c r="O15" i="23"/>
  <c r="O12" i="23"/>
  <c r="O9" i="23"/>
  <c r="J42" i="23"/>
  <c r="J39" i="23"/>
  <c r="J36" i="23"/>
  <c r="J33" i="23"/>
  <c r="J30" i="23"/>
  <c r="J27" i="23"/>
  <c r="J24" i="23"/>
  <c r="J21" i="23"/>
  <c r="J18" i="23"/>
  <c r="J15" i="23"/>
  <c r="J12" i="23"/>
  <c r="J9" i="23"/>
  <c r="E9" i="23"/>
  <c r="N15" i="2" l="1"/>
  <c r="H38" i="2"/>
  <c r="K38" i="2" s="1"/>
  <c r="B52" i="16" s="1"/>
  <c r="H40" i="2"/>
  <c r="Y56" i="20" s="1"/>
  <c r="N38" i="2"/>
  <c r="C53" i="20" s="1"/>
  <c r="N40" i="2"/>
  <c r="A5" i="4"/>
  <c r="K5" i="4"/>
  <c r="K5" i="5"/>
  <c r="K5" i="13"/>
  <c r="K5" i="14"/>
  <c r="E9" i="4"/>
  <c r="Q20" i="4" s="1"/>
  <c r="E9" i="5"/>
  <c r="E9" i="13"/>
  <c r="E9" i="14"/>
  <c r="S16" i="2"/>
  <c r="K16" i="2" s="1"/>
  <c r="S17" i="2"/>
  <c r="K17" i="2" s="1"/>
  <c r="S18" i="2"/>
  <c r="K18" i="2" s="1"/>
  <c r="B13" i="16" s="1"/>
  <c r="S19" i="2"/>
  <c r="N19" i="2" s="1"/>
  <c r="S20" i="2"/>
  <c r="K20" i="2" s="1"/>
  <c r="S21" i="2"/>
  <c r="K21" i="2" s="1"/>
  <c r="S22" i="2"/>
  <c r="S23" i="2"/>
  <c r="S24" i="2"/>
  <c r="K24" i="2" s="1"/>
  <c r="S25" i="2"/>
  <c r="K25" i="2" s="1"/>
  <c r="S26" i="2"/>
  <c r="S27" i="2"/>
  <c r="K27" i="2" s="1"/>
  <c r="B32" i="20" s="1"/>
  <c r="S28" i="2"/>
  <c r="K28" i="2" s="1"/>
  <c r="B33" i="16" s="1"/>
  <c r="S29" i="2"/>
  <c r="F134" i="9"/>
  <c r="E134" i="9"/>
  <c r="K2" i="4"/>
  <c r="K2" i="5"/>
  <c r="K2" i="13"/>
  <c r="K2" i="14"/>
  <c r="N32" i="2"/>
  <c r="F146" i="9"/>
  <c r="E146" i="9"/>
  <c r="O39" i="6"/>
  <c r="C134" i="9"/>
  <c r="AA37" i="23"/>
  <c r="AA35" i="23"/>
  <c r="AA25" i="23"/>
  <c r="AA23" i="23"/>
  <c r="AA13" i="23"/>
  <c r="AA14" i="23"/>
  <c r="AA11" i="23"/>
  <c r="AD40" i="23"/>
  <c r="AD41" i="23"/>
  <c r="AD37" i="23"/>
  <c r="AD38" i="23"/>
  <c r="AD34" i="23"/>
  <c r="AD35" i="23"/>
  <c r="AD31" i="23"/>
  <c r="AD32" i="23"/>
  <c r="AD28" i="23"/>
  <c r="AD29" i="23"/>
  <c r="AD25" i="23"/>
  <c r="AD26" i="23"/>
  <c r="AD22" i="23"/>
  <c r="AD23" i="23"/>
  <c r="AD19" i="23"/>
  <c r="AD20" i="23"/>
  <c r="AD16" i="23"/>
  <c r="AD17" i="23"/>
  <c r="AD13" i="23"/>
  <c r="AD14" i="23"/>
  <c r="AD10" i="23"/>
  <c r="AD11" i="23"/>
  <c r="AD7" i="23"/>
  <c r="AD8" i="23"/>
  <c r="N50" i="4"/>
  <c r="O44" i="18" s="1"/>
  <c r="K3" i="4"/>
  <c r="A78" i="4" s="1"/>
  <c r="L2" i="4"/>
  <c r="F77" i="4" s="1"/>
  <c r="N50" i="5"/>
  <c r="P44" i="18" s="1"/>
  <c r="K3" i="5"/>
  <c r="A78" i="5" s="1"/>
  <c r="L2" i="5"/>
  <c r="F77" i="5" s="1"/>
  <c r="N50" i="13"/>
  <c r="K3" i="13"/>
  <c r="A78" i="13" s="1"/>
  <c r="L2" i="13"/>
  <c r="F77" i="13" s="1"/>
  <c r="N50" i="14"/>
  <c r="R44" i="18" s="1"/>
  <c r="K3" i="14"/>
  <c r="A78" i="14" s="1"/>
  <c r="L2" i="14"/>
  <c r="F77" i="14" s="1"/>
  <c r="K8" i="4"/>
  <c r="K10" i="4" s="1"/>
  <c r="K8" i="5" s="1"/>
  <c r="K10" i="5" s="1"/>
  <c r="K8" i="13" s="1"/>
  <c r="K10" i="13" s="1"/>
  <c r="K8" i="14" s="1"/>
  <c r="K10" i="14" s="1"/>
  <c r="N33" i="2"/>
  <c r="N34" i="2"/>
  <c r="C45" i="20" s="1"/>
  <c r="N35" i="2"/>
  <c r="C47" i="20" s="1"/>
  <c r="N36" i="2"/>
  <c r="N37" i="2"/>
  <c r="N39" i="2"/>
  <c r="C55" i="20" s="1"/>
  <c r="N50" i="2"/>
  <c r="N44" i="18" s="1"/>
  <c r="A1" i="5"/>
  <c r="H32" i="2"/>
  <c r="Y41" i="20" s="1"/>
  <c r="H33" i="2"/>
  <c r="N42" i="16" s="1"/>
  <c r="H39" i="2"/>
  <c r="K39" i="2" s="1"/>
  <c r="K50" i="4"/>
  <c r="C61" i="16" s="1"/>
  <c r="K50" i="5"/>
  <c r="K50" i="13"/>
  <c r="E62" i="16" s="1"/>
  <c r="K50" i="14"/>
  <c r="F62" i="16" s="1"/>
  <c r="K50" i="2"/>
  <c r="I44" i="18" s="1"/>
  <c r="K62" i="2"/>
  <c r="E44" i="23"/>
  <c r="H34" i="2"/>
  <c r="K34" i="2" s="1"/>
  <c r="B45" i="20" s="1"/>
  <c r="H35" i="2"/>
  <c r="N46" i="16" s="1"/>
  <c r="H36" i="2"/>
  <c r="K36" i="2" s="1"/>
  <c r="B48" i="16" s="1"/>
  <c r="H37" i="2"/>
  <c r="K37" i="2" s="1"/>
  <c r="K7" i="4"/>
  <c r="K7" i="5"/>
  <c r="K7" i="13"/>
  <c r="K7" i="14"/>
  <c r="G9" i="23"/>
  <c r="N62" i="2" s="1"/>
  <c r="C73" i="20" s="1"/>
  <c r="G12" i="23"/>
  <c r="N63" i="2" s="1"/>
  <c r="C74" i="20" s="1"/>
  <c r="G15" i="23"/>
  <c r="N64" i="2" s="1"/>
  <c r="G18" i="23"/>
  <c r="N65" i="2" s="1"/>
  <c r="C76" i="20" s="1"/>
  <c r="G21" i="23"/>
  <c r="N66" i="2" s="1"/>
  <c r="C77" i="20" s="1"/>
  <c r="G24" i="23"/>
  <c r="N67" i="2" s="1"/>
  <c r="C78" i="20" s="1"/>
  <c r="G27" i="23"/>
  <c r="N68" i="2" s="1"/>
  <c r="C79" i="20" s="1"/>
  <c r="G30" i="23"/>
  <c r="N69" i="2" s="1"/>
  <c r="C80" i="20" s="1"/>
  <c r="G33" i="23"/>
  <c r="N70" i="2" s="1"/>
  <c r="C81" i="20" s="1"/>
  <c r="G36" i="23"/>
  <c r="N71" i="2" s="1"/>
  <c r="C82" i="20" s="1"/>
  <c r="G39" i="23"/>
  <c r="N72" i="2" s="1"/>
  <c r="C83" i="20" s="1"/>
  <c r="G42" i="23"/>
  <c r="N73" i="2" s="1"/>
  <c r="C84" i="20" s="1"/>
  <c r="G44" i="23"/>
  <c r="G45" i="23"/>
  <c r="Q87" i="14"/>
  <c r="O84" i="6"/>
  <c r="Q87" i="13"/>
  <c r="Q87" i="5"/>
  <c r="Q87" i="4"/>
  <c r="Q87" i="2"/>
  <c r="E45" i="23"/>
  <c r="O63" i="6"/>
  <c r="O64" i="6"/>
  <c r="O65" i="6"/>
  <c r="O66" i="6"/>
  <c r="O67" i="6"/>
  <c r="O68" i="6"/>
  <c r="O69" i="6"/>
  <c r="O70" i="6"/>
  <c r="O71" i="6"/>
  <c r="O72" i="6"/>
  <c r="O73" i="6"/>
  <c r="D2" i="20"/>
  <c r="Y4" i="23"/>
  <c r="T4" i="23"/>
  <c r="O4" i="23"/>
  <c r="J4" i="23"/>
  <c r="E42" i="23"/>
  <c r="K73" i="2" s="1"/>
  <c r="E39" i="23"/>
  <c r="K72" i="2" s="1"/>
  <c r="E36" i="23"/>
  <c r="K71" i="2" s="1"/>
  <c r="J71" i="4" s="1"/>
  <c r="E33" i="23"/>
  <c r="K70" i="2" s="1"/>
  <c r="B83" i="16" s="1"/>
  <c r="E30" i="23"/>
  <c r="K69" i="2" s="1"/>
  <c r="B80" i="20" s="1"/>
  <c r="E27" i="23"/>
  <c r="K68" i="2" s="1"/>
  <c r="E24" i="23"/>
  <c r="K67" i="2" s="1"/>
  <c r="E21" i="23"/>
  <c r="K66" i="2" s="1"/>
  <c r="J66" i="4" s="1"/>
  <c r="E18" i="23"/>
  <c r="K65" i="2" s="1"/>
  <c r="E15" i="23"/>
  <c r="K64" i="2" s="1"/>
  <c r="B75" i="20" s="1"/>
  <c r="E12" i="23"/>
  <c r="K63" i="2" s="1"/>
  <c r="N60" i="18"/>
  <c r="I60" i="18"/>
  <c r="N56" i="18"/>
  <c r="N54" i="18"/>
  <c r="N52" i="18"/>
  <c r="N50" i="18"/>
  <c r="Q44" i="18"/>
  <c r="J44" i="18"/>
  <c r="K44" i="18"/>
  <c r="L44" i="18"/>
  <c r="M44" i="18"/>
  <c r="O62" i="6"/>
  <c r="G73" i="14"/>
  <c r="G72" i="14"/>
  <c r="G71" i="14"/>
  <c r="G70" i="14"/>
  <c r="G69" i="14"/>
  <c r="G68" i="14"/>
  <c r="G67" i="14"/>
  <c r="G66" i="14"/>
  <c r="G65" i="14"/>
  <c r="G64" i="14"/>
  <c r="G63" i="14"/>
  <c r="G62" i="14"/>
  <c r="G73" i="13"/>
  <c r="G72" i="13"/>
  <c r="G71" i="13"/>
  <c r="G70" i="13"/>
  <c r="G69" i="13"/>
  <c r="G68" i="13"/>
  <c r="G67" i="13"/>
  <c r="G66" i="13"/>
  <c r="G65" i="13"/>
  <c r="G64" i="13"/>
  <c r="G63" i="13"/>
  <c r="G62" i="13"/>
  <c r="G73" i="5"/>
  <c r="G72" i="5"/>
  <c r="G71" i="5"/>
  <c r="G70" i="5"/>
  <c r="G69" i="5"/>
  <c r="G68" i="5"/>
  <c r="G67" i="5"/>
  <c r="G66" i="5"/>
  <c r="G65" i="5"/>
  <c r="G64" i="5"/>
  <c r="G63" i="5"/>
  <c r="G62" i="5"/>
  <c r="G73" i="4"/>
  <c r="G72" i="4"/>
  <c r="G71" i="4"/>
  <c r="G70" i="4"/>
  <c r="G69" i="4"/>
  <c r="G68" i="4"/>
  <c r="G67" i="4"/>
  <c r="G66" i="4"/>
  <c r="G65" i="4"/>
  <c r="G64" i="4"/>
  <c r="G63" i="4"/>
  <c r="G62" i="4"/>
  <c r="P73" i="14"/>
  <c r="P72" i="14"/>
  <c r="P71" i="14"/>
  <c r="P70" i="14"/>
  <c r="P69" i="14"/>
  <c r="P68" i="14"/>
  <c r="P67" i="14"/>
  <c r="P66" i="14"/>
  <c r="P65" i="14"/>
  <c r="P64" i="14"/>
  <c r="P63" i="14"/>
  <c r="P62" i="14"/>
  <c r="P73" i="13"/>
  <c r="P72" i="13"/>
  <c r="P71" i="13"/>
  <c r="P70" i="13"/>
  <c r="P69" i="13"/>
  <c r="P68" i="13"/>
  <c r="P67" i="13"/>
  <c r="P66" i="13"/>
  <c r="P65" i="13"/>
  <c r="P64" i="13"/>
  <c r="P63" i="13"/>
  <c r="P62" i="13"/>
  <c r="P73" i="5"/>
  <c r="P72" i="5"/>
  <c r="P71" i="5"/>
  <c r="P70" i="5"/>
  <c r="P69" i="5"/>
  <c r="P68" i="5"/>
  <c r="P67" i="5"/>
  <c r="P66" i="5"/>
  <c r="P65" i="5"/>
  <c r="P64" i="5"/>
  <c r="P63" i="5"/>
  <c r="P62" i="5"/>
  <c r="P73" i="4"/>
  <c r="P72" i="4"/>
  <c r="P71" i="4"/>
  <c r="P70" i="4"/>
  <c r="P69" i="4"/>
  <c r="P68" i="4"/>
  <c r="P67" i="4"/>
  <c r="P66" i="4"/>
  <c r="P65" i="4"/>
  <c r="P64" i="4"/>
  <c r="P63" i="4"/>
  <c r="P62" i="4"/>
  <c r="P73" i="2"/>
  <c r="P72" i="2"/>
  <c r="P71" i="2"/>
  <c r="P70" i="2"/>
  <c r="P69" i="2"/>
  <c r="P68" i="2"/>
  <c r="P67" i="2"/>
  <c r="P66" i="2"/>
  <c r="P65" i="2"/>
  <c r="P64" i="2"/>
  <c r="P63" i="2"/>
  <c r="P62" i="2"/>
  <c r="G73" i="2"/>
  <c r="G73" i="6" s="1"/>
  <c r="G72" i="2"/>
  <c r="G72" i="6" s="1"/>
  <c r="G71" i="2"/>
  <c r="G71" i="6" s="1"/>
  <c r="G70" i="2"/>
  <c r="G70" i="6" s="1"/>
  <c r="G69" i="2"/>
  <c r="G69" i="6" s="1"/>
  <c r="G68" i="2"/>
  <c r="G68" i="6" s="1"/>
  <c r="G67" i="2"/>
  <c r="G67" i="6" s="1"/>
  <c r="G66" i="2"/>
  <c r="G66" i="6" s="1"/>
  <c r="G65" i="2"/>
  <c r="G65" i="6" s="1"/>
  <c r="G64" i="2"/>
  <c r="G64" i="6" s="1"/>
  <c r="G63" i="2"/>
  <c r="G63" i="6" s="1"/>
  <c r="G62" i="2"/>
  <c r="G62" i="6" s="1"/>
  <c r="AC40" i="21"/>
  <c r="X40" i="21"/>
  <c r="S40" i="21"/>
  <c r="AC39" i="21"/>
  <c r="X39" i="21"/>
  <c r="S39" i="21"/>
  <c r="AC38" i="21"/>
  <c r="X38" i="21"/>
  <c r="S38" i="21"/>
  <c r="AC37" i="21"/>
  <c r="X37" i="21"/>
  <c r="S37" i="21"/>
  <c r="AC32" i="21"/>
  <c r="X32" i="21"/>
  <c r="S32" i="21"/>
  <c r="AC31" i="21"/>
  <c r="X31" i="21"/>
  <c r="S31" i="21"/>
  <c r="AC30" i="21"/>
  <c r="X30" i="21"/>
  <c r="S30" i="21"/>
  <c r="AC29" i="21"/>
  <c r="X29" i="21"/>
  <c r="S29" i="21"/>
  <c r="AC24" i="21"/>
  <c r="X24" i="21"/>
  <c r="S24" i="21"/>
  <c r="AC23" i="21"/>
  <c r="X23" i="21"/>
  <c r="S23" i="21"/>
  <c r="AC22" i="21"/>
  <c r="X22" i="21"/>
  <c r="S22" i="21"/>
  <c r="AC21" i="21"/>
  <c r="X21" i="21"/>
  <c r="S21" i="21"/>
  <c r="AC16" i="21"/>
  <c r="X16" i="21"/>
  <c r="S16" i="21"/>
  <c r="AC15" i="21"/>
  <c r="X15" i="21"/>
  <c r="S15" i="21"/>
  <c r="AC14" i="21"/>
  <c r="X14" i="21"/>
  <c r="S14" i="21"/>
  <c r="AC13" i="21"/>
  <c r="X13" i="21"/>
  <c r="S13" i="21"/>
  <c r="AA41" i="21"/>
  <c r="V41" i="21"/>
  <c r="Q41" i="21"/>
  <c r="AD35" i="21"/>
  <c r="AB35" i="21"/>
  <c r="Y35" i="21"/>
  <c r="W35" i="21"/>
  <c r="T35" i="21"/>
  <c r="R35" i="21"/>
  <c r="AA34" i="21"/>
  <c r="V34" i="21"/>
  <c r="Q34" i="21"/>
  <c r="AA33" i="21"/>
  <c r="V33" i="21"/>
  <c r="Q33" i="21"/>
  <c r="AD27" i="21"/>
  <c r="AB27" i="21"/>
  <c r="Y27" i="21"/>
  <c r="W27" i="21"/>
  <c r="T27" i="21"/>
  <c r="R27" i="21"/>
  <c r="AA26" i="21"/>
  <c r="V26" i="21"/>
  <c r="Q26" i="21"/>
  <c r="AA25" i="21"/>
  <c r="V25" i="21"/>
  <c r="Q25" i="21"/>
  <c r="M11" i="21" s="1"/>
  <c r="AD19" i="21"/>
  <c r="AB19" i="21"/>
  <c r="Y19" i="21"/>
  <c r="W19" i="21"/>
  <c r="T19" i="21"/>
  <c r="R19" i="21"/>
  <c r="AA18" i="21"/>
  <c r="V18" i="21"/>
  <c r="Q18" i="21"/>
  <c r="AA17" i="21"/>
  <c r="V17" i="21"/>
  <c r="Q17" i="21"/>
  <c r="AD11" i="21"/>
  <c r="AB11" i="21"/>
  <c r="Y11" i="21"/>
  <c r="W11" i="21"/>
  <c r="T11" i="21"/>
  <c r="R11" i="21"/>
  <c r="AA10" i="21"/>
  <c r="V10" i="21"/>
  <c r="Q10" i="21"/>
  <c r="AA9" i="21"/>
  <c r="AC8" i="21"/>
  <c r="AC7" i="21"/>
  <c r="AC6" i="21"/>
  <c r="AC5" i="21"/>
  <c r="AD3" i="21"/>
  <c r="AB3" i="21"/>
  <c r="AA2" i="21"/>
  <c r="V9" i="21"/>
  <c r="X8" i="21"/>
  <c r="X7" i="21"/>
  <c r="X6" i="21"/>
  <c r="X5" i="21"/>
  <c r="Y3" i="21"/>
  <c r="W3" i="21"/>
  <c r="V2" i="21"/>
  <c r="S8" i="21"/>
  <c r="S7" i="21"/>
  <c r="S6" i="21"/>
  <c r="S5" i="21"/>
  <c r="R3" i="21"/>
  <c r="T3" i="21"/>
  <c r="D33" i="2"/>
  <c r="D33" i="6" s="1"/>
  <c r="E15" i="2"/>
  <c r="F15" i="2" s="1"/>
  <c r="A11" i="22"/>
  <c r="P11" i="22" s="1"/>
  <c r="A23" i="22"/>
  <c r="P23" i="22" s="1"/>
  <c r="A20" i="22"/>
  <c r="P20" i="22" s="1"/>
  <c r="A16" i="22"/>
  <c r="P16" i="22" s="1"/>
  <c r="A14" i="22"/>
  <c r="P14" i="22" s="1"/>
  <c r="B2" i="22"/>
  <c r="B4" i="22"/>
  <c r="A78" i="2"/>
  <c r="H3" i="20"/>
  <c r="D3" i="16"/>
  <c r="E3" i="16"/>
  <c r="B2" i="16"/>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K3" i="6"/>
  <c r="A78" i="6" s="1"/>
  <c r="N7" i="18"/>
  <c r="N8" i="18"/>
  <c r="N9" i="18"/>
  <c r="N10" i="18"/>
  <c r="N11" i="18"/>
  <c r="N12" i="18"/>
  <c r="N13" i="18"/>
  <c r="N14" i="18"/>
  <c r="N15" i="18"/>
  <c r="N16" i="18"/>
  <c r="N17" i="18"/>
  <c r="N18" i="18"/>
  <c r="N19" i="18"/>
  <c r="N20" i="18"/>
  <c r="N6" i="18"/>
  <c r="A67" i="18"/>
  <c r="A66" i="18"/>
  <c r="I56" i="18"/>
  <c r="I54" i="18"/>
  <c r="I52" i="18"/>
  <c r="I50" i="18"/>
  <c r="A2" i="18"/>
  <c r="D35" i="2"/>
  <c r="K46" i="16" s="1"/>
  <c r="D34" i="4"/>
  <c r="AI51" i="20"/>
  <c r="AI49" i="20"/>
  <c r="AI47" i="20"/>
  <c r="AI45" i="20"/>
  <c r="D36" i="2"/>
  <c r="A49" i="16" s="1"/>
  <c r="D37" i="2"/>
  <c r="D37" i="13" s="1"/>
  <c r="F5" i="16"/>
  <c r="E5" i="16"/>
  <c r="D5" i="16"/>
  <c r="C5" i="16"/>
  <c r="N5" i="20"/>
  <c r="N100" i="20" s="1"/>
  <c r="K5" i="20"/>
  <c r="K100" i="20" s="1"/>
  <c r="H5" i="20"/>
  <c r="H100" i="20" s="1"/>
  <c r="E5" i="20"/>
  <c r="E100" i="20" s="1"/>
  <c r="N86" i="2"/>
  <c r="D40" i="2"/>
  <c r="K55" i="16" s="1"/>
  <c r="D39" i="2"/>
  <c r="V55" i="20" s="1"/>
  <c r="D38" i="2"/>
  <c r="V53" i="20" s="1"/>
  <c r="D32" i="2"/>
  <c r="A42" i="20" s="1"/>
  <c r="N3" i="20"/>
  <c r="D77" i="2"/>
  <c r="N85" i="6"/>
  <c r="E11" i="6"/>
  <c r="E9" i="6"/>
  <c r="E10" i="6"/>
  <c r="E8" i="6"/>
  <c r="L2" i="6"/>
  <c r="K2" i="6"/>
  <c r="C68" i="6"/>
  <c r="E10" i="5"/>
  <c r="E10" i="13"/>
  <c r="E10" i="14"/>
  <c r="E10" i="4"/>
  <c r="E8" i="5"/>
  <c r="E8" i="13"/>
  <c r="E8" i="14"/>
  <c r="E8" i="4"/>
  <c r="E11" i="5"/>
  <c r="E11" i="13"/>
  <c r="E11" i="14"/>
  <c r="E11" i="4"/>
  <c r="A1" i="4"/>
  <c r="A1" i="13"/>
  <c r="A1" i="14"/>
  <c r="M110" i="9"/>
  <c r="O110" i="9"/>
  <c r="A64" i="20"/>
  <c r="A63" i="20"/>
  <c r="P88" i="2"/>
  <c r="R94" i="20" s="1"/>
  <c r="P88" i="4"/>
  <c r="P88" i="5"/>
  <c r="P88" i="13"/>
  <c r="P88" i="14"/>
  <c r="Q91" i="5"/>
  <c r="Q90" i="5"/>
  <c r="Q89" i="5"/>
  <c r="Q88" i="5"/>
  <c r="Q91" i="13"/>
  <c r="Q90" i="13"/>
  <c r="Q89" i="13"/>
  <c r="Q88" i="13"/>
  <c r="Q91" i="14"/>
  <c r="Q90" i="14"/>
  <c r="Q89" i="14"/>
  <c r="Q88" i="14"/>
  <c r="Q91" i="4"/>
  <c r="Q90" i="4"/>
  <c r="Q89" i="4"/>
  <c r="Q88" i="4"/>
  <c r="Q91" i="2"/>
  <c r="Q90" i="2"/>
  <c r="Q89" i="2"/>
  <c r="Q88" i="2"/>
  <c r="C72" i="20"/>
  <c r="B72" i="20"/>
  <c r="C71" i="20"/>
  <c r="B71" i="20"/>
  <c r="C69" i="20"/>
  <c r="B69" i="20"/>
  <c r="C68" i="20"/>
  <c r="B68" i="20"/>
  <c r="C67" i="20"/>
  <c r="B67" i="20"/>
  <c r="C66" i="20"/>
  <c r="B66" i="20"/>
  <c r="B74" i="16"/>
  <c r="B73" i="16"/>
  <c r="B71" i="16"/>
  <c r="B70" i="16"/>
  <c r="B69" i="16"/>
  <c r="B68" i="16"/>
  <c r="K35" i="16"/>
  <c r="A36" i="16" s="1"/>
  <c r="K33" i="16"/>
  <c r="A33" i="16" s="1"/>
  <c r="K31" i="16"/>
  <c r="A31" i="16" s="1"/>
  <c r="K29" i="16"/>
  <c r="A29" i="16" s="1"/>
  <c r="K27" i="16"/>
  <c r="A28" i="16" s="1"/>
  <c r="K25" i="16"/>
  <c r="K23" i="16"/>
  <c r="K21" i="16"/>
  <c r="A22" i="16" s="1"/>
  <c r="K19" i="16"/>
  <c r="A20" i="16" s="1"/>
  <c r="K17" i="16"/>
  <c r="A17" i="16" s="1"/>
  <c r="K15" i="16"/>
  <c r="A16" i="16" s="1"/>
  <c r="K13" i="16"/>
  <c r="A13" i="16" s="1"/>
  <c r="K11" i="16"/>
  <c r="A12" i="16" s="1"/>
  <c r="K9" i="16"/>
  <c r="A9" i="16" s="1"/>
  <c r="K7" i="16"/>
  <c r="A66" i="16"/>
  <c r="A65" i="16"/>
  <c r="AF36" i="20"/>
  <c r="V36" i="20"/>
  <c r="A37" i="20" s="1"/>
  <c r="AF34" i="20"/>
  <c r="V34" i="20"/>
  <c r="A35" i="20" s="1"/>
  <c r="AF32" i="20"/>
  <c r="V32" i="20"/>
  <c r="A33" i="20" s="1"/>
  <c r="AF30" i="20"/>
  <c r="V30" i="20"/>
  <c r="AF28" i="20"/>
  <c r="V28" i="20"/>
  <c r="A29" i="20" s="1"/>
  <c r="AF26" i="20"/>
  <c r="V26" i="20"/>
  <c r="AF24" i="20"/>
  <c r="V24" i="20"/>
  <c r="AF22" i="20"/>
  <c r="V22" i="20"/>
  <c r="A22" i="20" s="1"/>
  <c r="AF20" i="20"/>
  <c r="V20" i="20"/>
  <c r="AF18" i="20"/>
  <c r="V18" i="20"/>
  <c r="A18" i="20" s="1"/>
  <c r="AF8" i="20"/>
  <c r="V8" i="20"/>
  <c r="A8" i="20"/>
  <c r="A61" i="16"/>
  <c r="A62" i="20"/>
  <c r="A64" i="16"/>
  <c r="A74" i="16"/>
  <c r="A73" i="16"/>
  <c r="A72" i="16"/>
  <c r="A71" i="16"/>
  <c r="A70" i="16"/>
  <c r="A69" i="16"/>
  <c r="A68" i="16"/>
  <c r="A72" i="20"/>
  <c r="A71" i="20"/>
  <c r="A70" i="20"/>
  <c r="A69" i="20"/>
  <c r="A68" i="20"/>
  <c r="A67" i="20"/>
  <c r="A66" i="20"/>
  <c r="A8" i="16"/>
  <c r="A7" i="16"/>
  <c r="V10" i="20"/>
  <c r="A9" i="20"/>
  <c r="AI56" i="20"/>
  <c r="AI55" i="20"/>
  <c r="AI53" i="20"/>
  <c r="AI43" i="20"/>
  <c r="AI41" i="20"/>
  <c r="AI36" i="20"/>
  <c r="Y36" i="20"/>
  <c r="AI34" i="20"/>
  <c r="Y34" i="20"/>
  <c r="AI32" i="20"/>
  <c r="Y32" i="20"/>
  <c r="AI30" i="20"/>
  <c r="Y30" i="20"/>
  <c r="AI28" i="20"/>
  <c r="Y28" i="20"/>
  <c r="AI26" i="20"/>
  <c r="Y26" i="20"/>
  <c r="AI24" i="20"/>
  <c r="Y24" i="20"/>
  <c r="AI22" i="20"/>
  <c r="Y22" i="20"/>
  <c r="AI20" i="20"/>
  <c r="Y20" i="20"/>
  <c r="AI18" i="20"/>
  <c r="Y18" i="20"/>
  <c r="AI16" i="20"/>
  <c r="Y16" i="20"/>
  <c r="AI14" i="20"/>
  <c r="Y14" i="20"/>
  <c r="AI12" i="20"/>
  <c r="Y12" i="20"/>
  <c r="AI10" i="20"/>
  <c r="Y10" i="20"/>
  <c r="AF16" i="20"/>
  <c r="V16" i="20"/>
  <c r="A16" i="20" s="1"/>
  <c r="AF14" i="20"/>
  <c r="V14" i="20"/>
  <c r="A15" i="20" s="1"/>
  <c r="AF12" i="20"/>
  <c r="V12" i="20"/>
  <c r="AF10" i="20"/>
  <c r="AI8" i="20"/>
  <c r="Y8" i="20"/>
  <c r="Q100" i="20"/>
  <c r="B100" i="20"/>
  <c r="N2" i="20"/>
  <c r="F2" i="16"/>
  <c r="I3" i="21"/>
  <c r="F157" i="9"/>
  <c r="E157" i="9"/>
  <c r="D157" i="9"/>
  <c r="F156" i="9"/>
  <c r="E156" i="9"/>
  <c r="D156" i="9"/>
  <c r="F155" i="9"/>
  <c r="E155" i="9"/>
  <c r="D155" i="9"/>
  <c r="F154" i="9"/>
  <c r="E154" i="9"/>
  <c r="D154" i="9"/>
  <c r="F153" i="9"/>
  <c r="E153" i="9"/>
  <c r="D153" i="9"/>
  <c r="F152" i="9"/>
  <c r="E152" i="9"/>
  <c r="D152" i="9"/>
  <c r="F151" i="9"/>
  <c r="E151" i="9"/>
  <c r="D151" i="9"/>
  <c r="F150" i="9"/>
  <c r="E150" i="9"/>
  <c r="D150" i="9"/>
  <c r="F149" i="9"/>
  <c r="E149" i="9"/>
  <c r="D149" i="9"/>
  <c r="F148" i="9"/>
  <c r="E148" i="9"/>
  <c r="D148" i="9"/>
  <c r="F147" i="9"/>
  <c r="E147" i="9"/>
  <c r="D147" i="9"/>
  <c r="D146" i="9"/>
  <c r="F145" i="9"/>
  <c r="E145" i="9"/>
  <c r="D145" i="9"/>
  <c r="C145" i="9"/>
  <c r="F144" i="9"/>
  <c r="E144" i="9"/>
  <c r="D144" i="9"/>
  <c r="C144" i="9"/>
  <c r="F143" i="9"/>
  <c r="E143" i="9"/>
  <c r="D143" i="9"/>
  <c r="C143" i="9"/>
  <c r="F142" i="9"/>
  <c r="E142" i="9"/>
  <c r="D142" i="9"/>
  <c r="C142" i="9"/>
  <c r="F141" i="9"/>
  <c r="E141" i="9"/>
  <c r="D141" i="9"/>
  <c r="C141" i="9"/>
  <c r="F140" i="9"/>
  <c r="E140" i="9"/>
  <c r="D140" i="9"/>
  <c r="C140" i="9"/>
  <c r="F139" i="9"/>
  <c r="E139" i="9"/>
  <c r="D139" i="9"/>
  <c r="C139" i="9"/>
  <c r="F138" i="9"/>
  <c r="E138" i="9"/>
  <c r="D138" i="9"/>
  <c r="C138" i="9"/>
  <c r="F137" i="9"/>
  <c r="E137" i="9"/>
  <c r="D137" i="9"/>
  <c r="C137" i="9"/>
  <c r="F136" i="9"/>
  <c r="E136" i="9"/>
  <c r="D136" i="9"/>
  <c r="C136" i="9"/>
  <c r="F135" i="9"/>
  <c r="E135" i="9"/>
  <c r="D135" i="9"/>
  <c r="C135" i="9"/>
  <c r="D134" i="9"/>
  <c r="F133" i="9"/>
  <c r="E133" i="9"/>
  <c r="D133" i="9"/>
  <c r="C133" i="9"/>
  <c r="F132" i="9"/>
  <c r="E132" i="9"/>
  <c r="D132" i="9"/>
  <c r="C132" i="9"/>
  <c r="F131" i="9"/>
  <c r="E131" i="9"/>
  <c r="D131" i="9"/>
  <c r="C131" i="9"/>
  <c r="F130" i="9"/>
  <c r="E130" i="9"/>
  <c r="D130" i="9"/>
  <c r="C130" i="9"/>
  <c r="F129" i="9"/>
  <c r="E129" i="9"/>
  <c r="D129" i="9"/>
  <c r="C129" i="9"/>
  <c r="F128" i="9"/>
  <c r="E128" i="9"/>
  <c r="D128" i="9"/>
  <c r="C128" i="9"/>
  <c r="F127" i="9"/>
  <c r="E127" i="9"/>
  <c r="D127" i="9"/>
  <c r="C127" i="9"/>
  <c r="F126" i="9"/>
  <c r="E126" i="9"/>
  <c r="D126" i="9"/>
  <c r="C126" i="9"/>
  <c r="F125" i="9"/>
  <c r="E125" i="9"/>
  <c r="D125" i="9"/>
  <c r="C125" i="9"/>
  <c r="F124" i="9"/>
  <c r="E124" i="9"/>
  <c r="D124" i="9"/>
  <c r="C124" i="9"/>
  <c r="F123" i="9"/>
  <c r="E123" i="9"/>
  <c r="D123" i="9"/>
  <c r="C123" i="9"/>
  <c r="F122" i="9"/>
  <c r="E122" i="9"/>
  <c r="D122" i="9"/>
  <c r="C122" i="9"/>
  <c r="F121" i="9"/>
  <c r="E121" i="9"/>
  <c r="D121" i="9"/>
  <c r="C121" i="9"/>
  <c r="F120" i="9"/>
  <c r="E120" i="9"/>
  <c r="D120" i="9"/>
  <c r="C120" i="9"/>
  <c r="F119" i="9"/>
  <c r="E119" i="9"/>
  <c r="D119" i="9"/>
  <c r="C119" i="9"/>
  <c r="F118" i="9"/>
  <c r="E118" i="9"/>
  <c r="D118" i="9"/>
  <c r="C118" i="9"/>
  <c r="F117" i="9"/>
  <c r="E117" i="9"/>
  <c r="D117" i="9"/>
  <c r="C117" i="9"/>
  <c r="F116" i="9"/>
  <c r="E116" i="9"/>
  <c r="D116" i="9"/>
  <c r="C116" i="9"/>
  <c r="F115" i="9"/>
  <c r="E115" i="9"/>
  <c r="D115" i="9"/>
  <c r="C115" i="9"/>
  <c r="F114" i="9"/>
  <c r="E114" i="9"/>
  <c r="D114" i="9"/>
  <c r="C114" i="9"/>
  <c r="F113" i="9"/>
  <c r="E113" i="9"/>
  <c r="D113" i="9"/>
  <c r="C113" i="9"/>
  <c r="F112" i="9"/>
  <c r="E112" i="9"/>
  <c r="D112" i="9"/>
  <c r="C112" i="9"/>
  <c r="F111" i="9"/>
  <c r="E111" i="9"/>
  <c r="D111" i="9"/>
  <c r="C111" i="9"/>
  <c r="F110" i="9"/>
  <c r="E110" i="9"/>
  <c r="D110" i="9"/>
  <c r="C110" i="9"/>
  <c r="F109" i="9"/>
  <c r="E109" i="9"/>
  <c r="D109" i="9"/>
  <c r="C109" i="9"/>
  <c r="F108" i="9"/>
  <c r="E108" i="9"/>
  <c r="D108" i="9"/>
  <c r="C108" i="9"/>
  <c r="F107" i="9"/>
  <c r="E107" i="9"/>
  <c r="D107" i="9"/>
  <c r="C107" i="9"/>
  <c r="F106" i="9"/>
  <c r="E106" i="9"/>
  <c r="D106" i="9"/>
  <c r="C106" i="9"/>
  <c r="F105" i="9"/>
  <c r="E105" i="9"/>
  <c r="D105" i="9"/>
  <c r="C105" i="9"/>
  <c r="F104" i="9"/>
  <c r="E104" i="9"/>
  <c r="D104" i="9"/>
  <c r="C104" i="9"/>
  <c r="F103" i="9"/>
  <c r="E103" i="9"/>
  <c r="D103" i="9"/>
  <c r="C103" i="9"/>
  <c r="F102" i="9"/>
  <c r="E102" i="9"/>
  <c r="D102" i="9"/>
  <c r="C102" i="9"/>
  <c r="F101" i="9"/>
  <c r="E101" i="9"/>
  <c r="D101" i="9"/>
  <c r="C101" i="9"/>
  <c r="F100" i="9"/>
  <c r="E100" i="9"/>
  <c r="D100" i="9"/>
  <c r="C100" i="9"/>
  <c r="F99" i="9"/>
  <c r="E99" i="9"/>
  <c r="D99" i="9"/>
  <c r="C99" i="9"/>
  <c r="F98" i="9"/>
  <c r="E98" i="9"/>
  <c r="D98" i="9"/>
  <c r="C98" i="9"/>
  <c r="F97" i="9"/>
  <c r="E97" i="9"/>
  <c r="D97" i="9"/>
  <c r="C97" i="9"/>
  <c r="F96" i="9"/>
  <c r="E96" i="9"/>
  <c r="D96" i="9"/>
  <c r="C96" i="9"/>
  <c r="F95" i="9"/>
  <c r="E95" i="9"/>
  <c r="D95" i="9"/>
  <c r="C95" i="9"/>
  <c r="F94" i="9"/>
  <c r="E94" i="9"/>
  <c r="D94" i="9"/>
  <c r="C94" i="9"/>
  <c r="F93" i="9"/>
  <c r="E93" i="9"/>
  <c r="D93" i="9"/>
  <c r="C93" i="9"/>
  <c r="F92" i="9"/>
  <c r="E92" i="9"/>
  <c r="D92" i="9"/>
  <c r="C92" i="9"/>
  <c r="F91" i="9"/>
  <c r="E91" i="9"/>
  <c r="D91" i="9"/>
  <c r="C91" i="9"/>
  <c r="F90" i="9"/>
  <c r="E90" i="9"/>
  <c r="D90" i="9"/>
  <c r="C90" i="9"/>
  <c r="F89" i="9"/>
  <c r="E89" i="9"/>
  <c r="D89" i="9"/>
  <c r="C89" i="9"/>
  <c r="F88" i="9"/>
  <c r="E88" i="9"/>
  <c r="D88" i="9"/>
  <c r="C88" i="9"/>
  <c r="F87" i="9"/>
  <c r="E87" i="9"/>
  <c r="D87" i="9"/>
  <c r="C87" i="9"/>
  <c r="F86" i="9"/>
  <c r="E86" i="9"/>
  <c r="D86" i="9"/>
  <c r="C86" i="9"/>
  <c r="F85" i="9"/>
  <c r="E85" i="9"/>
  <c r="D85" i="9"/>
  <c r="C85" i="9"/>
  <c r="F84" i="9"/>
  <c r="E84" i="9"/>
  <c r="D84" i="9"/>
  <c r="C84" i="9"/>
  <c r="F83" i="9"/>
  <c r="E83" i="9"/>
  <c r="D83" i="9"/>
  <c r="C83" i="9"/>
  <c r="F82" i="9"/>
  <c r="E82" i="9"/>
  <c r="D82" i="9"/>
  <c r="C82" i="9"/>
  <c r="F81" i="9"/>
  <c r="E81" i="9"/>
  <c r="D81" i="9"/>
  <c r="C81" i="9"/>
  <c r="F80" i="9"/>
  <c r="E80" i="9"/>
  <c r="D80" i="9"/>
  <c r="C80" i="9"/>
  <c r="F79" i="9"/>
  <c r="E79" i="9"/>
  <c r="D79" i="9"/>
  <c r="C79" i="9"/>
  <c r="F78" i="9"/>
  <c r="E78" i="9"/>
  <c r="D78" i="9"/>
  <c r="C78" i="9"/>
  <c r="F77" i="9"/>
  <c r="E77" i="9"/>
  <c r="D77" i="9"/>
  <c r="C77" i="9"/>
  <c r="F76" i="9"/>
  <c r="E76" i="9"/>
  <c r="D76" i="9"/>
  <c r="C76" i="9"/>
  <c r="F75" i="9"/>
  <c r="E75" i="9"/>
  <c r="D75" i="9"/>
  <c r="C75" i="9"/>
  <c r="F74" i="9"/>
  <c r="E74" i="9"/>
  <c r="D74" i="9"/>
  <c r="C74" i="9"/>
  <c r="F73" i="9"/>
  <c r="E73" i="9"/>
  <c r="D73" i="9"/>
  <c r="C73" i="9"/>
  <c r="F72" i="9"/>
  <c r="E72" i="9"/>
  <c r="D72" i="9"/>
  <c r="C72" i="9"/>
  <c r="F71" i="9"/>
  <c r="E71" i="9"/>
  <c r="D71" i="9"/>
  <c r="C71" i="9"/>
  <c r="F70" i="9"/>
  <c r="E70" i="9"/>
  <c r="D70" i="9"/>
  <c r="C70" i="9"/>
  <c r="F69" i="9"/>
  <c r="E69" i="9"/>
  <c r="D69" i="9"/>
  <c r="C69" i="9"/>
  <c r="F68" i="9"/>
  <c r="E68" i="9"/>
  <c r="D68" i="9"/>
  <c r="C68" i="9"/>
  <c r="F67" i="9"/>
  <c r="E67" i="9"/>
  <c r="D67" i="9"/>
  <c r="C67" i="9"/>
  <c r="F66" i="9"/>
  <c r="E66" i="9"/>
  <c r="D66" i="9"/>
  <c r="C66" i="9"/>
  <c r="F65" i="9"/>
  <c r="E65" i="9"/>
  <c r="D65" i="9"/>
  <c r="C65" i="9"/>
  <c r="F64" i="9"/>
  <c r="E64" i="9"/>
  <c r="D64" i="9"/>
  <c r="C64" i="9"/>
  <c r="F63" i="9"/>
  <c r="E63" i="9"/>
  <c r="D63" i="9"/>
  <c r="C63" i="9"/>
  <c r="F62" i="9"/>
  <c r="E62" i="9"/>
  <c r="D62" i="9"/>
  <c r="C62" i="9"/>
  <c r="F61" i="9"/>
  <c r="E61" i="9"/>
  <c r="D61" i="9"/>
  <c r="C61" i="9"/>
  <c r="F60" i="9"/>
  <c r="E60" i="9"/>
  <c r="D60" i="9"/>
  <c r="C60" i="9"/>
  <c r="F59" i="9"/>
  <c r="E59" i="9"/>
  <c r="D59" i="9"/>
  <c r="C59" i="9"/>
  <c r="F58" i="9"/>
  <c r="E58" i="9"/>
  <c r="D58" i="9"/>
  <c r="C58" i="9"/>
  <c r="F57" i="9"/>
  <c r="E57" i="9"/>
  <c r="D57" i="9"/>
  <c r="C57" i="9"/>
  <c r="F56" i="9"/>
  <c r="E56" i="9"/>
  <c r="D56" i="9"/>
  <c r="C56" i="9"/>
  <c r="F55" i="9"/>
  <c r="E55" i="9"/>
  <c r="D55" i="9"/>
  <c r="C55" i="9"/>
  <c r="F54" i="9"/>
  <c r="E54" i="9"/>
  <c r="D54" i="9"/>
  <c r="C54" i="9"/>
  <c r="F53" i="9"/>
  <c r="E53" i="9"/>
  <c r="D53" i="9"/>
  <c r="C53" i="9"/>
  <c r="F52" i="9"/>
  <c r="E52" i="9"/>
  <c r="D52" i="9"/>
  <c r="C52" i="9"/>
  <c r="F51" i="9"/>
  <c r="E51" i="9"/>
  <c r="D51" i="9"/>
  <c r="C51" i="9"/>
  <c r="F50" i="9"/>
  <c r="E50" i="9"/>
  <c r="D50" i="9"/>
  <c r="C50" i="9"/>
  <c r="F49" i="9"/>
  <c r="E49" i="9"/>
  <c r="D49" i="9"/>
  <c r="C49" i="9"/>
  <c r="F48" i="9"/>
  <c r="E48" i="9"/>
  <c r="D48" i="9"/>
  <c r="C48" i="9"/>
  <c r="F47" i="9"/>
  <c r="E47" i="9"/>
  <c r="D47" i="9"/>
  <c r="C47" i="9"/>
  <c r="F46" i="9"/>
  <c r="E46" i="9"/>
  <c r="D46" i="9"/>
  <c r="C46" i="9"/>
  <c r="F45" i="9"/>
  <c r="E45" i="9"/>
  <c r="D45" i="9"/>
  <c r="C45" i="9"/>
  <c r="F44" i="9"/>
  <c r="E44" i="9"/>
  <c r="D44" i="9"/>
  <c r="C44" i="9"/>
  <c r="F43" i="9"/>
  <c r="E43" i="9"/>
  <c r="D43" i="9"/>
  <c r="C43" i="9"/>
  <c r="F42" i="9"/>
  <c r="E42" i="9"/>
  <c r="D42" i="9"/>
  <c r="C42" i="9"/>
  <c r="F41" i="9"/>
  <c r="E41" i="9"/>
  <c r="D41" i="9"/>
  <c r="C41" i="9"/>
  <c r="F40" i="9"/>
  <c r="E40" i="9"/>
  <c r="D40" i="9"/>
  <c r="C40" i="9"/>
  <c r="F39" i="9"/>
  <c r="E39" i="9"/>
  <c r="D39" i="9"/>
  <c r="C39" i="9"/>
  <c r="F38" i="9"/>
  <c r="E38" i="9"/>
  <c r="D38" i="9"/>
  <c r="C38" i="9"/>
  <c r="F37" i="9"/>
  <c r="E37" i="9"/>
  <c r="D37" i="9"/>
  <c r="C37" i="9"/>
  <c r="F36" i="9"/>
  <c r="E36" i="9"/>
  <c r="D36" i="9"/>
  <c r="C36" i="9"/>
  <c r="F35" i="9"/>
  <c r="E35" i="9"/>
  <c r="D35" i="9"/>
  <c r="C35" i="9"/>
  <c r="F34" i="9"/>
  <c r="E34" i="9"/>
  <c r="D34" i="9"/>
  <c r="C34" i="9"/>
  <c r="F33" i="9"/>
  <c r="E33" i="9"/>
  <c r="D33" i="9"/>
  <c r="C33" i="9"/>
  <c r="F32" i="9"/>
  <c r="E32" i="9"/>
  <c r="D32" i="9"/>
  <c r="C32" i="9"/>
  <c r="F31" i="9"/>
  <c r="E31" i="9"/>
  <c r="D31" i="9"/>
  <c r="C31" i="9"/>
  <c r="F30" i="9"/>
  <c r="E30" i="9"/>
  <c r="D30" i="9"/>
  <c r="C30" i="9"/>
  <c r="F29" i="9"/>
  <c r="E29" i="9"/>
  <c r="D29" i="9"/>
  <c r="C29" i="9"/>
  <c r="F28" i="9"/>
  <c r="E28" i="9"/>
  <c r="D28" i="9"/>
  <c r="C28" i="9"/>
  <c r="F27" i="9"/>
  <c r="E27" i="9"/>
  <c r="D27" i="9"/>
  <c r="C27" i="9"/>
  <c r="F26" i="9"/>
  <c r="E26" i="9"/>
  <c r="D26" i="9"/>
  <c r="C26" i="9"/>
  <c r="F25" i="9"/>
  <c r="E25" i="9"/>
  <c r="D25" i="9"/>
  <c r="C25" i="9"/>
  <c r="F24" i="9"/>
  <c r="E24" i="9"/>
  <c r="D24" i="9"/>
  <c r="C24" i="9"/>
  <c r="F23" i="9"/>
  <c r="E23" i="9"/>
  <c r="D23" i="9"/>
  <c r="C23" i="9"/>
  <c r="F22" i="9"/>
  <c r="E22" i="9"/>
  <c r="D22" i="9"/>
  <c r="C22" i="9"/>
  <c r="F21" i="9"/>
  <c r="E21" i="9"/>
  <c r="D21" i="9"/>
  <c r="C21" i="9"/>
  <c r="F20" i="9"/>
  <c r="E20" i="9"/>
  <c r="D20" i="9"/>
  <c r="C20" i="9"/>
  <c r="F19" i="9"/>
  <c r="E19" i="9"/>
  <c r="D19" i="9"/>
  <c r="C19" i="9"/>
  <c r="F18" i="9"/>
  <c r="E18" i="9"/>
  <c r="D18" i="9"/>
  <c r="C18" i="9"/>
  <c r="F17" i="9"/>
  <c r="E17" i="9"/>
  <c r="D17" i="9"/>
  <c r="C17" i="9"/>
  <c r="F16" i="9"/>
  <c r="E16" i="9"/>
  <c r="D16" i="9"/>
  <c r="C16" i="9"/>
  <c r="F15" i="9"/>
  <c r="E15" i="9"/>
  <c r="D15" i="9"/>
  <c r="C15" i="9"/>
  <c r="F14" i="9"/>
  <c r="E14" i="9"/>
  <c r="D14" i="9"/>
  <c r="C14" i="9"/>
  <c r="F13" i="9"/>
  <c r="E13" i="9"/>
  <c r="D13" i="9"/>
  <c r="C13" i="9"/>
  <c r="F12" i="9"/>
  <c r="E12" i="9"/>
  <c r="D12" i="9"/>
  <c r="C12" i="9"/>
  <c r="F11" i="9"/>
  <c r="E11" i="9"/>
  <c r="D11" i="9"/>
  <c r="C11" i="9"/>
  <c r="F10" i="9"/>
  <c r="E10" i="9"/>
  <c r="D10" i="9"/>
  <c r="C10" i="9"/>
  <c r="F9" i="9"/>
  <c r="E9" i="9"/>
  <c r="D9" i="9"/>
  <c r="C9" i="9"/>
  <c r="F8" i="9"/>
  <c r="E8" i="9"/>
  <c r="D8" i="9"/>
  <c r="C8" i="9"/>
  <c r="F7" i="9"/>
  <c r="E7" i="9"/>
  <c r="D7" i="9"/>
  <c r="C7" i="9"/>
  <c r="F6" i="9"/>
  <c r="E6" i="9"/>
  <c r="D6" i="9"/>
  <c r="C6" i="9"/>
  <c r="F5" i="9"/>
  <c r="E5" i="9"/>
  <c r="D5" i="9"/>
  <c r="C5" i="9"/>
  <c r="F4" i="9"/>
  <c r="E4" i="9"/>
  <c r="D4" i="9"/>
  <c r="C4" i="9"/>
  <c r="F3" i="9"/>
  <c r="E3" i="9"/>
  <c r="D3" i="9"/>
  <c r="C3" i="9"/>
  <c r="F2" i="9"/>
  <c r="D2" i="9"/>
  <c r="E2" i="9"/>
  <c r="C2" i="9"/>
  <c r="O157" i="9"/>
  <c r="M157" i="9"/>
  <c r="O156" i="9"/>
  <c r="M156" i="9"/>
  <c r="O155" i="9"/>
  <c r="M155" i="9"/>
  <c r="O154" i="9"/>
  <c r="M154" i="9"/>
  <c r="O153" i="9"/>
  <c r="M153" i="9"/>
  <c r="O152" i="9"/>
  <c r="M152" i="9"/>
  <c r="O151" i="9"/>
  <c r="M151" i="9"/>
  <c r="O150" i="9"/>
  <c r="M150" i="9"/>
  <c r="O149" i="9"/>
  <c r="M149" i="9"/>
  <c r="O148" i="9"/>
  <c r="M148" i="9"/>
  <c r="O147" i="9"/>
  <c r="M147" i="9"/>
  <c r="O146" i="9"/>
  <c r="M146" i="9"/>
  <c r="O145" i="9"/>
  <c r="M145" i="9"/>
  <c r="O144" i="9"/>
  <c r="M144" i="9"/>
  <c r="O143" i="9"/>
  <c r="M143" i="9"/>
  <c r="O142" i="9"/>
  <c r="M142" i="9"/>
  <c r="O141" i="9"/>
  <c r="M141" i="9"/>
  <c r="O140" i="9"/>
  <c r="M140" i="9"/>
  <c r="O139" i="9"/>
  <c r="M139" i="9"/>
  <c r="O138" i="9"/>
  <c r="M138" i="9"/>
  <c r="O137" i="9"/>
  <c r="M137" i="9"/>
  <c r="O136" i="9"/>
  <c r="M136" i="9"/>
  <c r="O135" i="9"/>
  <c r="M135" i="9"/>
  <c r="O134" i="9"/>
  <c r="M134" i="9"/>
  <c r="K134" i="9"/>
  <c r="O133" i="9"/>
  <c r="M133" i="9"/>
  <c r="K133" i="9"/>
  <c r="O132" i="9"/>
  <c r="M132" i="9"/>
  <c r="K132" i="9"/>
  <c r="O131" i="9"/>
  <c r="M131" i="9"/>
  <c r="O130" i="9"/>
  <c r="M130" i="9"/>
  <c r="K130" i="9"/>
  <c r="O129" i="9"/>
  <c r="M129" i="9"/>
  <c r="K129" i="9"/>
  <c r="O128" i="9"/>
  <c r="M128" i="9"/>
  <c r="K128" i="9"/>
  <c r="O127" i="9"/>
  <c r="M127" i="9"/>
  <c r="K127" i="9"/>
  <c r="O126" i="9"/>
  <c r="M126" i="9"/>
  <c r="K126" i="9"/>
  <c r="O125" i="9"/>
  <c r="M125" i="9"/>
  <c r="K125" i="9"/>
  <c r="O124" i="9"/>
  <c r="M124" i="9"/>
  <c r="K124" i="9"/>
  <c r="O123" i="9"/>
  <c r="M123" i="9"/>
  <c r="K123" i="9"/>
  <c r="O122" i="9"/>
  <c r="M122" i="9"/>
  <c r="K122" i="9"/>
  <c r="O121" i="9"/>
  <c r="M121" i="9"/>
  <c r="K121" i="9"/>
  <c r="O120" i="9"/>
  <c r="M120" i="9"/>
  <c r="K120" i="9"/>
  <c r="O119" i="9"/>
  <c r="M119" i="9"/>
  <c r="K119" i="9"/>
  <c r="O118" i="9"/>
  <c r="M118" i="9"/>
  <c r="K118" i="9"/>
  <c r="O117" i="9"/>
  <c r="M117" i="9"/>
  <c r="K117" i="9"/>
  <c r="O116" i="9"/>
  <c r="M116" i="9"/>
  <c r="K116" i="9"/>
  <c r="O115" i="9"/>
  <c r="M115" i="9"/>
  <c r="K115" i="9"/>
  <c r="O114" i="9"/>
  <c r="M114" i="9"/>
  <c r="K114" i="9"/>
  <c r="O113" i="9"/>
  <c r="M113" i="9"/>
  <c r="K113" i="9"/>
  <c r="O112" i="9"/>
  <c r="M112" i="9"/>
  <c r="K112" i="9"/>
  <c r="O111" i="9"/>
  <c r="M111"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3" i="9"/>
  <c r="K2" i="9"/>
  <c r="K131" i="9"/>
  <c r="K143" i="9"/>
  <c r="K139" i="9"/>
  <c r="K135" i="9"/>
  <c r="K136" i="9"/>
  <c r="K146" i="9"/>
  <c r="K156" i="9"/>
  <c r="K144" i="9"/>
  <c r="K140" i="9"/>
  <c r="K138" i="9"/>
  <c r="K142" i="9"/>
  <c r="K137" i="9"/>
  <c r="K141" i="9"/>
  <c r="K145" i="9"/>
  <c r="Q2" i="21"/>
  <c r="I4" i="21"/>
  <c r="Q9" i="21"/>
  <c r="K49" i="6"/>
  <c r="N49" i="6"/>
  <c r="N48" i="6"/>
  <c r="N47" i="6"/>
  <c r="N46" i="6"/>
  <c r="N45" i="6"/>
  <c r="K46" i="6"/>
  <c r="K47" i="6"/>
  <c r="K48" i="6"/>
  <c r="K45" i="6"/>
  <c r="B46" i="6"/>
  <c r="B47" i="6"/>
  <c r="B48" i="6"/>
  <c r="B49" i="6"/>
  <c r="B45" i="6"/>
  <c r="O94" i="20"/>
  <c r="L94" i="20"/>
  <c r="I94" i="20"/>
  <c r="F94" i="20"/>
  <c r="C94" i="20"/>
  <c r="O88" i="6"/>
  <c r="O87" i="6"/>
  <c r="O86" i="6"/>
  <c r="O85" i="6"/>
  <c r="G89" i="6"/>
  <c r="G88" i="6"/>
  <c r="G86" i="6"/>
  <c r="A1" i="20"/>
  <c r="O61" i="6"/>
  <c r="O60" i="6"/>
  <c r="O59" i="6"/>
  <c r="O58" i="6"/>
  <c r="O57" i="6"/>
  <c r="O56" i="6"/>
  <c r="O55" i="6"/>
  <c r="O52" i="6"/>
  <c r="O51" i="6"/>
  <c r="O50" i="6"/>
  <c r="M30" i="2"/>
  <c r="I30" i="2"/>
  <c r="J30" i="2"/>
  <c r="H30" i="2"/>
  <c r="G15" i="6"/>
  <c r="G16" i="6"/>
  <c r="H19" i="8"/>
  <c r="F19" i="8"/>
  <c r="D19" i="8"/>
  <c r="N9" i="16"/>
  <c r="N11" i="16"/>
  <c r="N13" i="16"/>
  <c r="N15" i="16"/>
  <c r="N17" i="16"/>
  <c r="N19" i="16"/>
  <c r="N21" i="16"/>
  <c r="N23" i="16"/>
  <c r="N25" i="16"/>
  <c r="N27" i="16"/>
  <c r="N29" i="16"/>
  <c r="N31" i="16"/>
  <c r="N33" i="16"/>
  <c r="N35" i="16"/>
  <c r="N7" i="16"/>
  <c r="K7" i="6"/>
  <c r="K5" i="6"/>
  <c r="A1" i="6"/>
  <c r="C61" i="6"/>
  <c r="C60" i="6"/>
  <c r="C58" i="6"/>
  <c r="C57" i="6"/>
  <c r="C56" i="6"/>
  <c r="C55" i="6"/>
  <c r="C61" i="14"/>
  <c r="C60" i="14"/>
  <c r="C58" i="14"/>
  <c r="C57" i="14"/>
  <c r="C56" i="14"/>
  <c r="C55" i="14"/>
  <c r="C61" i="13"/>
  <c r="C60" i="13"/>
  <c r="C58" i="13"/>
  <c r="C57" i="13"/>
  <c r="C56" i="13"/>
  <c r="C55" i="13"/>
  <c r="C61" i="5"/>
  <c r="C60" i="5"/>
  <c r="C58" i="5"/>
  <c r="C57" i="5"/>
  <c r="C56" i="5"/>
  <c r="C55" i="5"/>
  <c r="C61" i="4"/>
  <c r="C60" i="4"/>
  <c r="C56" i="4"/>
  <c r="C57" i="4"/>
  <c r="C58" i="4"/>
  <c r="C55" i="4"/>
  <c r="A11" i="2"/>
  <c r="A11" i="4" s="1"/>
  <c r="U64" i="18"/>
  <c r="A43" i="8"/>
  <c r="A42" i="8"/>
  <c r="A41" i="8"/>
  <c r="A40" i="8"/>
  <c r="A39" i="8"/>
  <c r="A38" i="8"/>
  <c r="A37" i="8"/>
  <c r="A36" i="8"/>
  <c r="A35" i="8"/>
  <c r="A34" i="8"/>
  <c r="A33" i="8"/>
  <c r="A32" i="8"/>
  <c r="A31" i="8"/>
  <c r="A30" i="8"/>
  <c r="B29" i="6"/>
  <c r="B28" i="6"/>
  <c r="B27" i="6"/>
  <c r="B26" i="6"/>
  <c r="B25" i="6"/>
  <c r="B24" i="6"/>
  <c r="B23" i="6"/>
  <c r="B22" i="6"/>
  <c r="B21" i="6"/>
  <c r="B20" i="6"/>
  <c r="B19" i="6"/>
  <c r="B18" i="6"/>
  <c r="B17" i="6"/>
  <c r="B16" i="6"/>
  <c r="E31" i="8"/>
  <c r="D31" i="8"/>
  <c r="F31" i="8"/>
  <c r="E32" i="8"/>
  <c r="E33" i="8"/>
  <c r="E34" i="8"/>
  <c r="E35" i="8"/>
  <c r="D35" i="8"/>
  <c r="F35" i="8"/>
  <c r="E36" i="8"/>
  <c r="E37" i="8"/>
  <c r="E38" i="8"/>
  <c r="E39" i="8"/>
  <c r="D39" i="8"/>
  <c r="F39" i="8"/>
  <c r="E40" i="8"/>
  <c r="E41" i="8"/>
  <c r="E42" i="8"/>
  <c r="E43" i="8"/>
  <c r="D43" i="8"/>
  <c r="F43" i="8"/>
  <c r="E30" i="8"/>
  <c r="E29" i="8"/>
  <c r="D32" i="8"/>
  <c r="F32" i="8"/>
  <c r="D33" i="8"/>
  <c r="D34" i="8"/>
  <c r="D36" i="8"/>
  <c r="F36" i="8"/>
  <c r="D37" i="8"/>
  <c r="D38" i="8"/>
  <c r="D40" i="8"/>
  <c r="F40" i="8"/>
  <c r="D41" i="8"/>
  <c r="D42" i="8"/>
  <c r="D30" i="8"/>
  <c r="D29" i="8"/>
  <c r="F33" i="8"/>
  <c r="F34" i="8"/>
  <c r="F37" i="8"/>
  <c r="F38" i="8"/>
  <c r="F41" i="8"/>
  <c r="F42" i="8"/>
  <c r="F30" i="8"/>
  <c r="F29" i="8"/>
  <c r="A29" i="8"/>
  <c r="G29" i="6"/>
  <c r="G28" i="6"/>
  <c r="G27" i="6"/>
  <c r="G26" i="6"/>
  <c r="G25" i="6"/>
  <c r="G24" i="6"/>
  <c r="G23" i="6"/>
  <c r="G22" i="6"/>
  <c r="G21" i="6"/>
  <c r="G20" i="6"/>
  <c r="G19" i="6"/>
  <c r="G18" i="6"/>
  <c r="G17" i="6"/>
  <c r="H13" i="8"/>
  <c r="F13" i="8"/>
  <c r="D13" i="8"/>
  <c r="H7" i="8"/>
  <c r="F7" i="8"/>
  <c r="D7" i="8"/>
  <c r="K8" i="6"/>
  <c r="A3" i="9"/>
  <c r="A1" i="16"/>
  <c r="B2" i="9"/>
  <c r="D46" i="8"/>
  <c r="H46" i="8" s="1"/>
  <c r="Y53" i="20"/>
  <c r="N52" i="16"/>
  <c r="D61" i="16"/>
  <c r="E61" i="16"/>
  <c r="N62" i="20"/>
  <c r="O62" i="20"/>
  <c r="L62" i="20"/>
  <c r="I62" i="20"/>
  <c r="F62" i="20"/>
  <c r="C69" i="6"/>
  <c r="Y55" i="20"/>
  <c r="N54" i="16"/>
  <c r="C65" i="6"/>
  <c r="C64" i="6"/>
  <c r="A43" i="20"/>
  <c r="C67" i="6"/>
  <c r="C72" i="6"/>
  <c r="H62" i="20"/>
  <c r="D62" i="16"/>
  <c r="D33" i="13"/>
  <c r="C62" i="6"/>
  <c r="A44" i="20"/>
  <c r="C66" i="6"/>
  <c r="C73" i="6"/>
  <c r="AF43" i="20"/>
  <c r="C71" i="6"/>
  <c r="C70" i="6"/>
  <c r="C63" i="6"/>
  <c r="L11" i="21"/>
  <c r="AN30" i="20"/>
  <c r="AN24" i="20"/>
  <c r="AN20" i="20"/>
  <c r="AN26" i="20"/>
  <c r="AN32" i="20"/>
  <c r="AN34" i="20"/>
  <c r="AN28" i="20"/>
  <c r="AN18" i="20"/>
  <c r="AN22" i="20"/>
  <c r="AN16" i="20"/>
  <c r="AN36" i="20"/>
  <c r="I2" i="20"/>
  <c r="B3" i="22"/>
  <c r="G6" i="16"/>
  <c r="AD5" i="23"/>
  <c r="Q6" i="20"/>
  <c r="D2" i="16"/>
  <c r="I77" i="4"/>
  <c r="A3" i="18"/>
  <c r="K10" i="6"/>
  <c r="U73" i="18" l="1"/>
  <c r="U72" i="18"/>
  <c r="U71" i="18"/>
  <c r="U70" i="18"/>
  <c r="U69" i="18"/>
  <c r="U68" i="18"/>
  <c r="U67" i="18"/>
  <c r="U66" i="18"/>
  <c r="E62" i="20"/>
  <c r="C62" i="16"/>
  <c r="D6" i="16"/>
  <c r="C6" i="16"/>
  <c r="Y39" i="21"/>
  <c r="T30" i="21"/>
  <c r="AD14" i="21"/>
  <c r="N11" i="21"/>
  <c r="T24" i="21"/>
  <c r="Y38" i="21"/>
  <c r="AD15" i="21"/>
  <c r="T29" i="21"/>
  <c r="AD31" i="21"/>
  <c r="AD16" i="21"/>
  <c r="Y23" i="21"/>
  <c r="Y21" i="21"/>
  <c r="T8" i="21"/>
  <c r="T15" i="21"/>
  <c r="AD21" i="21"/>
  <c r="Y24" i="21"/>
  <c r="T31" i="21"/>
  <c r="AD37" i="21"/>
  <c r="Y40" i="21"/>
  <c r="D47" i="8"/>
  <c r="H47" i="8" s="1"/>
  <c r="J47" i="8" s="1"/>
  <c r="C62" i="20"/>
  <c r="R62" i="20" s="1"/>
  <c r="AD5" i="21"/>
  <c r="Y22" i="21"/>
  <c r="AD22" i="21"/>
  <c r="AD38" i="21"/>
  <c r="Y37" i="21"/>
  <c r="AD13" i="21"/>
  <c r="Y16" i="21"/>
  <c r="T23" i="21"/>
  <c r="AD29" i="21"/>
  <c r="Y32" i="21"/>
  <c r="T39" i="21"/>
  <c r="AD23" i="21"/>
  <c r="N44" i="16"/>
  <c r="Y15" i="21"/>
  <c r="T22" i="21"/>
  <c r="AD24" i="21"/>
  <c r="AD32" i="21"/>
  <c r="M9" i="21"/>
  <c r="M10" i="21"/>
  <c r="T32" i="21"/>
  <c r="L12" i="21"/>
  <c r="M12" i="21"/>
  <c r="Y29" i="21"/>
  <c r="T5" i="21"/>
  <c r="AD6" i="21"/>
  <c r="L13" i="21"/>
  <c r="L10" i="21"/>
  <c r="B3" i="9"/>
  <c r="K54" i="16"/>
  <c r="K149" i="9"/>
  <c r="K152" i="9"/>
  <c r="K155" i="9"/>
  <c r="K148" i="9"/>
  <c r="K154" i="9"/>
  <c r="K150" i="9"/>
  <c r="K147" i="9"/>
  <c r="K157" i="9"/>
  <c r="K151" i="9"/>
  <c r="K153" i="9"/>
  <c r="A12" i="22"/>
  <c r="P12" i="22" s="1"/>
  <c r="M13" i="21"/>
  <c r="Y14" i="21"/>
  <c r="AD39" i="21"/>
  <c r="T21" i="21"/>
  <c r="T6" i="21"/>
  <c r="T13" i="21"/>
  <c r="T16" i="21"/>
  <c r="T14" i="21"/>
  <c r="T37" i="21"/>
  <c r="T40" i="21"/>
  <c r="T38" i="21"/>
  <c r="AD40" i="21"/>
  <c r="AD30" i="21"/>
  <c r="Y7" i="21"/>
  <c r="AD7" i="21"/>
  <c r="T7" i="21"/>
  <c r="Y6" i="21"/>
  <c r="Y5" i="21"/>
  <c r="Y8" i="21"/>
  <c r="AD8" i="21"/>
  <c r="Y30" i="21"/>
  <c r="Y31" i="21"/>
  <c r="A4" i="9"/>
  <c r="Y45" i="20"/>
  <c r="Y13" i="21"/>
  <c r="B44" i="16"/>
  <c r="O5" i="23"/>
  <c r="B6" i="20"/>
  <c r="B10" i="20"/>
  <c r="Q26" i="5"/>
  <c r="A53" i="16"/>
  <c r="AF53" i="20"/>
  <c r="Q18" i="4"/>
  <c r="B17" i="16"/>
  <c r="K42" i="16"/>
  <c r="D33" i="4"/>
  <c r="A43" i="16"/>
  <c r="Q22" i="5"/>
  <c r="V43" i="20"/>
  <c r="D33" i="5"/>
  <c r="A42" i="16"/>
  <c r="Q28" i="5"/>
  <c r="Q20" i="5"/>
  <c r="B18" i="20"/>
  <c r="D33" i="14"/>
  <c r="Q24" i="5"/>
  <c r="D44" i="8"/>
  <c r="H44" i="8" s="1"/>
  <c r="D34" i="14"/>
  <c r="B6" i="16"/>
  <c r="A11" i="14"/>
  <c r="C49" i="20"/>
  <c r="H6" i="20"/>
  <c r="N6" i="20"/>
  <c r="F6" i="16"/>
  <c r="E6" i="16"/>
  <c r="E6" i="20"/>
  <c r="K6" i="20"/>
  <c r="N56" i="4"/>
  <c r="F67" i="20" s="1"/>
  <c r="Y5" i="23"/>
  <c r="A32" i="20"/>
  <c r="J5" i="23"/>
  <c r="T5" i="23"/>
  <c r="J46" i="8"/>
  <c r="B19" i="4"/>
  <c r="A35" i="16"/>
  <c r="B11" i="16"/>
  <c r="B12" i="20"/>
  <c r="N40" i="16"/>
  <c r="K32" i="2"/>
  <c r="B40" i="16" s="1"/>
  <c r="A30" i="16"/>
  <c r="Y47" i="20"/>
  <c r="N50" i="6"/>
  <c r="N58" i="4"/>
  <c r="F69" i="20" s="1"/>
  <c r="V56" i="20"/>
  <c r="C51" i="20"/>
  <c r="B79" i="20"/>
  <c r="B81" i="16"/>
  <c r="G46" i="23"/>
  <c r="AF11" i="23"/>
  <c r="AF13" i="23"/>
  <c r="AF23" i="23"/>
  <c r="AF25" i="23"/>
  <c r="AF35" i="23"/>
  <c r="AF37" i="23"/>
  <c r="AA10" i="23"/>
  <c r="AA12" i="23" s="1"/>
  <c r="AF14" i="23"/>
  <c r="AA16" i="23"/>
  <c r="AA20" i="23"/>
  <c r="AF20" i="23" s="1"/>
  <c r="AA22" i="23"/>
  <c r="AA24" i="23" s="1"/>
  <c r="AA26" i="23"/>
  <c r="AA27" i="23" s="1"/>
  <c r="AA28" i="23"/>
  <c r="AA32" i="23"/>
  <c r="AA34" i="23"/>
  <c r="AA36" i="23" s="1"/>
  <c r="AA38" i="23"/>
  <c r="AA39" i="23" s="1"/>
  <c r="AA40" i="23"/>
  <c r="AA17" i="23"/>
  <c r="AF17" i="23" s="1"/>
  <c r="AA19" i="23"/>
  <c r="AA29" i="23"/>
  <c r="AA31" i="23"/>
  <c r="AF31" i="23" s="1"/>
  <c r="AA41" i="23"/>
  <c r="B84" i="20"/>
  <c r="J73" i="2"/>
  <c r="B86" i="16"/>
  <c r="J73" i="4"/>
  <c r="J72" i="2"/>
  <c r="B83" i="20"/>
  <c r="B85" i="16"/>
  <c r="J72" i="4"/>
  <c r="J71" i="2"/>
  <c r="B82" i="20"/>
  <c r="J69" i="4"/>
  <c r="J69" i="2"/>
  <c r="J68" i="2"/>
  <c r="J68" i="4"/>
  <c r="B80" i="16"/>
  <c r="J67" i="2"/>
  <c r="B78" i="16"/>
  <c r="J65" i="4"/>
  <c r="B74" i="20"/>
  <c r="J63" i="2"/>
  <c r="E46" i="23"/>
  <c r="B51" i="20"/>
  <c r="V47" i="20"/>
  <c r="C56" i="20"/>
  <c r="A2" i="16"/>
  <c r="A11" i="6"/>
  <c r="B15" i="6" s="1"/>
  <c r="B49" i="20"/>
  <c r="A47" i="16"/>
  <c r="A48" i="20"/>
  <c r="D35" i="4"/>
  <c r="A11" i="5"/>
  <c r="A10" i="16"/>
  <c r="I2" i="21"/>
  <c r="K40" i="16"/>
  <c r="K44" i="16"/>
  <c r="Q29" i="5"/>
  <c r="Q27" i="5"/>
  <c r="Q25" i="5"/>
  <c r="Q23" i="5"/>
  <c r="Q21" i="5"/>
  <c r="Q19" i="5"/>
  <c r="A15" i="16"/>
  <c r="N28" i="2"/>
  <c r="H29" i="8"/>
  <c r="N20" i="2"/>
  <c r="N18" i="2"/>
  <c r="A14" i="16"/>
  <c r="B27" i="16"/>
  <c r="B28" i="20"/>
  <c r="J70" i="4"/>
  <c r="N21" i="2"/>
  <c r="C16" i="20"/>
  <c r="C41" i="20"/>
  <c r="B81" i="20"/>
  <c r="Q26" i="4"/>
  <c r="A14" i="20"/>
  <c r="J70" i="2"/>
  <c r="AD42" i="23"/>
  <c r="K73" i="4" s="1"/>
  <c r="H36" i="8"/>
  <c r="J36" i="8" s="1"/>
  <c r="A17" i="20"/>
  <c r="A28" i="20"/>
  <c r="B73" i="20"/>
  <c r="B75" i="16"/>
  <c r="J62" i="2"/>
  <c r="J62" i="4"/>
  <c r="F61" i="16"/>
  <c r="K62" i="20"/>
  <c r="B54" i="16"/>
  <c r="B55" i="20"/>
  <c r="V51" i="20"/>
  <c r="B27" i="4"/>
  <c r="B15" i="4"/>
  <c r="A32" i="16"/>
  <c r="A55" i="16"/>
  <c r="B61" i="16"/>
  <c r="A34" i="20"/>
  <c r="V41" i="20"/>
  <c r="V45" i="20"/>
  <c r="AF51" i="20"/>
  <c r="A45" i="20"/>
  <c r="D34" i="6"/>
  <c r="A45" i="16"/>
  <c r="D34" i="5"/>
  <c r="A51" i="20"/>
  <c r="K35" i="2"/>
  <c r="K50" i="6"/>
  <c r="B31" i="16"/>
  <c r="B20" i="4"/>
  <c r="B62" i="16"/>
  <c r="A57" i="20"/>
  <c r="B62" i="20"/>
  <c r="A41" i="16"/>
  <c r="A40" i="16"/>
  <c r="A44" i="16"/>
  <c r="A51" i="16"/>
  <c r="D34" i="13"/>
  <c r="D37" i="6"/>
  <c r="E5" i="23"/>
  <c r="K58" i="4"/>
  <c r="AD18" i="23"/>
  <c r="Q29" i="4"/>
  <c r="G19" i="4"/>
  <c r="I19" i="4" s="1"/>
  <c r="B28" i="4"/>
  <c r="B26" i="4"/>
  <c r="B53" i="20"/>
  <c r="AF56" i="20"/>
  <c r="A54" i="16"/>
  <c r="A46" i="20"/>
  <c r="AF45" i="20"/>
  <c r="K56" i="4"/>
  <c r="J52" i="18" s="1"/>
  <c r="K19" i="2"/>
  <c r="B16" i="20" s="1"/>
  <c r="D36" i="5"/>
  <c r="D36" i="14"/>
  <c r="K48" i="16"/>
  <c r="V49" i="20"/>
  <c r="A49" i="20"/>
  <c r="K40" i="2"/>
  <c r="N55" i="16"/>
  <c r="D48" i="8"/>
  <c r="H48" i="8" s="1"/>
  <c r="C8" i="20"/>
  <c r="D45" i="8"/>
  <c r="H45" i="8" s="1"/>
  <c r="N48" i="16"/>
  <c r="A48" i="16"/>
  <c r="D37" i="4"/>
  <c r="A52" i="20"/>
  <c r="AD15" i="23"/>
  <c r="N24" i="2"/>
  <c r="Q17" i="4"/>
  <c r="Q23" i="4"/>
  <c r="Q27" i="4"/>
  <c r="B26" i="20"/>
  <c r="B17" i="4"/>
  <c r="B21" i="4"/>
  <c r="B16" i="4"/>
  <c r="B23" i="4"/>
  <c r="B25" i="16"/>
  <c r="A55" i="20"/>
  <c r="H43" i="8"/>
  <c r="J43" i="8" s="1"/>
  <c r="A24" i="16"/>
  <c r="A23" i="16"/>
  <c r="A41" i="20"/>
  <c r="AF41" i="20"/>
  <c r="A56" i="16"/>
  <c r="A56" i="20"/>
  <c r="Y49" i="20"/>
  <c r="A50" i="16"/>
  <c r="D37" i="14"/>
  <c r="D36" i="6"/>
  <c r="D36" i="13"/>
  <c r="D35" i="5"/>
  <c r="AF47" i="20"/>
  <c r="D35" i="13"/>
  <c r="B39" i="4"/>
  <c r="M39" i="4" s="1"/>
  <c r="O30" i="18" s="1"/>
  <c r="AD24" i="23"/>
  <c r="L18" i="23"/>
  <c r="Q24" i="23"/>
  <c r="V30" i="23"/>
  <c r="L30" i="23"/>
  <c r="Q36" i="23"/>
  <c r="Q24" i="4"/>
  <c r="Q21" i="4"/>
  <c r="Q19" i="4"/>
  <c r="N57" i="4"/>
  <c r="F68" i="20" s="1"/>
  <c r="N61" i="4"/>
  <c r="F72" i="20" s="1"/>
  <c r="N86" i="4"/>
  <c r="B22" i="4"/>
  <c r="B24" i="4"/>
  <c r="B25" i="4"/>
  <c r="B29" i="4"/>
  <c r="B18" i="4"/>
  <c r="A21" i="16"/>
  <c r="A19" i="16"/>
  <c r="A34" i="16"/>
  <c r="Y43" i="20"/>
  <c r="AF55" i="20"/>
  <c r="A11" i="13"/>
  <c r="A2" i="20"/>
  <c r="A27" i="20"/>
  <c r="A26" i="20"/>
  <c r="A36" i="20"/>
  <c r="A26" i="16"/>
  <c r="A25" i="16"/>
  <c r="A52" i="16"/>
  <c r="K52" i="16"/>
  <c r="A54" i="20"/>
  <c r="A53" i="20"/>
  <c r="D37" i="5"/>
  <c r="K50" i="16"/>
  <c r="D35" i="6"/>
  <c r="AF49" i="20"/>
  <c r="B50" i="16"/>
  <c r="A46" i="16"/>
  <c r="D35" i="14"/>
  <c r="A47" i="20"/>
  <c r="D36" i="4"/>
  <c r="A50" i="20"/>
  <c r="N50" i="16"/>
  <c r="Y51" i="20"/>
  <c r="K60" i="4"/>
  <c r="K33" i="2"/>
  <c r="C43" i="20"/>
  <c r="N60" i="4"/>
  <c r="N55" i="4"/>
  <c r="AD21" i="23"/>
  <c r="AD33" i="23"/>
  <c r="N17" i="2"/>
  <c r="Q28" i="4"/>
  <c r="Q25" i="4"/>
  <c r="K23" i="2"/>
  <c r="B23" i="16" s="1"/>
  <c r="N23" i="2"/>
  <c r="Q22" i="4"/>
  <c r="B14" i="20"/>
  <c r="Q22" i="13"/>
  <c r="Q29" i="13"/>
  <c r="H42" i="8"/>
  <c r="J42" i="8" s="1"/>
  <c r="H31" i="8"/>
  <c r="J31" i="8" s="1"/>
  <c r="AD39" i="23"/>
  <c r="B9" i="16"/>
  <c r="A19" i="20"/>
  <c r="A18" i="16"/>
  <c r="A11" i="16"/>
  <c r="A27" i="16"/>
  <c r="J64" i="2"/>
  <c r="B77" i="20"/>
  <c r="AD36" i="23"/>
  <c r="N16" i="2"/>
  <c r="B19" i="16"/>
  <c r="J66" i="2"/>
  <c r="J64" i="4"/>
  <c r="B84" i="16"/>
  <c r="AD30" i="23"/>
  <c r="L15" i="23"/>
  <c r="V27" i="23"/>
  <c r="L27" i="23"/>
  <c r="V39" i="23"/>
  <c r="N27" i="2"/>
  <c r="Q27" i="13"/>
  <c r="B20" i="20"/>
  <c r="A23" i="20"/>
  <c r="H38" i="8"/>
  <c r="J38" i="8" s="1"/>
  <c r="J65" i="2"/>
  <c r="J63" i="4"/>
  <c r="J67" i="4"/>
  <c r="B76" i="16"/>
  <c r="B78" i="20"/>
  <c r="AD27" i="23"/>
  <c r="L9" i="23"/>
  <c r="Q30" i="23"/>
  <c r="Q42" i="23"/>
  <c r="A13" i="20"/>
  <c r="A12" i="20"/>
  <c r="T44" i="23"/>
  <c r="Q21" i="14"/>
  <c r="Q23" i="14"/>
  <c r="Q19" i="14"/>
  <c r="Q27" i="14"/>
  <c r="Q28" i="14"/>
  <c r="Q29" i="14"/>
  <c r="Q20" i="14"/>
  <c r="Q22" i="14"/>
  <c r="Q24" i="14"/>
  <c r="Q26" i="14"/>
  <c r="Q25" i="14"/>
  <c r="H40" i="8"/>
  <c r="J40" i="8" s="1"/>
  <c r="A24" i="20"/>
  <c r="A25" i="20"/>
  <c r="L45" i="23"/>
  <c r="B34" i="20"/>
  <c r="Y45" i="23"/>
  <c r="AD44" i="23"/>
  <c r="B77" i="16"/>
  <c r="B76" i="20"/>
  <c r="L12" i="23"/>
  <c r="L24" i="23"/>
  <c r="L36" i="23"/>
  <c r="H41" i="8"/>
  <c r="J41" i="8" s="1"/>
  <c r="H37" i="8"/>
  <c r="J37" i="8" s="1"/>
  <c r="H30" i="8"/>
  <c r="J30" i="8" s="1"/>
  <c r="H39" i="8"/>
  <c r="J39" i="8" s="1"/>
  <c r="H34" i="8"/>
  <c r="J34" i="8" s="1"/>
  <c r="B82" i="16"/>
  <c r="Y44" i="23"/>
  <c r="L21" i="23"/>
  <c r="L33" i="23"/>
  <c r="K26" i="2"/>
  <c r="N26" i="2"/>
  <c r="H32" i="8"/>
  <c r="J32" i="8" s="1"/>
  <c r="H35" i="8"/>
  <c r="J35" i="8" s="1"/>
  <c r="S44" i="18"/>
  <c r="K22" i="2"/>
  <c r="N22" i="2"/>
  <c r="G18" i="4"/>
  <c r="G22" i="4"/>
  <c r="G24" i="4"/>
  <c r="G17" i="4"/>
  <c r="H17" i="4" s="1"/>
  <c r="G20" i="4"/>
  <c r="G21" i="4"/>
  <c r="H21" i="4" s="1"/>
  <c r="G23" i="4"/>
  <c r="J23" i="4" s="1"/>
  <c r="G25" i="4"/>
  <c r="H25" i="4" s="1"/>
  <c r="G28" i="4"/>
  <c r="G29" i="4"/>
  <c r="B34" i="4"/>
  <c r="M34" i="4" s="1"/>
  <c r="O25" i="18" s="1"/>
  <c r="B36" i="4"/>
  <c r="M36" i="4" s="1"/>
  <c r="O27" i="18" s="1"/>
  <c r="B37" i="4"/>
  <c r="M37" i="4" s="1"/>
  <c r="O28" i="18" s="1"/>
  <c r="G26" i="4"/>
  <c r="H26" i="4" s="1"/>
  <c r="G27" i="4"/>
  <c r="B32" i="4"/>
  <c r="H32" i="4" s="1"/>
  <c r="B33" i="4"/>
  <c r="M33" i="4" s="1"/>
  <c r="O24" i="18" s="1"/>
  <c r="B35" i="4"/>
  <c r="M35" i="4" s="1"/>
  <c r="O26" i="18" s="1"/>
  <c r="K55" i="4"/>
  <c r="J50" i="18" s="1"/>
  <c r="K57" i="4"/>
  <c r="J54" i="18" s="1"/>
  <c r="K61" i="4"/>
  <c r="Q12" i="23"/>
  <c r="L39" i="23"/>
  <c r="V42" i="23"/>
  <c r="L42" i="23"/>
  <c r="N25" i="2"/>
  <c r="A5" i="5"/>
  <c r="J45" i="23"/>
  <c r="AD45" i="23"/>
  <c r="A20" i="20"/>
  <c r="A21" i="20"/>
  <c r="A10" i="20"/>
  <c r="A11" i="20"/>
  <c r="N62" i="18"/>
  <c r="V18" i="23"/>
  <c r="A30" i="20"/>
  <c r="A31" i="20"/>
  <c r="C75" i="20"/>
  <c r="L44" i="23"/>
  <c r="H33" i="8"/>
  <c r="J33" i="8" s="1"/>
  <c r="J44" i="23"/>
  <c r="B79" i="16"/>
  <c r="I62" i="18"/>
  <c r="T44" i="18"/>
  <c r="T45" i="23"/>
  <c r="O45" i="23"/>
  <c r="O44" i="23"/>
  <c r="K29" i="2"/>
  <c r="N29" i="2"/>
  <c r="V12" i="23"/>
  <c r="Q21" i="23"/>
  <c r="AD12" i="23"/>
  <c r="V24" i="23"/>
  <c r="Q33" i="23"/>
  <c r="AD9" i="23"/>
  <c r="N87" i="2"/>
  <c r="V15" i="23"/>
  <c r="Q18" i="23"/>
  <c r="V36" i="23"/>
  <c r="Q15" i="23"/>
  <c r="V21" i="23"/>
  <c r="Q27" i="23"/>
  <c r="V33" i="23"/>
  <c r="Q39" i="23"/>
  <c r="AA15" i="23"/>
  <c r="Q19" i="13"/>
  <c r="Q23" i="13"/>
  <c r="Q21" i="13"/>
  <c r="Q28" i="13"/>
  <c r="Q24" i="13"/>
  <c r="Q26" i="13"/>
  <c r="Q20" i="13"/>
  <c r="Q25" i="13"/>
  <c r="G16" i="4"/>
  <c r="Q16" i="4" s="1"/>
  <c r="B38" i="4"/>
  <c r="H38" i="4" s="1"/>
  <c r="K59" i="4" s="1"/>
  <c r="J58" i="18" s="1"/>
  <c r="K15" i="2"/>
  <c r="G15" i="4"/>
  <c r="B40" i="4"/>
  <c r="H40" i="4" s="1"/>
  <c r="P40" i="4"/>
  <c r="P32" i="4"/>
  <c r="P38" i="4"/>
  <c r="P17" i="4"/>
  <c r="P23" i="4"/>
  <c r="P33" i="4"/>
  <c r="P18" i="4"/>
  <c r="P20" i="4"/>
  <c r="P36" i="4"/>
  <c r="P24" i="4"/>
  <c r="P26" i="4"/>
  <c r="P39" i="4"/>
  <c r="P15" i="4"/>
  <c r="P37" i="4"/>
  <c r="P22" i="4"/>
  <c r="P35" i="4"/>
  <c r="P34" i="4"/>
  <c r="P16" i="4"/>
  <c r="P25" i="4"/>
  <c r="P19" i="4"/>
  <c r="P29" i="4"/>
  <c r="P27" i="4"/>
  <c r="P28" i="4"/>
  <c r="P21" i="4"/>
  <c r="G62" i="16" l="1"/>
  <c r="Q15" i="4"/>
  <c r="Y25" i="21"/>
  <c r="AD17" i="21"/>
  <c r="T33" i="21"/>
  <c r="AD33" i="21"/>
  <c r="Y41" i="21"/>
  <c r="N10" i="21"/>
  <c r="AD25" i="21"/>
  <c r="Y17" i="21"/>
  <c r="N13" i="21"/>
  <c r="N12" i="21"/>
  <c r="T25" i="21"/>
  <c r="M14" i="21"/>
  <c r="AD9" i="21"/>
  <c r="T17" i="21"/>
  <c r="AD41" i="21"/>
  <c r="J29" i="8"/>
  <c r="AA21" i="23"/>
  <c r="Y33" i="21"/>
  <c r="T9" i="21"/>
  <c r="L9" i="21" s="1"/>
  <c r="N9" i="21" s="1"/>
  <c r="T41" i="21"/>
  <c r="G19" i="5"/>
  <c r="J19" i="5" s="1"/>
  <c r="G61" i="16"/>
  <c r="Y9" i="21"/>
  <c r="B4" i="9"/>
  <c r="A5" i="9"/>
  <c r="C20" i="20"/>
  <c r="B24" i="20"/>
  <c r="O52" i="18"/>
  <c r="A43" i="18"/>
  <c r="U45" i="18" s="1"/>
  <c r="C18" i="20"/>
  <c r="C34" i="20"/>
  <c r="O56" i="18"/>
  <c r="H23" i="4"/>
  <c r="J48" i="8"/>
  <c r="H39" i="4"/>
  <c r="Z55" i="20" s="1"/>
  <c r="AA42" i="23"/>
  <c r="AA30" i="23"/>
  <c r="AA18" i="23"/>
  <c r="J45" i="8"/>
  <c r="B41" i="20"/>
  <c r="AA33" i="23"/>
  <c r="J19" i="4"/>
  <c r="H19" i="4"/>
  <c r="J44" i="8"/>
  <c r="B15" i="16"/>
  <c r="AA44" i="23"/>
  <c r="AA45" i="23"/>
  <c r="K72" i="4"/>
  <c r="C85" i="16" s="1"/>
  <c r="K65" i="4"/>
  <c r="K65" i="5" s="1"/>
  <c r="K64" i="4"/>
  <c r="E75" i="20" s="1"/>
  <c r="AA9" i="23"/>
  <c r="V44" i="23"/>
  <c r="V45" i="23"/>
  <c r="L46" i="23"/>
  <c r="Q45" i="23"/>
  <c r="V9" i="23"/>
  <c r="Q44" i="23"/>
  <c r="Q9" i="23"/>
  <c r="AF8" i="23"/>
  <c r="K40" i="4"/>
  <c r="L40" i="4" s="1"/>
  <c r="AF15" i="23"/>
  <c r="N64" i="6" s="1"/>
  <c r="F71" i="20"/>
  <c r="O60" i="18"/>
  <c r="AF29" i="23"/>
  <c r="AF40" i="23"/>
  <c r="AF16" i="23"/>
  <c r="AF18" i="23" s="1"/>
  <c r="AF38" i="23"/>
  <c r="AF39" i="23" s="1"/>
  <c r="N72" i="6" s="1"/>
  <c r="H36" i="4"/>
  <c r="K36" i="4" s="1"/>
  <c r="L36" i="4" s="1"/>
  <c r="C49" i="16" s="1"/>
  <c r="J60" i="18"/>
  <c r="H37" i="4"/>
  <c r="Z51" i="20" s="1"/>
  <c r="H35" i="4"/>
  <c r="AF41" i="23"/>
  <c r="AF22" i="23"/>
  <c r="AF24" i="23" s="1"/>
  <c r="N67" i="6" s="1"/>
  <c r="AF32" i="23"/>
  <c r="AF33" i="23" s="1"/>
  <c r="N70" i="6" s="1"/>
  <c r="AF10" i="23"/>
  <c r="AF12" i="23" s="1"/>
  <c r="N63" i="6" s="1"/>
  <c r="AF26" i="23"/>
  <c r="AF27" i="23" s="1"/>
  <c r="N68" i="6" s="1"/>
  <c r="H34" i="4"/>
  <c r="K34" i="4" s="1"/>
  <c r="AF34" i="23"/>
  <c r="AF36" i="23" s="1"/>
  <c r="N71" i="6" s="1"/>
  <c r="AF19" i="23"/>
  <c r="AF21" i="23" s="1"/>
  <c r="N66" i="6" s="1"/>
  <c r="AF28" i="23"/>
  <c r="AF7" i="23"/>
  <c r="H33" i="4"/>
  <c r="Z43" i="20" s="1"/>
  <c r="C71" i="16"/>
  <c r="J56" i="18"/>
  <c r="K70" i="4"/>
  <c r="J70" i="5" s="1"/>
  <c r="K68" i="4"/>
  <c r="E79" i="20" s="1"/>
  <c r="K67" i="4"/>
  <c r="C80" i="16" s="1"/>
  <c r="Y46" i="23"/>
  <c r="C14" i="20"/>
  <c r="AD46" i="23"/>
  <c r="K69" i="4"/>
  <c r="K69" i="5" s="1"/>
  <c r="J69" i="13" s="1"/>
  <c r="K71" i="4"/>
  <c r="K71" i="5" s="1"/>
  <c r="K71" i="13" s="1"/>
  <c r="Q62" i="20"/>
  <c r="N33" i="4"/>
  <c r="F43" i="20" s="1"/>
  <c r="I26" i="4"/>
  <c r="K32" i="4"/>
  <c r="D39" i="4"/>
  <c r="O54" i="18"/>
  <c r="E69" i="20"/>
  <c r="A44" i="18"/>
  <c r="U44" i="18" s="1"/>
  <c r="N36" i="4"/>
  <c r="F49" i="20" s="1"/>
  <c r="B40" i="5"/>
  <c r="M40" i="5" s="1"/>
  <c r="P31" i="18" s="1"/>
  <c r="G23" i="5"/>
  <c r="H23" i="5" s="1"/>
  <c r="J26" i="4"/>
  <c r="J46" i="23"/>
  <c r="K66" i="4"/>
  <c r="J66" i="5" s="1"/>
  <c r="E67" i="20"/>
  <c r="C69" i="16"/>
  <c r="B47" i="20"/>
  <c r="B46" i="16"/>
  <c r="G21" i="5"/>
  <c r="J21" i="5" s="1"/>
  <c r="G18" i="5"/>
  <c r="B38" i="5"/>
  <c r="M38" i="5" s="1"/>
  <c r="P29" i="18" s="1"/>
  <c r="N34" i="4"/>
  <c r="F45" i="20" s="1"/>
  <c r="G17" i="5"/>
  <c r="A5" i="13"/>
  <c r="G26" i="13" s="1"/>
  <c r="AJ16" i="20"/>
  <c r="M19" i="4"/>
  <c r="O10" i="18" s="1"/>
  <c r="N39" i="4"/>
  <c r="F55" i="20" s="1"/>
  <c r="K73" i="5"/>
  <c r="K73" i="13" s="1"/>
  <c r="C24" i="20"/>
  <c r="C12" i="20"/>
  <c r="B42" i="16"/>
  <c r="B43" i="20"/>
  <c r="N35" i="4"/>
  <c r="T46" i="23"/>
  <c r="C73" i="16"/>
  <c r="E71" i="20"/>
  <c r="C26" i="20"/>
  <c r="B56" i="20"/>
  <c r="B55" i="16"/>
  <c r="O50" i="18"/>
  <c r="F66" i="20"/>
  <c r="O40" i="16"/>
  <c r="Z41" i="20"/>
  <c r="C32" i="20"/>
  <c r="C10" i="20"/>
  <c r="K38" i="4"/>
  <c r="C74" i="16"/>
  <c r="E72" i="20"/>
  <c r="AJ49" i="20"/>
  <c r="H28" i="4"/>
  <c r="M28" i="4"/>
  <c r="O19" i="18" s="1"/>
  <c r="I28" i="4"/>
  <c r="J28" i="4"/>
  <c r="AJ34" i="20"/>
  <c r="I20" i="4"/>
  <c r="M20" i="4"/>
  <c r="O11" i="18" s="1"/>
  <c r="H20" i="4"/>
  <c r="AJ18" i="20"/>
  <c r="J20" i="4"/>
  <c r="I18" i="4"/>
  <c r="H18" i="4"/>
  <c r="J18" i="4"/>
  <c r="M18" i="4"/>
  <c r="AJ14" i="20"/>
  <c r="C30" i="20"/>
  <c r="G22" i="5"/>
  <c r="G24" i="5"/>
  <c r="G25" i="5"/>
  <c r="G26" i="5"/>
  <c r="G15" i="5"/>
  <c r="G20" i="5"/>
  <c r="G28" i="5"/>
  <c r="G29" i="5"/>
  <c r="N58" i="5"/>
  <c r="G16" i="5"/>
  <c r="Q16" i="5" s="1"/>
  <c r="B36" i="5"/>
  <c r="M36" i="5" s="1"/>
  <c r="P27" i="18" s="1"/>
  <c r="B37" i="5"/>
  <c r="M37" i="5" s="1"/>
  <c r="P28" i="18" s="1"/>
  <c r="B39" i="5"/>
  <c r="N55" i="5"/>
  <c r="B33" i="5"/>
  <c r="M33" i="5" s="1"/>
  <c r="P24" i="18" s="1"/>
  <c r="N60" i="5"/>
  <c r="K57" i="5"/>
  <c r="K54" i="18" s="1"/>
  <c r="G27" i="5"/>
  <c r="B35" i="5"/>
  <c r="M35" i="5" s="1"/>
  <c r="P26" i="18" s="1"/>
  <c r="N61" i="5"/>
  <c r="I72" i="20" s="1"/>
  <c r="K55" i="5"/>
  <c r="K50" i="18" s="1"/>
  <c r="K60" i="5"/>
  <c r="N86" i="5"/>
  <c r="B25" i="5"/>
  <c r="B22" i="5"/>
  <c r="B23" i="5"/>
  <c r="B17" i="5"/>
  <c r="B32" i="5"/>
  <c r="H32" i="5" s="1"/>
  <c r="B34" i="5"/>
  <c r="M34" i="5" s="1"/>
  <c r="P25" i="18" s="1"/>
  <c r="N56" i="5"/>
  <c r="K58" i="5"/>
  <c r="K56" i="18" s="1"/>
  <c r="K61" i="5"/>
  <c r="B21" i="5"/>
  <c r="B18" i="5"/>
  <c r="B29" i="5"/>
  <c r="B15" i="5"/>
  <c r="B19" i="5"/>
  <c r="B28" i="5"/>
  <c r="B16" i="5"/>
  <c r="N57" i="5"/>
  <c r="K56" i="5"/>
  <c r="K52" i="18" s="1"/>
  <c r="B26" i="5"/>
  <c r="B27" i="5"/>
  <c r="B20" i="5"/>
  <c r="B24" i="5"/>
  <c r="C72" i="16"/>
  <c r="E70" i="20"/>
  <c r="AJ47" i="20"/>
  <c r="I27" i="4"/>
  <c r="J27" i="4"/>
  <c r="M27" i="4"/>
  <c r="H27" i="4"/>
  <c r="AJ32" i="20"/>
  <c r="AJ45" i="20"/>
  <c r="I25" i="4"/>
  <c r="J25" i="4"/>
  <c r="M25" i="4"/>
  <c r="O16" i="18" s="1"/>
  <c r="AJ28" i="20"/>
  <c r="J17" i="4"/>
  <c r="I17" i="4"/>
  <c r="M17" i="4"/>
  <c r="O8" i="18" s="1"/>
  <c r="AJ12" i="20"/>
  <c r="C22" i="20"/>
  <c r="B30" i="20"/>
  <c r="B29" i="16"/>
  <c r="AJ55" i="20"/>
  <c r="C70" i="16"/>
  <c r="E68" i="20"/>
  <c r="AJ43" i="20"/>
  <c r="AJ30" i="20"/>
  <c r="M26" i="4"/>
  <c r="O17" i="18" s="1"/>
  <c r="I23" i="4"/>
  <c r="M23" i="4"/>
  <c r="AJ24" i="20"/>
  <c r="I24" i="4"/>
  <c r="H24" i="4"/>
  <c r="M24" i="4"/>
  <c r="O15" i="18" s="1"/>
  <c r="J24" i="4"/>
  <c r="AJ26" i="20"/>
  <c r="B21" i="16"/>
  <c r="B22" i="20"/>
  <c r="C28" i="20"/>
  <c r="C68" i="16"/>
  <c r="E66" i="20"/>
  <c r="M32" i="4"/>
  <c r="O23" i="18" s="1"/>
  <c r="D32" i="4"/>
  <c r="AJ51" i="20"/>
  <c r="I29" i="4"/>
  <c r="M29" i="4"/>
  <c r="H29" i="4"/>
  <c r="J29" i="4"/>
  <c r="AJ36" i="20"/>
  <c r="J21" i="4"/>
  <c r="M21" i="4"/>
  <c r="O12" i="18" s="1"/>
  <c r="I21" i="4"/>
  <c r="AJ20" i="20"/>
  <c r="I22" i="4"/>
  <c r="H22" i="4"/>
  <c r="J22" i="4"/>
  <c r="M22" i="4"/>
  <c r="O13" i="18" s="1"/>
  <c r="AJ22" i="20"/>
  <c r="K30" i="2"/>
  <c r="B7" i="16"/>
  <c r="B8" i="20"/>
  <c r="Z56" i="20"/>
  <c r="O55" i="16"/>
  <c r="O46" i="23"/>
  <c r="E84" i="20"/>
  <c r="C86" i="16"/>
  <c r="J73" i="5"/>
  <c r="M38" i="4"/>
  <c r="O29" i="18" s="1"/>
  <c r="D38" i="4"/>
  <c r="I16" i="4"/>
  <c r="J16" i="4"/>
  <c r="H16" i="4"/>
  <c r="M16" i="4"/>
  <c r="AJ10" i="20"/>
  <c r="C93" i="20"/>
  <c r="C36" i="20"/>
  <c r="N30" i="2"/>
  <c r="N37" i="4"/>
  <c r="K62" i="4"/>
  <c r="B36" i="20"/>
  <c r="B35" i="16"/>
  <c r="M40" i="4"/>
  <c r="O31" i="18" s="1"/>
  <c r="D40" i="4"/>
  <c r="I15" i="4"/>
  <c r="M15" i="4"/>
  <c r="AJ8" i="20" s="1"/>
  <c r="J15" i="4"/>
  <c r="H15" i="4"/>
  <c r="O52" i="16"/>
  <c r="Z53" i="20"/>
  <c r="K63" i="4"/>
  <c r="K63" i="5" s="1"/>
  <c r="K63" i="13" s="1"/>
  <c r="P38" i="5"/>
  <c r="P29" i="5"/>
  <c r="P36" i="5"/>
  <c r="P20" i="5"/>
  <c r="P33" i="5"/>
  <c r="P34" i="5"/>
  <c r="P35" i="5"/>
  <c r="P23" i="5"/>
  <c r="P19" i="5"/>
  <c r="P40" i="5"/>
  <c r="P24" i="5"/>
  <c r="P39" i="5"/>
  <c r="P17" i="5"/>
  <c r="P21" i="5"/>
  <c r="P27" i="5"/>
  <c r="P16" i="5"/>
  <c r="P22" i="5"/>
  <c r="P37" i="5"/>
  <c r="P32" i="5"/>
  <c r="P28" i="5"/>
  <c r="P25" i="5"/>
  <c r="P15" i="5"/>
  <c r="P26" i="5"/>
  <c r="P18" i="5"/>
  <c r="I77" i="5"/>
  <c r="H39" i="5" l="1"/>
  <c r="Q15" i="5"/>
  <c r="M19" i="5"/>
  <c r="H19" i="5"/>
  <c r="I19" i="5"/>
  <c r="AK16" i="20"/>
  <c r="N14" i="21"/>
  <c r="L14" i="21"/>
  <c r="N51" i="2" s="1"/>
  <c r="N51" i="4" s="1"/>
  <c r="F63" i="20" s="1"/>
  <c r="I18" i="5"/>
  <c r="Q18" i="5"/>
  <c r="J17" i="5"/>
  <c r="Q17" i="5"/>
  <c r="O48" i="16"/>
  <c r="H18" i="5"/>
  <c r="K67" i="5"/>
  <c r="H78" i="20" s="1"/>
  <c r="U43" i="18"/>
  <c r="E80" i="20"/>
  <c r="J69" i="5"/>
  <c r="A6" i="9"/>
  <c r="B5" i="9"/>
  <c r="C82" i="16"/>
  <c r="C81" i="16"/>
  <c r="J72" i="5"/>
  <c r="K19" i="4"/>
  <c r="L19" i="4" s="1"/>
  <c r="C16" i="16" s="1"/>
  <c r="K66" i="5"/>
  <c r="D79" i="16" s="1"/>
  <c r="O54" i="16"/>
  <c r="Z30" i="20"/>
  <c r="E81" i="20"/>
  <c r="AA46" i="23"/>
  <c r="O15" i="16"/>
  <c r="J67" i="5"/>
  <c r="C78" i="16"/>
  <c r="K23" i="4"/>
  <c r="L23" i="4" s="1"/>
  <c r="C24" i="16" s="1"/>
  <c r="I23" i="5"/>
  <c r="M18" i="5"/>
  <c r="P9" i="18" s="1"/>
  <c r="K39" i="4"/>
  <c r="E55" i="20" s="1"/>
  <c r="Z49" i="20"/>
  <c r="O50" i="16"/>
  <c r="D40" i="5"/>
  <c r="K37" i="4"/>
  <c r="L37" i="4" s="1"/>
  <c r="E52" i="20" s="1"/>
  <c r="H35" i="5"/>
  <c r="K35" i="5" s="1"/>
  <c r="O44" i="16"/>
  <c r="Z45" i="20"/>
  <c r="K65" i="13"/>
  <c r="E78" i="16" s="1"/>
  <c r="D78" i="16"/>
  <c r="Z24" i="20"/>
  <c r="E78" i="20"/>
  <c r="K57" i="13"/>
  <c r="L54" i="18" s="1"/>
  <c r="E76" i="20"/>
  <c r="Z16" i="20"/>
  <c r="J65" i="5"/>
  <c r="H33" i="5"/>
  <c r="AA43" i="20" s="1"/>
  <c r="N59" i="4"/>
  <c r="F70" i="20" s="1"/>
  <c r="N59" i="5"/>
  <c r="P58" i="18" s="1"/>
  <c r="H37" i="5"/>
  <c r="K37" i="5" s="1"/>
  <c r="N32" i="4"/>
  <c r="H38" i="5"/>
  <c r="K59" i="5" s="1"/>
  <c r="K58" i="18" s="1"/>
  <c r="K33" i="4"/>
  <c r="E43" i="20" s="1"/>
  <c r="O42" i="16"/>
  <c r="J68" i="5"/>
  <c r="K72" i="5"/>
  <c r="H83" i="20" s="1"/>
  <c r="K60" i="18"/>
  <c r="B40" i="13"/>
  <c r="M40" i="13" s="1"/>
  <c r="Q31" i="18" s="1"/>
  <c r="AF30" i="23"/>
  <c r="N69" i="4" s="1"/>
  <c r="N64" i="4"/>
  <c r="F75" i="20" s="1"/>
  <c r="N72" i="4"/>
  <c r="Q46" i="23"/>
  <c r="E83" i="20"/>
  <c r="C84" i="16"/>
  <c r="D84" i="16"/>
  <c r="H82" i="20"/>
  <c r="E82" i="20"/>
  <c r="N71" i="4"/>
  <c r="F82" i="20" s="1"/>
  <c r="N70" i="4"/>
  <c r="F81" i="20" s="1"/>
  <c r="N67" i="4"/>
  <c r="J65" i="13"/>
  <c r="J64" i="5"/>
  <c r="K64" i="5"/>
  <c r="D77" i="16" s="1"/>
  <c r="C77" i="16"/>
  <c r="C55" i="16"/>
  <c r="N63" i="4"/>
  <c r="K74" i="4"/>
  <c r="E85" i="20" s="1"/>
  <c r="E56" i="20"/>
  <c r="A83" i="2"/>
  <c r="V46" i="23"/>
  <c r="C83" i="16"/>
  <c r="K70" i="5"/>
  <c r="K70" i="13" s="1"/>
  <c r="E83" i="16" s="1"/>
  <c r="E50" i="20"/>
  <c r="N65" i="6"/>
  <c r="N65" i="4"/>
  <c r="C52" i="16"/>
  <c r="L38" i="4"/>
  <c r="AF42" i="23"/>
  <c r="I71" i="20"/>
  <c r="P60" i="18"/>
  <c r="E45" i="20"/>
  <c r="L34" i="4"/>
  <c r="E41" i="20"/>
  <c r="L32" i="4"/>
  <c r="AF9" i="23"/>
  <c r="AF44" i="23"/>
  <c r="N68" i="4"/>
  <c r="AF45" i="23"/>
  <c r="H40" i="5"/>
  <c r="E57" i="20"/>
  <c r="C56" i="16"/>
  <c r="K62" i="5"/>
  <c r="H73" i="20" s="1"/>
  <c r="J62" i="18"/>
  <c r="H34" i="5"/>
  <c r="K34" i="5" s="1"/>
  <c r="H36" i="5"/>
  <c r="AA49" i="20" s="1"/>
  <c r="N66" i="4"/>
  <c r="O46" i="16"/>
  <c r="Z47" i="20"/>
  <c r="K35" i="4"/>
  <c r="E77" i="20"/>
  <c r="C79" i="16"/>
  <c r="D86" i="16"/>
  <c r="J73" i="13"/>
  <c r="K68" i="5"/>
  <c r="J71" i="13"/>
  <c r="J71" i="5"/>
  <c r="N40" i="5"/>
  <c r="I56" i="20" s="1"/>
  <c r="K26" i="4"/>
  <c r="C29" i="16" s="1"/>
  <c r="H84" i="20"/>
  <c r="N57" i="13"/>
  <c r="L68" i="20" s="1"/>
  <c r="J18" i="5"/>
  <c r="Z28" i="20"/>
  <c r="B29" i="13"/>
  <c r="G24" i="13"/>
  <c r="J24" i="13" s="1"/>
  <c r="AK14" i="20"/>
  <c r="H76" i="20"/>
  <c r="H17" i="5"/>
  <c r="D38" i="5"/>
  <c r="AK24" i="20"/>
  <c r="H21" i="5"/>
  <c r="K69" i="13"/>
  <c r="J69" i="14" s="1"/>
  <c r="F47" i="20"/>
  <c r="N34" i="5"/>
  <c r="I45" i="20" s="1"/>
  <c r="B37" i="13"/>
  <c r="M37" i="13" s="1"/>
  <c r="Q28" i="18" s="1"/>
  <c r="O29" i="16"/>
  <c r="E53" i="20"/>
  <c r="K56" i="13"/>
  <c r="K67" i="20" s="1"/>
  <c r="C40" i="16"/>
  <c r="O19" i="16"/>
  <c r="N28" i="4"/>
  <c r="K39" i="5"/>
  <c r="H55" i="20" s="1"/>
  <c r="K28" i="4"/>
  <c r="L28" i="4" s="1"/>
  <c r="C34" i="16" s="1"/>
  <c r="N19" i="4"/>
  <c r="B26" i="13"/>
  <c r="B39" i="13"/>
  <c r="M39" i="13" s="1"/>
  <c r="Q30" i="18" s="1"/>
  <c r="G22" i="13"/>
  <c r="J22" i="13" s="1"/>
  <c r="O11" i="16"/>
  <c r="O27" i="16"/>
  <c r="N35" i="5"/>
  <c r="J23" i="5"/>
  <c r="AK12" i="20"/>
  <c r="I17" i="5"/>
  <c r="M21" i="5"/>
  <c r="P12" i="18" s="1"/>
  <c r="D82" i="16"/>
  <c r="M23" i="5"/>
  <c r="P14" i="18" s="1"/>
  <c r="N26" i="4"/>
  <c r="F30" i="20" s="1"/>
  <c r="M17" i="5"/>
  <c r="AK20" i="20"/>
  <c r="I21" i="5"/>
  <c r="H80" i="20"/>
  <c r="N37" i="5"/>
  <c r="I51" i="20" s="1"/>
  <c r="N25" i="4"/>
  <c r="F28" i="20" s="1"/>
  <c r="B23" i="13"/>
  <c r="B24" i="13"/>
  <c r="B17" i="13"/>
  <c r="K55" i="13"/>
  <c r="B27" i="13"/>
  <c r="N61" i="13"/>
  <c r="B32" i="13"/>
  <c r="M32" i="13" s="1"/>
  <c r="Q23" i="18" s="1"/>
  <c r="G28" i="13"/>
  <c r="M28" i="13" s="1"/>
  <c r="G27" i="13"/>
  <c r="J27" i="13" s="1"/>
  <c r="G18" i="13"/>
  <c r="C44" i="16"/>
  <c r="N21" i="4"/>
  <c r="N17" i="4"/>
  <c r="F12" i="20" s="1"/>
  <c r="B19" i="13"/>
  <c r="B28" i="13"/>
  <c r="B16" i="13"/>
  <c r="K58" i="13"/>
  <c r="B36" i="13"/>
  <c r="M36" i="13" s="1"/>
  <c r="Q27" i="18" s="1"/>
  <c r="B25" i="13"/>
  <c r="K60" i="13"/>
  <c r="K61" i="13"/>
  <c r="K72" i="20" s="1"/>
  <c r="N55" i="13"/>
  <c r="Q50" i="18" s="1"/>
  <c r="N58" i="13"/>
  <c r="L69" i="20" s="1"/>
  <c r="A5" i="14"/>
  <c r="B34" i="13"/>
  <c r="M34" i="13" s="1"/>
  <c r="Q25" i="18" s="1"/>
  <c r="G19" i="13"/>
  <c r="J19" i="13" s="1"/>
  <c r="G15" i="13"/>
  <c r="N20" i="4"/>
  <c r="O23" i="16"/>
  <c r="B15" i="13"/>
  <c r="N86" i="13"/>
  <c r="B35" i="13"/>
  <c r="M35" i="13" s="1"/>
  <c r="Q26" i="18" s="1"/>
  <c r="G23" i="13"/>
  <c r="J23" i="13" s="1"/>
  <c r="G29" i="13"/>
  <c r="M29" i="13" s="1"/>
  <c r="G20" i="13"/>
  <c r="I20" i="13" s="1"/>
  <c r="B21" i="13"/>
  <c r="B18" i="13"/>
  <c r="B22" i="13"/>
  <c r="N56" i="13"/>
  <c r="L67" i="20" s="1"/>
  <c r="B20" i="13"/>
  <c r="N60" i="13"/>
  <c r="B33" i="13"/>
  <c r="M33" i="13" s="1"/>
  <c r="Q24" i="18" s="1"/>
  <c r="G17" i="13"/>
  <c r="G21" i="13"/>
  <c r="H21" i="13" s="1"/>
  <c r="G25" i="13"/>
  <c r="J25" i="13" s="1"/>
  <c r="B38" i="13"/>
  <c r="M38" i="13" s="1"/>
  <c r="Q29" i="18" s="1"/>
  <c r="G16" i="13"/>
  <c r="K25" i="4"/>
  <c r="C27" i="16" s="1"/>
  <c r="Z20" i="20"/>
  <c r="Z12" i="20"/>
  <c r="K21" i="4"/>
  <c r="E20" i="20" s="1"/>
  <c r="K17" i="4"/>
  <c r="C11" i="16" s="1"/>
  <c r="N22" i="4"/>
  <c r="A83" i="4"/>
  <c r="K24" i="4"/>
  <c r="E26" i="20" s="1"/>
  <c r="K18" i="4"/>
  <c r="E14" i="20" s="1"/>
  <c r="K20" i="4"/>
  <c r="E18" i="20" s="1"/>
  <c r="N24" i="4"/>
  <c r="O21" i="16"/>
  <c r="Z22" i="20"/>
  <c r="O35" i="16"/>
  <c r="Z36" i="20"/>
  <c r="K29" i="4"/>
  <c r="O14" i="18"/>
  <c r="N23" i="4"/>
  <c r="O18" i="18"/>
  <c r="N27" i="4"/>
  <c r="D69" i="16"/>
  <c r="H67" i="20"/>
  <c r="P52" i="18"/>
  <c r="I67" i="20"/>
  <c r="D73" i="16"/>
  <c r="H71" i="20"/>
  <c r="P40" i="16"/>
  <c r="AA41" i="20"/>
  <c r="K32" i="5"/>
  <c r="L32" i="5" s="1"/>
  <c r="H42" i="20" s="1"/>
  <c r="AK32" i="20"/>
  <c r="J27" i="5"/>
  <c r="M27" i="5"/>
  <c r="H27" i="5"/>
  <c r="I27" i="5"/>
  <c r="H68" i="20"/>
  <c r="D70" i="16"/>
  <c r="AK49" i="20"/>
  <c r="N36" i="5"/>
  <c r="M20" i="5"/>
  <c r="P11" i="18" s="1"/>
  <c r="AK18" i="20"/>
  <c r="I20" i="5"/>
  <c r="J20" i="5"/>
  <c r="H20" i="5"/>
  <c r="H25" i="5"/>
  <c r="I25" i="5"/>
  <c r="M25" i="5"/>
  <c r="J25" i="5"/>
  <c r="AK28" i="20"/>
  <c r="O20" i="18"/>
  <c r="N29" i="4"/>
  <c r="Z26" i="20"/>
  <c r="O25" i="16"/>
  <c r="P54" i="18"/>
  <c r="I68" i="20"/>
  <c r="D74" i="16"/>
  <c r="H72" i="20"/>
  <c r="AK45" i="20"/>
  <c r="D68" i="16"/>
  <c r="H66" i="20"/>
  <c r="P50" i="18"/>
  <c r="I66" i="20"/>
  <c r="H24" i="5"/>
  <c r="J24" i="5"/>
  <c r="M24" i="5"/>
  <c r="P15" i="18" s="1"/>
  <c r="AK26" i="20"/>
  <c r="I24" i="5"/>
  <c r="O9" i="18"/>
  <c r="N18" i="4"/>
  <c r="AJ41" i="20"/>
  <c r="K22" i="4"/>
  <c r="H69" i="20"/>
  <c r="D71" i="16"/>
  <c r="M32" i="5"/>
  <c r="P23" i="18" s="1"/>
  <c r="D32" i="5"/>
  <c r="AA55" i="20"/>
  <c r="P54" i="16"/>
  <c r="M39" i="5"/>
  <c r="P30" i="18" s="1"/>
  <c r="D39" i="5"/>
  <c r="AK10" i="20"/>
  <c r="M16" i="5"/>
  <c r="J16" i="5"/>
  <c r="H16" i="5"/>
  <c r="I16" i="5"/>
  <c r="I29" i="5"/>
  <c r="J29" i="5"/>
  <c r="AK36" i="20"/>
  <c r="H29" i="5"/>
  <c r="M29" i="5"/>
  <c r="P20" i="18" s="1"/>
  <c r="I15" i="5"/>
  <c r="M15" i="5"/>
  <c r="AK8" i="20" s="1"/>
  <c r="J15" i="5"/>
  <c r="H15" i="5"/>
  <c r="M22" i="5"/>
  <c r="P13" i="18" s="1"/>
  <c r="AK22" i="20"/>
  <c r="J22" i="5"/>
  <c r="I22" i="5"/>
  <c r="H22" i="5"/>
  <c r="Z34" i="20"/>
  <c r="O33" i="16"/>
  <c r="O31" i="16"/>
  <c r="Z32" i="20"/>
  <c r="K27" i="4"/>
  <c r="AK47" i="20"/>
  <c r="AK43" i="20"/>
  <c r="AK51" i="20"/>
  <c r="I69" i="20"/>
  <c r="P56" i="18"/>
  <c r="H28" i="5"/>
  <c r="M28" i="5"/>
  <c r="I28" i="5"/>
  <c r="J28" i="5"/>
  <c r="AK34" i="20"/>
  <c r="I26" i="5"/>
  <c r="J26" i="5"/>
  <c r="M26" i="5"/>
  <c r="P17" i="18" s="1"/>
  <c r="AK30" i="20"/>
  <c r="H26" i="5"/>
  <c r="Z14" i="20"/>
  <c r="O13" i="16"/>
  <c r="O17" i="16"/>
  <c r="Z18" i="20"/>
  <c r="N33" i="5"/>
  <c r="K74" i="20"/>
  <c r="E76" i="16"/>
  <c r="J63" i="14"/>
  <c r="K63" i="14"/>
  <c r="K63" i="6" s="1"/>
  <c r="C76" i="16"/>
  <c r="E74" i="20"/>
  <c r="J63" i="5"/>
  <c r="P10" i="18"/>
  <c r="M30" i="4"/>
  <c r="O6" i="18"/>
  <c r="N15" i="4"/>
  <c r="AJ56" i="20"/>
  <c r="N40" i="4"/>
  <c r="F51" i="20"/>
  <c r="N41" i="2"/>
  <c r="C38" i="20"/>
  <c r="O9" i="16"/>
  <c r="Z10" i="20"/>
  <c r="K16" i="4"/>
  <c r="C48" i="16"/>
  <c r="E49" i="20"/>
  <c r="E86" i="16"/>
  <c r="K84" i="20"/>
  <c r="J73" i="14"/>
  <c r="K73" i="14"/>
  <c r="K73" i="6" s="1"/>
  <c r="I30" i="4"/>
  <c r="AK56" i="20"/>
  <c r="AJ53" i="20"/>
  <c r="N38" i="4"/>
  <c r="K41" i="2"/>
  <c r="B38" i="20"/>
  <c r="B37" i="16"/>
  <c r="K82" i="20"/>
  <c r="J71" i="14"/>
  <c r="E84" i="16"/>
  <c r="K71" i="14"/>
  <c r="K71" i="6" s="1"/>
  <c r="AA16" i="20"/>
  <c r="H30" i="4"/>
  <c r="Z8" i="20"/>
  <c r="O7" i="16"/>
  <c r="J62" i="5"/>
  <c r="C75" i="16"/>
  <c r="E73" i="20"/>
  <c r="H26" i="13"/>
  <c r="J26" i="13"/>
  <c r="I26" i="13"/>
  <c r="M26" i="13"/>
  <c r="AL30" i="20"/>
  <c r="AK53" i="20"/>
  <c r="N38" i="5"/>
  <c r="H74" i="20"/>
  <c r="D76" i="16"/>
  <c r="J63" i="13"/>
  <c r="J30" i="4"/>
  <c r="O7" i="18"/>
  <c r="N19" i="5"/>
  <c r="N16" i="4"/>
  <c r="K15" i="4"/>
  <c r="P34" i="13"/>
  <c r="P40" i="13"/>
  <c r="P23" i="13"/>
  <c r="P22" i="13"/>
  <c r="P17" i="13"/>
  <c r="P27" i="13"/>
  <c r="P26" i="13"/>
  <c r="P38" i="13"/>
  <c r="P18" i="13"/>
  <c r="P15" i="13"/>
  <c r="P29" i="13"/>
  <c r="P19" i="13"/>
  <c r="P33" i="13"/>
  <c r="P39" i="13"/>
  <c r="P20" i="13"/>
  <c r="P35" i="13"/>
  <c r="P36" i="13"/>
  <c r="P28" i="13"/>
  <c r="P24" i="13"/>
  <c r="P21" i="13"/>
  <c r="P25" i="13"/>
  <c r="P32" i="13"/>
  <c r="P37" i="13"/>
  <c r="P16" i="13"/>
  <c r="I77" i="13"/>
  <c r="Q15" i="13" l="1"/>
  <c r="P15" i="16"/>
  <c r="K19" i="5"/>
  <c r="H16" i="20" s="1"/>
  <c r="N51" i="5"/>
  <c r="K51" i="2"/>
  <c r="B63" i="20" s="1"/>
  <c r="K52" i="2"/>
  <c r="K52" i="4" s="1"/>
  <c r="N52" i="2"/>
  <c r="C63" i="20"/>
  <c r="N18" i="5"/>
  <c r="I14" i="20" s="1"/>
  <c r="K65" i="14"/>
  <c r="K65" i="6" s="1"/>
  <c r="N17" i="5"/>
  <c r="I12" i="20" s="1"/>
  <c r="I18" i="13"/>
  <c r="Q18" i="13"/>
  <c r="J17" i="13"/>
  <c r="Q17" i="13"/>
  <c r="J16" i="13"/>
  <c r="Q16" i="13"/>
  <c r="N70" i="5"/>
  <c r="I81" i="20" s="1"/>
  <c r="E82" i="16"/>
  <c r="AA14" i="20"/>
  <c r="K80" i="20"/>
  <c r="N64" i="5"/>
  <c r="N64" i="13" s="1"/>
  <c r="N64" i="14" s="1"/>
  <c r="O75" i="20" s="1"/>
  <c r="K67" i="13"/>
  <c r="K78" i="20" s="1"/>
  <c r="J67" i="13"/>
  <c r="D80" i="16"/>
  <c r="D32" i="13"/>
  <c r="H40" i="13"/>
  <c r="AB56" i="20" s="1"/>
  <c r="J15" i="13"/>
  <c r="E70" i="16"/>
  <c r="H77" i="20"/>
  <c r="K66" i="13"/>
  <c r="E79" i="16" s="1"/>
  <c r="P46" i="16"/>
  <c r="J66" i="13"/>
  <c r="AA47" i="20"/>
  <c r="I15" i="13"/>
  <c r="N69" i="6"/>
  <c r="E16" i="20"/>
  <c r="B6" i="9"/>
  <c r="A7" i="9"/>
  <c r="E17" i="20"/>
  <c r="E25" i="20"/>
  <c r="K76" i="20"/>
  <c r="K36" i="5"/>
  <c r="L36" i="5" s="1"/>
  <c r="H50" i="20" s="1"/>
  <c r="M24" i="13"/>
  <c r="N24" i="13" s="1"/>
  <c r="K68" i="20"/>
  <c r="J65" i="14"/>
  <c r="B37" i="14"/>
  <c r="M37" i="14" s="1"/>
  <c r="R28" i="18" s="1"/>
  <c r="C15" i="16"/>
  <c r="H24" i="13"/>
  <c r="G28" i="14"/>
  <c r="J28" i="14" s="1"/>
  <c r="D40" i="13"/>
  <c r="P50" i="16"/>
  <c r="H19" i="13"/>
  <c r="P8" i="18"/>
  <c r="H17" i="13"/>
  <c r="C23" i="16"/>
  <c r="E24" i="20"/>
  <c r="I70" i="20"/>
  <c r="O58" i="18"/>
  <c r="C54" i="16"/>
  <c r="B25" i="14"/>
  <c r="G25" i="14"/>
  <c r="J25" i="14" s="1"/>
  <c r="J25" i="6" s="1"/>
  <c r="P13" i="16"/>
  <c r="D75" i="16"/>
  <c r="K18" i="5"/>
  <c r="H14" i="20" s="1"/>
  <c r="AA24" i="20"/>
  <c r="B20" i="14"/>
  <c r="G22" i="14"/>
  <c r="I22" i="14" s="1"/>
  <c r="H81" i="20"/>
  <c r="N71" i="5"/>
  <c r="I82" i="20" s="1"/>
  <c r="H32" i="13"/>
  <c r="Q40" i="16" s="1"/>
  <c r="K33" i="5"/>
  <c r="L33" i="5" s="1"/>
  <c r="D43" i="16" s="1"/>
  <c r="P42" i="16"/>
  <c r="AA51" i="20"/>
  <c r="C50" i="16"/>
  <c r="E51" i="20"/>
  <c r="B40" i="14"/>
  <c r="H40" i="14" s="1"/>
  <c r="C51" i="16"/>
  <c r="AA45" i="20"/>
  <c r="P44" i="16"/>
  <c r="I23" i="13"/>
  <c r="K69" i="14"/>
  <c r="K69" i="6" s="1"/>
  <c r="AL26" i="20"/>
  <c r="I24" i="13"/>
  <c r="J62" i="13"/>
  <c r="Q54" i="18"/>
  <c r="K62" i="13"/>
  <c r="E75" i="16" s="1"/>
  <c r="K23" i="5"/>
  <c r="H24" i="20" s="1"/>
  <c r="H34" i="13"/>
  <c r="AB45" i="20" s="1"/>
  <c r="H70" i="20"/>
  <c r="K38" i="5"/>
  <c r="L38" i="5" s="1"/>
  <c r="H54" i="20" s="1"/>
  <c r="AA53" i="20"/>
  <c r="N59" i="13"/>
  <c r="Q58" i="18" s="1"/>
  <c r="F41" i="20"/>
  <c r="L33" i="4"/>
  <c r="E44" i="20" s="1"/>
  <c r="J72" i="13"/>
  <c r="K72" i="13"/>
  <c r="J72" i="14" s="1"/>
  <c r="P48" i="16"/>
  <c r="N22" i="5"/>
  <c r="M18" i="13"/>
  <c r="Q9" i="18" s="1"/>
  <c r="N21" i="5"/>
  <c r="H29" i="13"/>
  <c r="AL22" i="20"/>
  <c r="M25" i="13"/>
  <c r="N25" i="13" s="1"/>
  <c r="L28" i="20" s="1"/>
  <c r="D72" i="16"/>
  <c r="P52" i="16"/>
  <c r="D85" i="16"/>
  <c r="AA20" i="20"/>
  <c r="C42" i="16"/>
  <c r="H37" i="13"/>
  <c r="Q50" i="16" s="1"/>
  <c r="F83" i="20"/>
  <c r="N72" i="5"/>
  <c r="D83" i="16"/>
  <c r="F78" i="20"/>
  <c r="N67" i="5"/>
  <c r="H75" i="20"/>
  <c r="A83" i="5"/>
  <c r="J64" i="13"/>
  <c r="K64" i="13"/>
  <c r="C87" i="16"/>
  <c r="F74" i="20"/>
  <c r="N63" i="5"/>
  <c r="AF46" i="23"/>
  <c r="J70" i="13"/>
  <c r="K74" i="5"/>
  <c r="D87" i="16" s="1"/>
  <c r="D41" i="16"/>
  <c r="H33" i="13"/>
  <c r="Q42" i="16" s="1"/>
  <c r="H35" i="13"/>
  <c r="Q46" i="16" s="1"/>
  <c r="D46" i="16"/>
  <c r="L35" i="5"/>
  <c r="F79" i="20"/>
  <c r="N68" i="5"/>
  <c r="C41" i="16"/>
  <c r="E42" i="20"/>
  <c r="N73" i="6"/>
  <c r="N73" i="4"/>
  <c r="F76" i="20"/>
  <c r="N65" i="5"/>
  <c r="D50" i="16"/>
  <c r="L37" i="5"/>
  <c r="H36" i="13"/>
  <c r="Q48" i="16" s="1"/>
  <c r="L35" i="4"/>
  <c r="E47" i="20"/>
  <c r="C46" i="16"/>
  <c r="F77" i="20"/>
  <c r="N66" i="5"/>
  <c r="L71" i="20"/>
  <c r="Q60" i="18"/>
  <c r="E71" i="16"/>
  <c r="L56" i="18"/>
  <c r="E69" i="16"/>
  <c r="L52" i="18"/>
  <c r="F80" i="20"/>
  <c r="N69" i="5"/>
  <c r="AA56" i="20"/>
  <c r="P55" i="16"/>
  <c r="N62" i="6"/>
  <c r="N62" i="4"/>
  <c r="E46" i="20"/>
  <c r="C45" i="16"/>
  <c r="C53" i="16"/>
  <c r="E54" i="20"/>
  <c r="E73" i="16"/>
  <c r="L60" i="18"/>
  <c r="K66" i="20"/>
  <c r="L50" i="18"/>
  <c r="H39" i="13"/>
  <c r="K39" i="13" s="1"/>
  <c r="K55" i="20" s="1"/>
  <c r="H38" i="13"/>
  <c r="AB53" i="20" s="1"/>
  <c r="D44" i="16"/>
  <c r="L34" i="5"/>
  <c r="K62" i="18"/>
  <c r="K40" i="5"/>
  <c r="K68" i="13"/>
  <c r="D81" i="16"/>
  <c r="J68" i="13"/>
  <c r="H79" i="20"/>
  <c r="E30" i="20"/>
  <c r="F22" i="20"/>
  <c r="L26" i="4"/>
  <c r="E31" i="20" s="1"/>
  <c r="AA12" i="20"/>
  <c r="H45" i="20"/>
  <c r="C25" i="16"/>
  <c r="H28" i="13"/>
  <c r="AL12" i="20"/>
  <c r="M27" i="13"/>
  <c r="Q18" i="18" s="1"/>
  <c r="I22" i="13"/>
  <c r="L66" i="20"/>
  <c r="Q52" i="18"/>
  <c r="P11" i="16"/>
  <c r="E68" i="16"/>
  <c r="P19" i="16"/>
  <c r="N23" i="5"/>
  <c r="I24" i="20" s="1"/>
  <c r="K21" i="5"/>
  <c r="H20" i="20" s="1"/>
  <c r="K71" i="20"/>
  <c r="AL28" i="20"/>
  <c r="I25" i="13"/>
  <c r="I17" i="13"/>
  <c r="I47" i="20"/>
  <c r="E34" i="20"/>
  <c r="N35" i="13"/>
  <c r="N28" i="13"/>
  <c r="L34" i="20" s="1"/>
  <c r="H25" i="13"/>
  <c r="M17" i="13"/>
  <c r="Q8" i="18" s="1"/>
  <c r="K17" i="5"/>
  <c r="L17" i="5" s="1"/>
  <c r="E35" i="20"/>
  <c r="F20" i="20"/>
  <c r="N36" i="13"/>
  <c r="J18" i="13"/>
  <c r="N32" i="13"/>
  <c r="L41" i="20" s="1"/>
  <c r="J20" i="13"/>
  <c r="B18" i="14"/>
  <c r="B23" i="14"/>
  <c r="N61" i="14"/>
  <c r="O72" i="20" s="1"/>
  <c r="B35" i="14"/>
  <c r="B35" i="6" s="1"/>
  <c r="G24" i="14"/>
  <c r="I24" i="14" s="1"/>
  <c r="H20" i="13"/>
  <c r="I29" i="13"/>
  <c r="H22" i="13"/>
  <c r="M19" i="13"/>
  <c r="Q10" i="18" s="1"/>
  <c r="K58" i="14"/>
  <c r="F71" i="16" s="1"/>
  <c r="K57" i="14"/>
  <c r="N68" i="20" s="1"/>
  <c r="N55" i="14"/>
  <c r="N55" i="6" s="1"/>
  <c r="K60" i="14"/>
  <c r="F73" i="16" s="1"/>
  <c r="B33" i="14"/>
  <c r="M33" i="14" s="1"/>
  <c r="R24" i="18" s="1"/>
  <c r="B36" i="14"/>
  <c r="M36" i="14" s="1"/>
  <c r="R27" i="18" s="1"/>
  <c r="G23" i="14"/>
  <c r="M23" i="14" s="1"/>
  <c r="R14" i="18" s="1"/>
  <c r="G15" i="14"/>
  <c r="E74" i="16"/>
  <c r="K70" i="14"/>
  <c r="K70" i="6" s="1"/>
  <c r="M22" i="13"/>
  <c r="Q13" i="18" s="1"/>
  <c r="B26" i="14"/>
  <c r="B19" i="14"/>
  <c r="B17" i="14"/>
  <c r="N56" i="14"/>
  <c r="N56" i="6" s="1"/>
  <c r="G16" i="14"/>
  <c r="G17" i="14"/>
  <c r="H47" i="20"/>
  <c r="D54" i="16"/>
  <c r="AL18" i="20"/>
  <c r="J29" i="13"/>
  <c r="B32" i="14"/>
  <c r="D32" i="14" s="1"/>
  <c r="K69" i="20"/>
  <c r="F16" i="20"/>
  <c r="N33" i="13"/>
  <c r="L43" i="20" s="1"/>
  <c r="D38" i="13"/>
  <c r="D39" i="13"/>
  <c r="K29" i="5"/>
  <c r="L29" i="5" s="1"/>
  <c r="H51" i="20"/>
  <c r="K20" i="5"/>
  <c r="H18" i="20" s="1"/>
  <c r="M20" i="13"/>
  <c r="N20" i="13" s="1"/>
  <c r="H18" i="13"/>
  <c r="AL36" i="20"/>
  <c r="I19" i="13"/>
  <c r="B22" i="14"/>
  <c r="B24" i="14"/>
  <c r="K61" i="14"/>
  <c r="N72" i="20" s="1"/>
  <c r="Q72" i="20" s="1"/>
  <c r="K55" i="14"/>
  <c r="B15" i="14"/>
  <c r="N58" i="14"/>
  <c r="O69" i="20" s="1"/>
  <c r="R69" i="20" s="1"/>
  <c r="B16" i="14"/>
  <c r="B39" i="14"/>
  <c r="B39" i="6" s="1"/>
  <c r="D39" i="6" s="1"/>
  <c r="K56" i="14"/>
  <c r="G29" i="14"/>
  <c r="M29" i="14" s="1"/>
  <c r="R20" i="18" s="1"/>
  <c r="G27" i="14"/>
  <c r="H27" i="14" s="1"/>
  <c r="G19" i="14"/>
  <c r="M19" i="14" s="1"/>
  <c r="B38" i="14"/>
  <c r="M38" i="14" s="1"/>
  <c r="R29" i="18" s="1"/>
  <c r="J70" i="14"/>
  <c r="C33" i="16"/>
  <c r="L24" i="4"/>
  <c r="E27" i="20" s="1"/>
  <c r="AL14" i="20"/>
  <c r="I28" i="13"/>
  <c r="M15" i="13"/>
  <c r="Q6" i="18" s="1"/>
  <c r="AL16" i="20"/>
  <c r="N86" i="14"/>
  <c r="B21" i="14"/>
  <c r="B27" i="14"/>
  <c r="B29" i="14"/>
  <c r="B28" i="14"/>
  <c r="N60" i="14"/>
  <c r="N57" i="14"/>
  <c r="N57" i="6" s="1"/>
  <c r="B34" i="14"/>
  <c r="M34" i="14" s="1"/>
  <c r="R25" i="18" s="1"/>
  <c r="G18" i="14"/>
  <c r="G26" i="14"/>
  <c r="J26" i="14" s="1"/>
  <c r="J26" i="6" s="1"/>
  <c r="G20" i="14"/>
  <c r="H20" i="14" s="1"/>
  <c r="G21" i="14"/>
  <c r="I21" i="14" s="1"/>
  <c r="K81" i="20"/>
  <c r="F34" i="20"/>
  <c r="N39" i="13"/>
  <c r="L55" i="20" s="1"/>
  <c r="N40" i="13"/>
  <c r="L56" i="20" s="1"/>
  <c r="F18" i="20"/>
  <c r="H23" i="13"/>
  <c r="I27" i="13"/>
  <c r="AL34" i="20"/>
  <c r="J28" i="13"/>
  <c r="H15" i="13"/>
  <c r="P23" i="16"/>
  <c r="H16" i="13"/>
  <c r="H27" i="13"/>
  <c r="L72" i="20"/>
  <c r="AL10" i="20"/>
  <c r="E12" i="20"/>
  <c r="AL32" i="20"/>
  <c r="AL24" i="20"/>
  <c r="N26" i="13"/>
  <c r="L30" i="20" s="1"/>
  <c r="Q56" i="18"/>
  <c r="I21" i="13"/>
  <c r="I16" i="13"/>
  <c r="M21" i="13"/>
  <c r="Q12" i="18" s="1"/>
  <c r="M23" i="13"/>
  <c r="Q14" i="18" s="1"/>
  <c r="M16" i="13"/>
  <c r="Q7" i="18" s="1"/>
  <c r="J21" i="13"/>
  <c r="E28" i="20"/>
  <c r="AL20" i="20"/>
  <c r="L17" i="4"/>
  <c r="E13" i="20" s="1"/>
  <c r="L25" i="4"/>
  <c r="C28" i="16" s="1"/>
  <c r="L21" i="4"/>
  <c r="C20" i="16" s="1"/>
  <c r="C19" i="16"/>
  <c r="L20" i="4"/>
  <c r="C18" i="16" s="1"/>
  <c r="C13" i="16"/>
  <c r="C17" i="16"/>
  <c r="N29" i="5"/>
  <c r="I36" i="20" s="1"/>
  <c r="K15" i="5"/>
  <c r="L15" i="5" s="1"/>
  <c r="K24" i="5"/>
  <c r="D25" i="16" s="1"/>
  <c r="K25" i="5"/>
  <c r="D27" i="16" s="1"/>
  <c r="L18" i="4"/>
  <c r="C14" i="16" s="1"/>
  <c r="F26" i="20"/>
  <c r="J30" i="5"/>
  <c r="N26" i="5"/>
  <c r="M30" i="5"/>
  <c r="N20" i="5"/>
  <c r="I18" i="20" s="1"/>
  <c r="I30" i="5"/>
  <c r="P33" i="16"/>
  <c r="AA34" i="20"/>
  <c r="P21" i="16"/>
  <c r="AA22" i="20"/>
  <c r="K22" i="5"/>
  <c r="AK55" i="20"/>
  <c r="N39" i="5"/>
  <c r="I55" i="20" s="1"/>
  <c r="AK41" i="20"/>
  <c r="N32" i="5"/>
  <c r="F24" i="20"/>
  <c r="C31" i="16"/>
  <c r="E32" i="20"/>
  <c r="L27" i="4"/>
  <c r="P7" i="18"/>
  <c r="N16" i="5"/>
  <c r="F36" i="20"/>
  <c r="P27" i="16"/>
  <c r="AA28" i="20"/>
  <c r="I49" i="20"/>
  <c r="P31" i="16"/>
  <c r="K27" i="5"/>
  <c r="AA32" i="20"/>
  <c r="H41" i="20"/>
  <c r="D40" i="16"/>
  <c r="K28" i="5"/>
  <c r="K26" i="5"/>
  <c r="P29" i="16"/>
  <c r="AA30" i="20"/>
  <c r="N15" i="5"/>
  <c r="P6" i="18"/>
  <c r="P35" i="16"/>
  <c r="AA36" i="20"/>
  <c r="N24" i="5"/>
  <c r="P17" i="16"/>
  <c r="AA18" i="20"/>
  <c r="N27" i="5"/>
  <c r="P18" i="18"/>
  <c r="F32" i="20"/>
  <c r="L29" i="4"/>
  <c r="E36" i="20"/>
  <c r="C35" i="16"/>
  <c r="I43" i="20"/>
  <c r="P19" i="18"/>
  <c r="N28" i="5"/>
  <c r="AA8" i="20"/>
  <c r="P7" i="16"/>
  <c r="AA10" i="20"/>
  <c r="K16" i="5"/>
  <c r="P9" i="16"/>
  <c r="C21" i="16"/>
  <c r="L22" i="4"/>
  <c r="E22" i="20"/>
  <c r="F14" i="20"/>
  <c r="P25" i="16"/>
  <c r="AA26" i="20"/>
  <c r="H30" i="5"/>
  <c r="P16" i="18"/>
  <c r="N25" i="5"/>
  <c r="I16" i="20"/>
  <c r="C7" i="16"/>
  <c r="E8" i="20"/>
  <c r="L15" i="4"/>
  <c r="K30" i="4"/>
  <c r="K41" i="4" s="1"/>
  <c r="AL41" i="20"/>
  <c r="AL55" i="20"/>
  <c r="B57" i="16"/>
  <c r="B58" i="20"/>
  <c r="C9" i="16"/>
  <c r="E10" i="20"/>
  <c r="L16" i="4"/>
  <c r="AL53" i="20"/>
  <c r="N74" i="20"/>
  <c r="Q74" i="20" s="1"/>
  <c r="A74" i="20" s="1"/>
  <c r="F76" i="16"/>
  <c r="G76" i="16" s="1"/>
  <c r="A76" i="16" s="1"/>
  <c r="F10" i="20"/>
  <c r="Q20" i="18"/>
  <c r="I53" i="20"/>
  <c r="Q29" i="16"/>
  <c r="AB30" i="20"/>
  <c r="AL51" i="20"/>
  <c r="F53" i="20"/>
  <c r="N37" i="13"/>
  <c r="F86" i="16"/>
  <c r="G86" i="16" s="1"/>
  <c r="A86" i="16" s="1"/>
  <c r="N84" i="20"/>
  <c r="Q84" i="20" s="1"/>
  <c r="A84" i="20" s="1"/>
  <c r="AL56" i="20"/>
  <c r="AL43" i="20"/>
  <c r="Q19" i="18"/>
  <c r="AL47" i="20"/>
  <c r="Q17" i="18"/>
  <c r="N82" i="20"/>
  <c r="Q82" i="20" s="1"/>
  <c r="A82" i="20" s="1"/>
  <c r="F84" i="16"/>
  <c r="G84" i="16" s="1"/>
  <c r="A84" i="16" s="1"/>
  <c r="AL45" i="20"/>
  <c r="AL49" i="20"/>
  <c r="N34" i="13"/>
  <c r="N29" i="13"/>
  <c r="F78" i="16"/>
  <c r="G78" i="16" s="1"/>
  <c r="A78" i="16" s="1"/>
  <c r="N76" i="20"/>
  <c r="K26" i="13"/>
  <c r="N38" i="13"/>
  <c r="C58" i="20"/>
  <c r="F56" i="20"/>
  <c r="N30" i="4"/>
  <c r="F8" i="20"/>
  <c r="P39" i="14"/>
  <c r="P35" i="14"/>
  <c r="P17" i="14"/>
  <c r="P25" i="14"/>
  <c r="P20" i="14"/>
  <c r="P34" i="14"/>
  <c r="P21" i="14"/>
  <c r="P15" i="14"/>
  <c r="P28" i="14"/>
  <c r="P18" i="14"/>
  <c r="P38" i="14"/>
  <c r="P33" i="14"/>
  <c r="P37" i="14"/>
  <c r="P40" i="14"/>
  <c r="P36" i="14"/>
  <c r="P24" i="14"/>
  <c r="P26" i="14"/>
  <c r="P27" i="14"/>
  <c r="P32" i="14"/>
  <c r="P22" i="14"/>
  <c r="P16" i="14"/>
  <c r="P23" i="14"/>
  <c r="P19" i="14"/>
  <c r="P29" i="14"/>
  <c r="I77" i="14"/>
  <c r="N70" i="13" l="1"/>
  <c r="N70" i="14" s="1"/>
  <c r="O81" i="20" s="1"/>
  <c r="B64" i="16"/>
  <c r="D15" i="16"/>
  <c r="L19" i="5"/>
  <c r="H17" i="20" s="1"/>
  <c r="B64" i="20"/>
  <c r="K51" i="4"/>
  <c r="K51" i="5" s="1"/>
  <c r="I63" i="20"/>
  <c r="N51" i="13"/>
  <c r="B65" i="16"/>
  <c r="E80" i="16"/>
  <c r="E64" i="20"/>
  <c r="K52" i="5"/>
  <c r="K67" i="14"/>
  <c r="K67" i="6" s="1"/>
  <c r="N53" i="2"/>
  <c r="N47" i="18" s="1"/>
  <c r="N52" i="4"/>
  <c r="N52" i="5" s="1"/>
  <c r="I64" i="20" s="1"/>
  <c r="J67" i="14"/>
  <c r="K53" i="2"/>
  <c r="B66" i="16" s="1"/>
  <c r="C65" i="16"/>
  <c r="C64" i="20"/>
  <c r="K77" i="20"/>
  <c r="K66" i="14"/>
  <c r="K66" i="6" s="1"/>
  <c r="N19" i="13"/>
  <c r="L16" i="20" s="1"/>
  <c r="J66" i="14"/>
  <c r="H18" i="14"/>
  <c r="H18" i="6" s="1"/>
  <c r="Q18" i="14"/>
  <c r="AB14" i="20"/>
  <c r="J17" i="14"/>
  <c r="J17" i="6" s="1"/>
  <c r="Q17" i="14"/>
  <c r="I16" i="14"/>
  <c r="I16" i="6" s="1"/>
  <c r="Q16" i="14"/>
  <c r="M15" i="14"/>
  <c r="M15" i="6" s="1"/>
  <c r="AN8" i="20" s="1"/>
  <c r="Q15" i="14"/>
  <c r="I28" i="14"/>
  <c r="I28" i="6" s="1"/>
  <c r="M28" i="14"/>
  <c r="R19" i="18" s="1"/>
  <c r="T19" i="18" s="1"/>
  <c r="L75" i="20"/>
  <c r="K40" i="13"/>
  <c r="L40" i="13" s="1"/>
  <c r="K57" i="20" s="1"/>
  <c r="I75" i="20"/>
  <c r="Q55" i="16"/>
  <c r="H40" i="6"/>
  <c r="K31" i="18" s="1"/>
  <c r="AM22" i="20"/>
  <c r="H22" i="14"/>
  <c r="H22" i="6" s="1"/>
  <c r="J62" i="14"/>
  <c r="N69" i="20"/>
  <c r="Q69" i="20" s="1"/>
  <c r="N52" i="13"/>
  <c r="AL8" i="20"/>
  <c r="N18" i="13"/>
  <c r="L14" i="20" s="1"/>
  <c r="AM34" i="20"/>
  <c r="Q76" i="20"/>
  <c r="A76" i="20" s="1"/>
  <c r="H28" i="14"/>
  <c r="H28" i="6" s="1"/>
  <c r="M26" i="14"/>
  <c r="R17" i="18" s="1"/>
  <c r="AB41" i="20"/>
  <c r="AM30" i="20"/>
  <c r="K72" i="14"/>
  <c r="K72" i="6" s="1"/>
  <c r="F82" i="16"/>
  <c r="G82" i="16" s="1"/>
  <c r="A82" i="16" s="1"/>
  <c r="K15" i="13"/>
  <c r="E7" i="16" s="1"/>
  <c r="AM8" i="20"/>
  <c r="J15" i="14"/>
  <c r="J15" i="6" s="1"/>
  <c r="H15" i="14"/>
  <c r="H15" i="6" s="1"/>
  <c r="I15" i="14"/>
  <c r="I15" i="6" s="1"/>
  <c r="K17" i="13"/>
  <c r="E11" i="16" s="1"/>
  <c r="Q17" i="16"/>
  <c r="AB28" i="20"/>
  <c r="G73" i="16"/>
  <c r="J21" i="14"/>
  <c r="J21" i="6" s="1"/>
  <c r="Q15" i="18"/>
  <c r="K38" i="13"/>
  <c r="K53" i="20" s="1"/>
  <c r="Q16" i="18"/>
  <c r="H21" i="14"/>
  <c r="H21" i="6" s="1"/>
  <c r="B7" i="9"/>
  <c r="A8" i="9"/>
  <c r="M21" i="14"/>
  <c r="R12" i="18" s="1"/>
  <c r="T12" i="18" s="1"/>
  <c r="Q25" i="16"/>
  <c r="AB26" i="20"/>
  <c r="N81" i="20"/>
  <c r="Q81" i="20" s="1"/>
  <c r="A81" i="20" s="1"/>
  <c r="K24" i="13"/>
  <c r="L24" i="13" s="1"/>
  <c r="K73" i="20"/>
  <c r="M22" i="14"/>
  <c r="R13" i="18" s="1"/>
  <c r="T13" i="18" s="1"/>
  <c r="K19" i="13"/>
  <c r="E15" i="16" s="1"/>
  <c r="AM49" i="20"/>
  <c r="K62" i="14"/>
  <c r="N73" i="20" s="1"/>
  <c r="M24" i="14"/>
  <c r="R15" i="18" s="1"/>
  <c r="J22" i="14"/>
  <c r="J22" i="6" s="1"/>
  <c r="F83" i="16"/>
  <c r="G83" i="16" s="1"/>
  <c r="A83" i="16" s="1"/>
  <c r="Q68" i="20"/>
  <c r="Q27" i="16"/>
  <c r="N71" i="20"/>
  <c r="Q71" i="20" s="1"/>
  <c r="K60" i="6"/>
  <c r="N80" i="20"/>
  <c r="Q80" i="20" s="1"/>
  <c r="A80" i="20" s="1"/>
  <c r="N22" i="13"/>
  <c r="L22" i="20" s="1"/>
  <c r="D48" i="16"/>
  <c r="B37" i="6"/>
  <c r="N71" i="13"/>
  <c r="N71" i="14" s="1"/>
  <c r="O82" i="20" s="1"/>
  <c r="AM51" i="20"/>
  <c r="M37" i="6"/>
  <c r="AN51" i="20" s="1"/>
  <c r="H49" i="20"/>
  <c r="AB12" i="20"/>
  <c r="D49" i="16"/>
  <c r="AM20" i="20"/>
  <c r="B36" i="6"/>
  <c r="AM12" i="20"/>
  <c r="I26" i="14"/>
  <c r="I26" i="6" s="1"/>
  <c r="I24" i="6"/>
  <c r="M35" i="14"/>
  <c r="R26" i="18" s="1"/>
  <c r="T26" i="18" s="1"/>
  <c r="F74" i="16"/>
  <c r="G74" i="16" s="1"/>
  <c r="H26" i="14"/>
  <c r="H26" i="6" s="1"/>
  <c r="H25" i="14"/>
  <c r="H25" i="6" s="1"/>
  <c r="D13" i="16"/>
  <c r="L18" i="5"/>
  <c r="H15" i="20" s="1"/>
  <c r="D42" i="16"/>
  <c r="AB18" i="20"/>
  <c r="K22" i="13"/>
  <c r="L22" i="13" s="1"/>
  <c r="E22" i="16" s="1"/>
  <c r="A83" i="13"/>
  <c r="K20" i="13"/>
  <c r="E17" i="16" s="1"/>
  <c r="Q11" i="16"/>
  <c r="Q21" i="16"/>
  <c r="L81" i="20"/>
  <c r="R81" i="20" s="1"/>
  <c r="D40" i="14"/>
  <c r="M25" i="14"/>
  <c r="R16" i="18" s="1"/>
  <c r="K25" i="13"/>
  <c r="K28" i="20" s="1"/>
  <c r="K57" i="6"/>
  <c r="N21" i="13"/>
  <c r="G71" i="16"/>
  <c r="M40" i="14"/>
  <c r="R31" i="18" s="1"/>
  <c r="T31" i="18" s="1"/>
  <c r="I22" i="6"/>
  <c r="I25" i="14"/>
  <c r="I25" i="6" s="1"/>
  <c r="K36" i="13"/>
  <c r="K49" i="20" s="1"/>
  <c r="H17" i="14"/>
  <c r="H17" i="6" s="1"/>
  <c r="AB22" i="20"/>
  <c r="B40" i="6"/>
  <c r="D40" i="6" s="1"/>
  <c r="AM28" i="20"/>
  <c r="Q23" i="16"/>
  <c r="K32" i="13"/>
  <c r="L32" i="13" s="1"/>
  <c r="K42" i="20" s="1"/>
  <c r="AM43" i="20"/>
  <c r="H43" i="20"/>
  <c r="Q44" i="16"/>
  <c r="AB51" i="20"/>
  <c r="L70" i="20"/>
  <c r="H37" i="14"/>
  <c r="H37" i="6" s="1"/>
  <c r="L28" i="18" s="1"/>
  <c r="K37" i="13"/>
  <c r="E50" i="16" s="1"/>
  <c r="K34" i="13"/>
  <c r="L34" i="13" s="1"/>
  <c r="H44" i="20"/>
  <c r="D39" i="14"/>
  <c r="D52" i="16"/>
  <c r="M36" i="6"/>
  <c r="AN49" i="20" s="1"/>
  <c r="H35" i="14"/>
  <c r="K35" i="14" s="1"/>
  <c r="L35" i="14" s="1"/>
  <c r="N48" i="20" s="1"/>
  <c r="D23" i="16"/>
  <c r="L23" i="5"/>
  <c r="H25" i="20" s="1"/>
  <c r="AB43" i="20"/>
  <c r="B33" i="6"/>
  <c r="M33" i="6"/>
  <c r="AN43" i="20" s="1"/>
  <c r="T24" i="18"/>
  <c r="I20" i="20"/>
  <c r="D53" i="16"/>
  <c r="H53" i="20"/>
  <c r="N59" i="14"/>
  <c r="O70" i="20" s="1"/>
  <c r="I22" i="20"/>
  <c r="H26" i="20"/>
  <c r="C43" i="16"/>
  <c r="J28" i="6"/>
  <c r="K35" i="13"/>
  <c r="L35" i="13" s="1"/>
  <c r="AB47" i="20"/>
  <c r="AB8" i="20"/>
  <c r="Q7" i="16"/>
  <c r="J23" i="14"/>
  <c r="J23" i="6" s="1"/>
  <c r="L62" i="18"/>
  <c r="H23" i="14"/>
  <c r="H23" i="6" s="1"/>
  <c r="Q15" i="16"/>
  <c r="K83" i="20"/>
  <c r="E85" i="16"/>
  <c r="K33" i="13"/>
  <c r="L33" i="13" s="1"/>
  <c r="K44" i="20" s="1"/>
  <c r="K18" i="13"/>
  <c r="K14" i="20" s="1"/>
  <c r="N58" i="6"/>
  <c r="Q19" i="16"/>
  <c r="N17" i="13"/>
  <c r="L12" i="20" s="1"/>
  <c r="H32" i="14"/>
  <c r="K32" i="14" s="1"/>
  <c r="I83" i="20"/>
  <c r="N72" i="13"/>
  <c r="H39" i="14"/>
  <c r="K39" i="14" s="1"/>
  <c r="F54" i="16" s="1"/>
  <c r="N67" i="13"/>
  <c r="I78" i="20"/>
  <c r="J64" i="14"/>
  <c r="K75" i="20"/>
  <c r="K64" i="14"/>
  <c r="E77" i="16"/>
  <c r="N63" i="13"/>
  <c r="I74" i="20"/>
  <c r="H85" i="20"/>
  <c r="D19" i="16"/>
  <c r="L47" i="20"/>
  <c r="N37" i="14"/>
  <c r="O51" i="20" s="1"/>
  <c r="H34" i="14"/>
  <c r="R44" i="16" s="1"/>
  <c r="M60" i="18"/>
  <c r="S60" i="18" s="1"/>
  <c r="K58" i="6"/>
  <c r="M56" i="18"/>
  <c r="S56" i="18" s="1"/>
  <c r="F73" i="20"/>
  <c r="O62" i="18"/>
  <c r="N62" i="5"/>
  <c r="N74" i="4"/>
  <c r="F85" i="20" s="1"/>
  <c r="N87" i="4"/>
  <c r="F93" i="20" s="1"/>
  <c r="H52" i="20"/>
  <c r="D51" i="16"/>
  <c r="F84" i="20"/>
  <c r="N73" i="5"/>
  <c r="N68" i="13"/>
  <c r="I79" i="20"/>
  <c r="K56" i="6"/>
  <c r="A52" i="18" s="1"/>
  <c r="M52" i="18"/>
  <c r="S52" i="18" s="1"/>
  <c r="K55" i="6"/>
  <c r="A50" i="18" s="1"/>
  <c r="M50" i="18"/>
  <c r="S50" i="18" s="1"/>
  <c r="H38" i="14"/>
  <c r="K38" i="14" s="1"/>
  <c r="L38" i="14" s="1"/>
  <c r="D55" i="16"/>
  <c r="L40" i="5"/>
  <c r="H56" i="20"/>
  <c r="Q52" i="16"/>
  <c r="K59" i="13"/>
  <c r="N69" i="13"/>
  <c r="I80" i="20"/>
  <c r="H33" i="14"/>
  <c r="K33" i="14" s="1"/>
  <c r="Q54" i="16"/>
  <c r="AB55" i="20"/>
  <c r="I77" i="20"/>
  <c r="N66" i="13"/>
  <c r="E48" i="20"/>
  <c r="C47" i="16"/>
  <c r="I76" i="20"/>
  <c r="N65" i="13"/>
  <c r="D47" i="16"/>
  <c r="H48" i="20"/>
  <c r="E58" i="20"/>
  <c r="C57" i="16"/>
  <c r="O71" i="20"/>
  <c r="R71" i="20" s="1"/>
  <c r="R60" i="18"/>
  <c r="T60" i="18" s="1"/>
  <c r="F70" i="16"/>
  <c r="G70" i="16" s="1"/>
  <c r="M54" i="18"/>
  <c r="S54" i="18" s="1"/>
  <c r="D45" i="16"/>
  <c r="H46" i="20"/>
  <c r="AB49" i="20"/>
  <c r="H36" i="14"/>
  <c r="K68" i="14"/>
  <c r="K68" i="6" s="1"/>
  <c r="K79" i="20"/>
  <c r="J68" i="14"/>
  <c r="E81" i="16"/>
  <c r="L21" i="5"/>
  <c r="D20" i="16" s="1"/>
  <c r="C30" i="16"/>
  <c r="K29" i="13"/>
  <c r="E35" i="16" s="1"/>
  <c r="R72" i="20"/>
  <c r="N36" i="14"/>
  <c r="I17" i="14"/>
  <c r="I17" i="6" s="1"/>
  <c r="M32" i="14"/>
  <c r="R23" i="18" s="1"/>
  <c r="R55" i="16"/>
  <c r="M17" i="14"/>
  <c r="R8" i="18" s="1"/>
  <c r="T8" i="18" s="1"/>
  <c r="O67" i="20"/>
  <c r="R67" i="20" s="1"/>
  <c r="R52" i="18"/>
  <c r="T52" i="18" s="1"/>
  <c r="B32" i="6"/>
  <c r="D32" i="6" s="1"/>
  <c r="N19" i="14"/>
  <c r="O16" i="20" s="1"/>
  <c r="H13" i="20"/>
  <c r="D12" i="16"/>
  <c r="R56" i="18"/>
  <c r="T56" i="18" s="1"/>
  <c r="H16" i="14"/>
  <c r="H16" i="6" s="1"/>
  <c r="T28" i="18"/>
  <c r="J19" i="14"/>
  <c r="J19" i="6" s="1"/>
  <c r="O66" i="20"/>
  <c r="R66" i="20" s="1"/>
  <c r="K23" i="13"/>
  <c r="L23" i="13" s="1"/>
  <c r="AM24" i="20"/>
  <c r="I23" i="14"/>
  <c r="I23" i="6" s="1"/>
  <c r="M34" i="6"/>
  <c r="AN45" i="20" s="1"/>
  <c r="N27" i="13"/>
  <c r="N23" i="13"/>
  <c r="H24" i="14"/>
  <c r="H24" i="6" s="1"/>
  <c r="AM26" i="20"/>
  <c r="J24" i="14"/>
  <c r="J24" i="6" s="1"/>
  <c r="Q33" i="16"/>
  <c r="Q35" i="16"/>
  <c r="H19" i="14"/>
  <c r="H19" i="6" s="1"/>
  <c r="M16" i="14"/>
  <c r="M16" i="6" s="1"/>
  <c r="AN10" i="20" s="1"/>
  <c r="AB34" i="20"/>
  <c r="H36" i="20"/>
  <c r="H12" i="20"/>
  <c r="D11" i="16"/>
  <c r="N60" i="6"/>
  <c r="AM16" i="20"/>
  <c r="I19" i="14"/>
  <c r="I19" i="6" s="1"/>
  <c r="M39" i="14"/>
  <c r="R30" i="18" s="1"/>
  <c r="AB24" i="20"/>
  <c r="E54" i="16"/>
  <c r="AM10" i="20"/>
  <c r="J16" i="14"/>
  <c r="J16" i="6" s="1"/>
  <c r="R50" i="18"/>
  <c r="T50" i="18" s="1"/>
  <c r="L49" i="20"/>
  <c r="AB36" i="20"/>
  <c r="H30" i="13"/>
  <c r="O68" i="20"/>
  <c r="R68" i="20" s="1"/>
  <c r="D35" i="16"/>
  <c r="B34" i="6"/>
  <c r="I27" i="14"/>
  <c r="I27" i="6" s="1"/>
  <c r="I30" i="13"/>
  <c r="K27" i="13"/>
  <c r="K32" i="20" s="1"/>
  <c r="N61" i="6"/>
  <c r="N33" i="14"/>
  <c r="O43" i="20" s="1"/>
  <c r="R43" i="20" s="1"/>
  <c r="AB20" i="20"/>
  <c r="F69" i="16"/>
  <c r="G69" i="16" s="1"/>
  <c r="H29" i="14"/>
  <c r="H29" i="6" s="1"/>
  <c r="E29" i="20"/>
  <c r="L20" i="5"/>
  <c r="H19" i="20" s="1"/>
  <c r="AM18" i="20"/>
  <c r="M18" i="14"/>
  <c r="R9" i="18" s="1"/>
  <c r="T9" i="18" s="1"/>
  <c r="K28" i="13"/>
  <c r="E33" i="16" s="1"/>
  <c r="J20" i="14"/>
  <c r="J20" i="6" s="1"/>
  <c r="C26" i="16"/>
  <c r="C12" i="16"/>
  <c r="J29" i="14"/>
  <c r="J29" i="6" s="1"/>
  <c r="N66" i="20"/>
  <c r="Q66" i="20" s="1"/>
  <c r="I20" i="14"/>
  <c r="I20" i="6" s="1"/>
  <c r="J18" i="14"/>
  <c r="J18" i="6" s="1"/>
  <c r="D17" i="16"/>
  <c r="K61" i="6"/>
  <c r="AC56" i="20"/>
  <c r="I29" i="14"/>
  <c r="I29" i="6" s="1"/>
  <c r="F68" i="16"/>
  <c r="G68" i="16" s="1"/>
  <c r="M20" i="14"/>
  <c r="R11" i="18" s="1"/>
  <c r="I18" i="14"/>
  <c r="I18" i="6" s="1"/>
  <c r="R54" i="18"/>
  <c r="T54" i="18" s="1"/>
  <c r="AB16" i="20"/>
  <c r="N16" i="13"/>
  <c r="AM36" i="20"/>
  <c r="N67" i="20"/>
  <c r="Q67" i="20" s="1"/>
  <c r="Q13" i="16"/>
  <c r="N15" i="13"/>
  <c r="L8" i="20" s="1"/>
  <c r="AM14" i="20"/>
  <c r="K40" i="14"/>
  <c r="N38" i="14"/>
  <c r="N38" i="6" s="1"/>
  <c r="B38" i="6"/>
  <c r="D38" i="6" s="1"/>
  <c r="M27" i="14"/>
  <c r="R18" i="18" s="1"/>
  <c r="T18" i="18" s="1"/>
  <c r="I21" i="6"/>
  <c r="Q31" i="16"/>
  <c r="D38" i="14"/>
  <c r="J27" i="14"/>
  <c r="J27" i="6" s="1"/>
  <c r="Q11" i="18"/>
  <c r="AM45" i="20"/>
  <c r="E21" i="20"/>
  <c r="AM32" i="20"/>
  <c r="N34" i="14"/>
  <c r="O45" i="20" s="1"/>
  <c r="AB32" i="20"/>
  <c r="M30" i="13"/>
  <c r="J30" i="13"/>
  <c r="T14" i="18"/>
  <c r="K21" i="13"/>
  <c r="L21" i="13" s="1"/>
  <c r="K16" i="13"/>
  <c r="L16" i="13" s="1"/>
  <c r="AB10" i="20"/>
  <c r="Q9" i="16"/>
  <c r="L24" i="5"/>
  <c r="D26" i="16" s="1"/>
  <c r="H8" i="20"/>
  <c r="I30" i="20"/>
  <c r="E15" i="20"/>
  <c r="E19" i="20"/>
  <c r="N26" i="14"/>
  <c r="O30" i="20" s="1"/>
  <c r="T17" i="18"/>
  <c r="D7" i="16"/>
  <c r="L25" i="5"/>
  <c r="H29" i="20" s="1"/>
  <c r="N30" i="5"/>
  <c r="N41" i="5" s="1"/>
  <c r="H28" i="20"/>
  <c r="K30" i="5"/>
  <c r="N29" i="14"/>
  <c r="O36" i="20" s="1"/>
  <c r="T25" i="18"/>
  <c r="D9" i="16"/>
  <c r="H10" i="20"/>
  <c r="L16" i="5"/>
  <c r="D31" i="16"/>
  <c r="L27" i="5"/>
  <c r="H32" i="20"/>
  <c r="I28" i="20"/>
  <c r="E23" i="20"/>
  <c r="C22" i="16"/>
  <c r="I26" i="20"/>
  <c r="I8" i="20"/>
  <c r="D21" i="16"/>
  <c r="L22" i="5"/>
  <c r="H22" i="20"/>
  <c r="I34" i="20"/>
  <c r="E37" i="20"/>
  <c r="C36" i="16"/>
  <c r="I32" i="20"/>
  <c r="H30" i="20"/>
  <c r="D29" i="16"/>
  <c r="L26" i="5"/>
  <c r="H34" i="20"/>
  <c r="D33" i="16"/>
  <c r="L28" i="5"/>
  <c r="H37" i="20"/>
  <c r="D36" i="16"/>
  <c r="I10" i="20"/>
  <c r="E33" i="20"/>
  <c r="C32" i="16"/>
  <c r="I41" i="20"/>
  <c r="D8" i="16"/>
  <c r="H9" i="20"/>
  <c r="L26" i="20"/>
  <c r="L53" i="20"/>
  <c r="F38" i="20"/>
  <c r="N41" i="4"/>
  <c r="F58" i="20" s="1"/>
  <c r="L51" i="20"/>
  <c r="E9" i="20"/>
  <c r="L30" i="4"/>
  <c r="K42" i="4" s="1"/>
  <c r="C8" i="16"/>
  <c r="R10" i="18"/>
  <c r="T10" i="18" s="1"/>
  <c r="M19" i="6"/>
  <c r="L18" i="20"/>
  <c r="H27" i="6"/>
  <c r="M29" i="6"/>
  <c r="M23" i="6"/>
  <c r="L26" i="13"/>
  <c r="E29" i="16"/>
  <c r="K30" i="20"/>
  <c r="L45" i="20"/>
  <c r="T27" i="18"/>
  <c r="N23" i="14"/>
  <c r="T20" i="18"/>
  <c r="E11" i="20"/>
  <c r="C10" i="16"/>
  <c r="T29" i="18"/>
  <c r="AM53" i="20"/>
  <c r="L36" i="20"/>
  <c r="M38" i="6"/>
  <c r="AN53" i="20" s="1"/>
  <c r="H20" i="6"/>
  <c r="E38" i="20"/>
  <c r="C37" i="16"/>
  <c r="C64" i="16" l="1"/>
  <c r="F79" i="16"/>
  <c r="G79" i="16" s="1"/>
  <c r="A79" i="16" s="1"/>
  <c r="N77" i="20"/>
  <c r="Q77" i="20" s="1"/>
  <c r="A77" i="20" s="1"/>
  <c r="E63" i="20"/>
  <c r="K53" i="4"/>
  <c r="C66" i="16" s="1"/>
  <c r="D16" i="16"/>
  <c r="K51" i="13"/>
  <c r="H63" i="20"/>
  <c r="D64" i="16"/>
  <c r="K52" i="13"/>
  <c r="N51" i="14"/>
  <c r="L63" i="20"/>
  <c r="F80" i="16"/>
  <c r="G80" i="16" s="1"/>
  <c r="A80" i="16" s="1"/>
  <c r="N78" i="20"/>
  <c r="Q78" i="20" s="1"/>
  <c r="A78" i="20" s="1"/>
  <c r="K62" i="6"/>
  <c r="N53" i="5"/>
  <c r="P47" i="18" s="1"/>
  <c r="F75" i="16"/>
  <c r="G75" i="16" s="1"/>
  <c r="A75" i="16" s="1"/>
  <c r="S55" i="16"/>
  <c r="D65" i="16"/>
  <c r="H64" i="20"/>
  <c r="K53" i="5"/>
  <c r="R29" i="16"/>
  <c r="M26" i="6"/>
  <c r="N53" i="4"/>
  <c r="O47" i="18" s="1"/>
  <c r="F64" i="20"/>
  <c r="I31" i="18"/>
  <c r="I47" i="18"/>
  <c r="J31" i="18"/>
  <c r="K17" i="18"/>
  <c r="N28" i="14"/>
  <c r="N28" i="6" s="1"/>
  <c r="L82" i="20"/>
  <c r="R82" i="20" s="1"/>
  <c r="Q73" i="20"/>
  <c r="A73" i="20" s="1"/>
  <c r="M28" i="6"/>
  <c r="A19" i="18" s="1"/>
  <c r="U19" i="18" s="1"/>
  <c r="K28" i="14"/>
  <c r="F33" i="16" s="1"/>
  <c r="G33" i="16" s="1"/>
  <c r="M31" i="18"/>
  <c r="L17" i="18"/>
  <c r="R75" i="20"/>
  <c r="AC34" i="20"/>
  <c r="R33" i="16"/>
  <c r="R6" i="18"/>
  <c r="T6" i="18" s="1"/>
  <c r="N15" i="14"/>
  <c r="N15" i="6" s="1"/>
  <c r="E56" i="16"/>
  <c r="K56" i="20"/>
  <c r="A56" i="18"/>
  <c r="U56" i="18" s="1"/>
  <c r="E55" i="16"/>
  <c r="AM47" i="20"/>
  <c r="L31" i="18"/>
  <c r="AD56" i="20"/>
  <c r="L38" i="13"/>
  <c r="K54" i="20" s="1"/>
  <c r="L64" i="20"/>
  <c r="N52" i="14"/>
  <c r="N53" i="13"/>
  <c r="Q47" i="18" s="1"/>
  <c r="A60" i="18"/>
  <c r="U60" i="18" s="1"/>
  <c r="A54" i="18"/>
  <c r="U54" i="18" s="1"/>
  <c r="U52" i="18"/>
  <c r="N40" i="14"/>
  <c r="O56" i="20" s="1"/>
  <c r="R56" i="20" s="1"/>
  <c r="M35" i="6"/>
  <c r="AN47" i="20" s="1"/>
  <c r="N35" i="14"/>
  <c r="N35" i="6" s="1"/>
  <c r="T16" i="18"/>
  <c r="K8" i="20"/>
  <c r="L15" i="18"/>
  <c r="E52" i="16"/>
  <c r="R19" i="16"/>
  <c r="N83" i="20"/>
  <c r="Q83" i="20" s="1"/>
  <c r="A83" i="20" s="1"/>
  <c r="N22" i="14"/>
  <c r="N22" i="6" s="1"/>
  <c r="F85" i="16"/>
  <c r="G85" i="16" s="1"/>
  <c r="A85" i="16" s="1"/>
  <c r="AC8" i="20"/>
  <c r="L15" i="13"/>
  <c r="K9" i="20" s="1"/>
  <c r="R7" i="16"/>
  <c r="K15" i="14"/>
  <c r="N8" i="20" s="1"/>
  <c r="K12" i="20"/>
  <c r="L17" i="13"/>
  <c r="K13" i="20" s="1"/>
  <c r="AC20" i="20"/>
  <c r="L13" i="18"/>
  <c r="K21" i="14"/>
  <c r="L21" i="14" s="1"/>
  <c r="F20" i="16" s="1"/>
  <c r="T15" i="18"/>
  <c r="R50" i="16"/>
  <c r="M19" i="18"/>
  <c r="AC28" i="20"/>
  <c r="K15" i="18"/>
  <c r="I16" i="18"/>
  <c r="M25" i="6"/>
  <c r="A16" i="18" s="1"/>
  <c r="U16" i="18" s="1"/>
  <c r="R27" i="16"/>
  <c r="I17" i="18"/>
  <c r="K25" i="14"/>
  <c r="K25" i="6" s="1"/>
  <c r="N25" i="14"/>
  <c r="O28" i="20" s="1"/>
  <c r="R28" i="20" s="1"/>
  <c r="J8" i="18"/>
  <c r="M22" i="6"/>
  <c r="A13" i="18" s="1"/>
  <c r="U13" i="18" s="1"/>
  <c r="N21" i="14"/>
  <c r="O20" i="20" s="1"/>
  <c r="K37" i="14"/>
  <c r="K37" i="6" s="1"/>
  <c r="J28" i="18"/>
  <c r="L8" i="18"/>
  <c r="M24" i="6"/>
  <c r="A15" i="18" s="1"/>
  <c r="U15" i="18" s="1"/>
  <c r="K24" i="14"/>
  <c r="K24" i="6" s="1"/>
  <c r="M40" i="6"/>
  <c r="AN56" i="20" s="1"/>
  <c r="M21" i="6"/>
  <c r="A12" i="18" s="1"/>
  <c r="U12" i="18" s="1"/>
  <c r="AD51" i="20"/>
  <c r="AC51" i="20"/>
  <c r="A9" i="9"/>
  <c r="B8" i="9"/>
  <c r="AM56" i="20"/>
  <c r="N24" i="14"/>
  <c r="N24" i="6" s="1"/>
  <c r="S50" i="16"/>
  <c r="K8" i="18"/>
  <c r="K26" i="20"/>
  <c r="K18" i="20"/>
  <c r="E25" i="16"/>
  <c r="K16" i="20"/>
  <c r="R21" i="16"/>
  <c r="AC30" i="20"/>
  <c r="A17" i="18"/>
  <c r="U17" i="18" s="1"/>
  <c r="AC22" i="20"/>
  <c r="M17" i="18"/>
  <c r="J17" i="18"/>
  <c r="L19" i="13"/>
  <c r="E16" i="16" s="1"/>
  <c r="M13" i="18"/>
  <c r="S29" i="16"/>
  <c r="K22" i="14"/>
  <c r="N22" i="20" s="1"/>
  <c r="AD30" i="20"/>
  <c r="K26" i="14"/>
  <c r="L26" i="14" s="1"/>
  <c r="N31" i="20" s="1"/>
  <c r="S13" i="16"/>
  <c r="D14" i="16"/>
  <c r="I28" i="18"/>
  <c r="E48" i="16"/>
  <c r="J15" i="18"/>
  <c r="K23" i="20"/>
  <c r="L20" i="20"/>
  <c r="I15" i="18"/>
  <c r="M15" i="18"/>
  <c r="S25" i="16"/>
  <c r="AC26" i="20"/>
  <c r="AD26" i="20"/>
  <c r="R25" i="16"/>
  <c r="E27" i="16"/>
  <c r="L25" i="13"/>
  <c r="E28" i="16" s="1"/>
  <c r="L36" i="13"/>
  <c r="E49" i="16" s="1"/>
  <c r="K45" i="20"/>
  <c r="E40" i="16"/>
  <c r="E21" i="16"/>
  <c r="K22" i="20"/>
  <c r="A83" i="14"/>
  <c r="J14" i="18"/>
  <c r="K13" i="18"/>
  <c r="AC53" i="20"/>
  <c r="N17" i="14"/>
  <c r="O12" i="20" s="1"/>
  <c r="R12" i="20" s="1"/>
  <c r="K28" i="18"/>
  <c r="L20" i="13"/>
  <c r="K19" i="20" s="1"/>
  <c r="AD22" i="20"/>
  <c r="S21" i="16"/>
  <c r="I13" i="18"/>
  <c r="E41" i="16"/>
  <c r="M28" i="18"/>
  <c r="M17" i="6"/>
  <c r="J13" i="18"/>
  <c r="K41" i="20"/>
  <c r="L37" i="13"/>
  <c r="K52" i="20" s="1"/>
  <c r="K51" i="20"/>
  <c r="E44" i="16"/>
  <c r="D24" i="16"/>
  <c r="H35" i="6"/>
  <c r="R46" i="16"/>
  <c r="AC47" i="20"/>
  <c r="K34" i="14"/>
  <c r="F44" i="16" s="1"/>
  <c r="R11" i="16"/>
  <c r="AD12" i="20"/>
  <c r="R58" i="18"/>
  <c r="AC12" i="20"/>
  <c r="M8" i="18"/>
  <c r="I8" i="18"/>
  <c r="N16" i="14"/>
  <c r="S11" i="16"/>
  <c r="K17" i="14"/>
  <c r="L17" i="14" s="1"/>
  <c r="AM55" i="20"/>
  <c r="T30" i="18"/>
  <c r="F46" i="16"/>
  <c r="H38" i="6"/>
  <c r="E46" i="16"/>
  <c r="K47" i="20"/>
  <c r="E43" i="16"/>
  <c r="M32" i="6"/>
  <c r="AN41" i="20" s="1"/>
  <c r="N32" i="14"/>
  <c r="N32" i="6" s="1"/>
  <c r="N47" i="20"/>
  <c r="H21" i="20"/>
  <c r="K43" i="20"/>
  <c r="L29" i="13"/>
  <c r="E36" i="16" s="1"/>
  <c r="K35" i="6"/>
  <c r="E42" i="16"/>
  <c r="E13" i="16"/>
  <c r="L18" i="13"/>
  <c r="K15" i="20" s="1"/>
  <c r="AC41" i="20"/>
  <c r="R40" i="16"/>
  <c r="H32" i="6"/>
  <c r="H39" i="6"/>
  <c r="R54" i="16"/>
  <c r="AC55" i="20"/>
  <c r="L83" i="20"/>
  <c r="N72" i="14"/>
  <c r="O83" i="20" s="1"/>
  <c r="N67" i="14"/>
  <c r="O78" i="20" s="1"/>
  <c r="L78" i="20"/>
  <c r="K64" i="6"/>
  <c r="N75" i="20"/>
  <c r="Q75" i="20" s="1"/>
  <c r="A75" i="20" s="1"/>
  <c r="F77" i="16"/>
  <c r="G77" i="16" s="1"/>
  <c r="A77" i="16" s="1"/>
  <c r="M62" i="18"/>
  <c r="S62" i="18" s="1"/>
  <c r="L74" i="20"/>
  <c r="N63" i="14"/>
  <c r="O74" i="20" s="1"/>
  <c r="F47" i="16"/>
  <c r="N37" i="6"/>
  <c r="K39" i="6"/>
  <c r="K36" i="20"/>
  <c r="N54" i="20"/>
  <c r="F53" i="16"/>
  <c r="N20" i="14"/>
  <c r="K38" i="6"/>
  <c r="E36" i="18" s="1"/>
  <c r="E59" i="20"/>
  <c r="C58" i="16"/>
  <c r="K33" i="6"/>
  <c r="L33" i="14"/>
  <c r="K32" i="6"/>
  <c r="L32" i="14"/>
  <c r="K48" i="20"/>
  <c r="E47" i="16"/>
  <c r="K46" i="20"/>
  <c r="E45" i="16"/>
  <c r="K43" i="4"/>
  <c r="K76" i="4" s="1"/>
  <c r="L80" i="20"/>
  <c r="N69" i="14"/>
  <c r="O80" i="20" s="1"/>
  <c r="H57" i="20"/>
  <c r="D56" i="16"/>
  <c r="I73" i="20"/>
  <c r="P62" i="18"/>
  <c r="N62" i="13"/>
  <c r="N87" i="5"/>
  <c r="I93" i="20" s="1"/>
  <c r="N74" i="5"/>
  <c r="I85" i="20" s="1"/>
  <c r="R48" i="16"/>
  <c r="H36" i="6"/>
  <c r="AC49" i="20"/>
  <c r="L76" i="20"/>
  <c r="N65" i="14"/>
  <c r="O76" i="20" s="1"/>
  <c r="N53" i="20"/>
  <c r="Q53" i="20" s="1"/>
  <c r="K70" i="20"/>
  <c r="L58" i="18"/>
  <c r="E72" i="16"/>
  <c r="K74" i="13"/>
  <c r="L79" i="20"/>
  <c r="N68" i="14"/>
  <c r="O79" i="20" s="1"/>
  <c r="H38" i="20"/>
  <c r="K41" i="5"/>
  <c r="F52" i="16"/>
  <c r="K40" i="6"/>
  <c r="L40" i="14"/>
  <c r="L77" i="20"/>
  <c r="N66" i="14"/>
  <c r="O77" i="20" s="1"/>
  <c r="AC43" i="20"/>
  <c r="R42" i="16"/>
  <c r="H33" i="6"/>
  <c r="R52" i="16"/>
  <c r="K59" i="14"/>
  <c r="I84" i="20"/>
  <c r="N73" i="13"/>
  <c r="H34" i="6"/>
  <c r="AC45" i="20"/>
  <c r="K36" i="14"/>
  <c r="F81" i="16"/>
  <c r="G81" i="16" s="1"/>
  <c r="A81" i="16" s="1"/>
  <c r="N79" i="20"/>
  <c r="Q79" i="20" s="1"/>
  <c r="A79" i="20" s="1"/>
  <c r="N55" i="20"/>
  <c r="Q55" i="20" s="1"/>
  <c r="N36" i="6"/>
  <c r="O49" i="20"/>
  <c r="R49" i="20" s="1"/>
  <c r="E23" i="16"/>
  <c r="K24" i="20"/>
  <c r="N19" i="6"/>
  <c r="G54" i="16"/>
  <c r="T23" i="18"/>
  <c r="AC24" i="20"/>
  <c r="AM41" i="20"/>
  <c r="N56" i="20"/>
  <c r="L28" i="13"/>
  <c r="K35" i="20" s="1"/>
  <c r="E31" i="16"/>
  <c r="R9" i="16"/>
  <c r="L32" i="20"/>
  <c r="AC36" i="20"/>
  <c r="L24" i="20"/>
  <c r="S23" i="16"/>
  <c r="AC16" i="20"/>
  <c r="K19" i="14"/>
  <c r="F15" i="16" s="1"/>
  <c r="G15" i="16" s="1"/>
  <c r="K16" i="14"/>
  <c r="F9" i="16" s="1"/>
  <c r="AC10" i="20"/>
  <c r="D18" i="16"/>
  <c r="I14" i="18"/>
  <c r="L14" i="18"/>
  <c r="K14" i="18"/>
  <c r="F40" i="16"/>
  <c r="N33" i="6"/>
  <c r="N41" i="20"/>
  <c r="N43" i="20"/>
  <c r="R7" i="18"/>
  <c r="T7" i="18" s="1"/>
  <c r="S33" i="16"/>
  <c r="K23" i="14"/>
  <c r="K23" i="6" s="1"/>
  <c r="M14" i="18"/>
  <c r="AD24" i="20"/>
  <c r="A14" i="18"/>
  <c r="U14" i="18" s="1"/>
  <c r="K34" i="20"/>
  <c r="N27" i="14"/>
  <c r="N27" i="6" s="1"/>
  <c r="R15" i="16"/>
  <c r="R23" i="16"/>
  <c r="N39" i="14"/>
  <c r="O55" i="20" s="1"/>
  <c r="R55" i="20" s="1"/>
  <c r="N34" i="6"/>
  <c r="I19" i="18"/>
  <c r="K19" i="18"/>
  <c r="M20" i="18"/>
  <c r="AD34" i="20"/>
  <c r="J19" i="18"/>
  <c r="M39" i="6"/>
  <c r="AN55" i="20" s="1"/>
  <c r="L19" i="18"/>
  <c r="O53" i="20"/>
  <c r="R53" i="20" s="1"/>
  <c r="N18" i="14"/>
  <c r="H30" i="14"/>
  <c r="M27" i="6"/>
  <c r="L27" i="13"/>
  <c r="K33" i="20" s="1"/>
  <c r="J20" i="18"/>
  <c r="M18" i="6"/>
  <c r="J30" i="6"/>
  <c r="R31" i="16"/>
  <c r="K27" i="14"/>
  <c r="F31" i="16" s="1"/>
  <c r="AC18" i="20"/>
  <c r="AC32" i="20"/>
  <c r="AD36" i="20"/>
  <c r="L9" i="18"/>
  <c r="F55" i="16"/>
  <c r="E9" i="16"/>
  <c r="H27" i="20"/>
  <c r="J30" i="14"/>
  <c r="R17" i="16"/>
  <c r="M20" i="6"/>
  <c r="A11" i="18" s="1"/>
  <c r="U11" i="18" s="1"/>
  <c r="M30" i="14"/>
  <c r="K20" i="14"/>
  <c r="N18" i="20" s="1"/>
  <c r="L10" i="20"/>
  <c r="K18" i="14"/>
  <c r="K18" i="6" s="1"/>
  <c r="J9" i="18"/>
  <c r="A20" i="18"/>
  <c r="U20" i="18" s="1"/>
  <c r="N30" i="13"/>
  <c r="L38" i="20" s="1"/>
  <c r="AD14" i="20"/>
  <c r="I9" i="18"/>
  <c r="R13" i="16"/>
  <c r="I30" i="14"/>
  <c r="S35" i="16"/>
  <c r="L20" i="18"/>
  <c r="K29" i="14"/>
  <c r="F35" i="16" s="1"/>
  <c r="G35" i="16" s="1"/>
  <c r="S19" i="16"/>
  <c r="M9" i="18"/>
  <c r="AC14" i="20"/>
  <c r="I20" i="18"/>
  <c r="K9" i="18"/>
  <c r="R35" i="16"/>
  <c r="F42" i="16"/>
  <c r="K20" i="18"/>
  <c r="T11" i="18"/>
  <c r="D28" i="16"/>
  <c r="R30" i="20"/>
  <c r="N29" i="6"/>
  <c r="M16" i="18"/>
  <c r="D37" i="16"/>
  <c r="K20" i="20"/>
  <c r="K10" i="20"/>
  <c r="M12" i="18"/>
  <c r="I12" i="18"/>
  <c r="S27" i="16"/>
  <c r="K30" i="13"/>
  <c r="AD28" i="20"/>
  <c r="K16" i="18"/>
  <c r="E19" i="16"/>
  <c r="I38" i="20"/>
  <c r="I30" i="6"/>
  <c r="AD20" i="20"/>
  <c r="K12" i="18"/>
  <c r="J12" i="18"/>
  <c r="L16" i="18"/>
  <c r="J16" i="18"/>
  <c r="L12" i="18"/>
  <c r="R36" i="20"/>
  <c r="N26" i="6"/>
  <c r="L30" i="5"/>
  <c r="R16" i="20"/>
  <c r="D32" i="16"/>
  <c r="H33" i="20"/>
  <c r="D30" i="16"/>
  <c r="H31" i="20"/>
  <c r="H23" i="20"/>
  <c r="D22" i="16"/>
  <c r="D34" i="16"/>
  <c r="H35" i="20"/>
  <c r="H11" i="20"/>
  <c r="D10" i="16"/>
  <c r="O24" i="20"/>
  <c r="N23" i="6"/>
  <c r="U50" i="18"/>
  <c r="U51" i="18"/>
  <c r="L18" i="18"/>
  <c r="K18" i="18"/>
  <c r="I18" i="18"/>
  <c r="M18" i="18"/>
  <c r="AD32" i="20"/>
  <c r="S31" i="16"/>
  <c r="J18" i="18"/>
  <c r="I7" i="18"/>
  <c r="S9" i="16"/>
  <c r="M7" i="18"/>
  <c r="L7" i="18"/>
  <c r="K7" i="18"/>
  <c r="AD10" i="20"/>
  <c r="J7" i="18"/>
  <c r="M11" i="18"/>
  <c r="J11" i="18"/>
  <c r="L11" i="18"/>
  <c r="K11" i="18"/>
  <c r="I11" i="18"/>
  <c r="S17" i="16"/>
  <c r="AD18" i="20"/>
  <c r="L6" i="18"/>
  <c r="K6" i="18"/>
  <c r="M6" i="18"/>
  <c r="I6" i="18"/>
  <c r="S7" i="16"/>
  <c r="AD8" i="20"/>
  <c r="J6" i="18"/>
  <c r="H30" i="6"/>
  <c r="E26" i="16"/>
  <c r="K27" i="20"/>
  <c r="R45" i="20"/>
  <c r="K31" i="20"/>
  <c r="E30" i="16"/>
  <c r="K21" i="20"/>
  <c r="E20" i="16"/>
  <c r="I58" i="20"/>
  <c r="A10" i="18"/>
  <c r="U10" i="18" s="1"/>
  <c r="M10" i="18"/>
  <c r="K10" i="18"/>
  <c r="L10" i="18"/>
  <c r="J10" i="18"/>
  <c r="S15" i="16"/>
  <c r="I10" i="18"/>
  <c r="AD16" i="20"/>
  <c r="E24" i="16"/>
  <c r="K25" i="20"/>
  <c r="E39" i="20"/>
  <c r="C38" i="16"/>
  <c r="R51" i="20"/>
  <c r="E10" i="16"/>
  <c r="K11" i="20"/>
  <c r="G37" i="18" l="1"/>
  <c r="G36" i="18"/>
  <c r="F41" i="18"/>
  <c r="E38" i="18"/>
  <c r="J47" i="18"/>
  <c r="H41" i="18"/>
  <c r="G38" i="18"/>
  <c r="G40" i="18"/>
  <c r="E40" i="18"/>
  <c r="A62" i="18"/>
  <c r="U63" i="18" s="1"/>
  <c r="K63" i="20"/>
  <c r="E64" i="16"/>
  <c r="K51" i="14"/>
  <c r="N51" i="6"/>
  <c r="O63" i="20"/>
  <c r="R63" i="20" s="1"/>
  <c r="K64" i="20"/>
  <c r="E65" i="16"/>
  <c r="K53" i="13"/>
  <c r="K52" i="14"/>
  <c r="S31" i="18"/>
  <c r="D66" i="16"/>
  <c r="K47" i="18"/>
  <c r="G39" i="18"/>
  <c r="E39" i="18"/>
  <c r="U55" i="18"/>
  <c r="O34" i="20"/>
  <c r="R34" i="20" s="1"/>
  <c r="L28" i="14"/>
  <c r="F34" i="16" s="1"/>
  <c r="K28" i="6"/>
  <c r="N34" i="20"/>
  <c r="Q34" i="20" s="1"/>
  <c r="O8" i="20"/>
  <c r="R8" i="20" s="1"/>
  <c r="AN14" i="20"/>
  <c r="AN12" i="20"/>
  <c r="Q56" i="20"/>
  <c r="G55" i="16"/>
  <c r="E53" i="16"/>
  <c r="L37" i="14"/>
  <c r="N52" i="20" s="1"/>
  <c r="O64" i="20"/>
  <c r="R64" i="20" s="1"/>
  <c r="N53" i="14"/>
  <c r="R47" i="18" s="1"/>
  <c r="T47" i="18" s="1"/>
  <c r="N52" i="6"/>
  <c r="E41" i="18"/>
  <c r="S17" i="18"/>
  <c r="E35" i="18"/>
  <c r="U53" i="18"/>
  <c r="O47" i="20"/>
  <c r="R47" i="20" s="1"/>
  <c r="N40" i="6"/>
  <c r="S13" i="18"/>
  <c r="Q8" i="20"/>
  <c r="G52" i="16"/>
  <c r="L15" i="14"/>
  <c r="N9" i="20" s="1"/>
  <c r="O22" i="20"/>
  <c r="R22" i="20" s="1"/>
  <c r="F7" i="16"/>
  <c r="G7" i="16" s="1"/>
  <c r="E8" i="16"/>
  <c r="K15" i="6"/>
  <c r="N20" i="20"/>
  <c r="Q20" i="20" s="1"/>
  <c r="E12" i="16"/>
  <c r="N21" i="20"/>
  <c r="F19" i="16"/>
  <c r="G19" i="16" s="1"/>
  <c r="K21" i="6"/>
  <c r="N51" i="20"/>
  <c r="Q51" i="20" s="1"/>
  <c r="F27" i="16"/>
  <c r="G27" i="16" s="1"/>
  <c r="N25" i="6"/>
  <c r="N28" i="20"/>
  <c r="Q28" i="20" s="1"/>
  <c r="L25" i="14"/>
  <c r="N29" i="20" s="1"/>
  <c r="N26" i="20"/>
  <c r="Q26" i="20" s="1"/>
  <c r="F25" i="16"/>
  <c r="G25" i="16" s="1"/>
  <c r="F50" i="16"/>
  <c r="G50" i="16" s="1"/>
  <c r="L24" i="14"/>
  <c r="F26" i="16" s="1"/>
  <c r="N21" i="6"/>
  <c r="K22" i="6"/>
  <c r="O26" i="20"/>
  <c r="R26" i="20" s="1"/>
  <c r="B9" i="9"/>
  <c r="A10" i="9"/>
  <c r="U57" i="18"/>
  <c r="F21" i="16"/>
  <c r="G21" i="16" s="1"/>
  <c r="Q18" i="20"/>
  <c r="N30" i="20"/>
  <c r="Q30" i="20" s="1"/>
  <c r="F30" i="16"/>
  <c r="K26" i="6"/>
  <c r="F29" i="16"/>
  <c r="G29" i="16" s="1"/>
  <c r="L22" i="14"/>
  <c r="Q22" i="20"/>
  <c r="S15" i="18"/>
  <c r="K17" i="20"/>
  <c r="K50" i="20"/>
  <c r="N17" i="6"/>
  <c r="K29" i="20"/>
  <c r="E18" i="16"/>
  <c r="R20" i="20"/>
  <c r="Q41" i="20"/>
  <c r="S28" i="18"/>
  <c r="A24" i="22"/>
  <c r="P24" i="22" s="1"/>
  <c r="G40" i="16"/>
  <c r="S8" i="18"/>
  <c r="A8" i="18" s="1"/>
  <c r="U8" i="18" s="1"/>
  <c r="U61" i="18"/>
  <c r="E51" i="16"/>
  <c r="K30" i="18"/>
  <c r="J30" i="18"/>
  <c r="M30" i="18"/>
  <c r="I30" i="18"/>
  <c r="L30" i="18"/>
  <c r="G44" i="16"/>
  <c r="L29" i="18"/>
  <c r="K29" i="18"/>
  <c r="I29" i="18"/>
  <c r="J29" i="18"/>
  <c r="M29" i="18"/>
  <c r="A28" i="18"/>
  <c r="U28" i="18" s="1"/>
  <c r="J27" i="18"/>
  <c r="M27" i="18"/>
  <c r="L27" i="18"/>
  <c r="I27" i="18"/>
  <c r="K27" i="18"/>
  <c r="K26" i="18"/>
  <c r="J26" i="18"/>
  <c r="M26" i="18"/>
  <c r="I26" i="18"/>
  <c r="L26" i="18"/>
  <c r="I25" i="18"/>
  <c r="K25" i="18"/>
  <c r="J25" i="18"/>
  <c r="M25" i="18"/>
  <c r="L25" i="18"/>
  <c r="L24" i="18"/>
  <c r="K24" i="18"/>
  <c r="I24" i="18"/>
  <c r="J24" i="18"/>
  <c r="M24" i="18"/>
  <c r="M23" i="18"/>
  <c r="K23" i="18"/>
  <c r="J23" i="18"/>
  <c r="I23" i="18"/>
  <c r="L23" i="18"/>
  <c r="N16" i="6"/>
  <c r="O10" i="20"/>
  <c r="R10" i="20" s="1"/>
  <c r="S46" i="16"/>
  <c r="AD47" i="20"/>
  <c r="L34" i="14"/>
  <c r="K34" i="6"/>
  <c r="N12" i="20"/>
  <c r="Q12" i="20" s="1"/>
  <c r="N45" i="20"/>
  <c r="Q45" i="20" s="1"/>
  <c r="A21" i="22"/>
  <c r="P21" i="22" s="1"/>
  <c r="K17" i="6"/>
  <c r="F12" i="16"/>
  <c r="F11" i="16"/>
  <c r="G11" i="16" s="1"/>
  <c r="N13" i="20"/>
  <c r="G46" i="16"/>
  <c r="AD53" i="20"/>
  <c r="S52" i="16"/>
  <c r="O41" i="20"/>
  <c r="R41" i="20" s="1"/>
  <c r="K37" i="20"/>
  <c r="Q47" i="20"/>
  <c r="R74" i="20"/>
  <c r="E14" i="16"/>
  <c r="Q43" i="20"/>
  <c r="G42" i="16"/>
  <c r="O18" i="20"/>
  <c r="R18" i="20" s="1"/>
  <c r="N20" i="6"/>
  <c r="R83" i="20"/>
  <c r="S40" i="16"/>
  <c r="AD41" i="20"/>
  <c r="R79" i="20"/>
  <c r="AD55" i="20"/>
  <c r="S54" i="16"/>
  <c r="R78" i="20"/>
  <c r="R77" i="20"/>
  <c r="R76" i="20"/>
  <c r="R24" i="20"/>
  <c r="E37" i="18"/>
  <c r="AD49" i="20"/>
  <c r="S48" i="16"/>
  <c r="C59" i="16"/>
  <c r="K75" i="4"/>
  <c r="E60" i="20"/>
  <c r="C90" i="16"/>
  <c r="F41" i="16"/>
  <c r="N42" i="20"/>
  <c r="D38" i="16"/>
  <c r="K42" i="5"/>
  <c r="K43" i="5" s="1"/>
  <c r="K76" i="5" s="1"/>
  <c r="K38" i="20"/>
  <c r="K41" i="13"/>
  <c r="G41" i="18"/>
  <c r="G35" i="18"/>
  <c r="S19" i="18"/>
  <c r="S44" i="16"/>
  <c r="AD45" i="20"/>
  <c r="K85" i="20"/>
  <c r="E87" i="16"/>
  <c r="R80" i="20"/>
  <c r="F72" i="16"/>
  <c r="M58" i="18"/>
  <c r="N70" i="20"/>
  <c r="K74" i="14"/>
  <c r="L84" i="20"/>
  <c r="N73" i="14"/>
  <c r="O84" i="20" s="1"/>
  <c r="S42" i="16"/>
  <c r="AD43" i="20"/>
  <c r="L73" i="20"/>
  <c r="Q62" i="18"/>
  <c r="N62" i="14"/>
  <c r="N74" i="13"/>
  <c r="L85" i="20" s="1"/>
  <c r="N87" i="13"/>
  <c r="F43" i="16"/>
  <c r="N44" i="20"/>
  <c r="L36" i="14"/>
  <c r="K36" i="6"/>
  <c r="F48" i="16"/>
  <c r="G48" i="16" s="1"/>
  <c r="N49" i="20"/>
  <c r="Q49" i="20" s="1"/>
  <c r="N57" i="20"/>
  <c r="F56" i="16"/>
  <c r="H58" i="20"/>
  <c r="D57" i="16"/>
  <c r="E34" i="16"/>
  <c r="L16" i="14"/>
  <c r="N11" i="20" s="1"/>
  <c r="S14" i="18"/>
  <c r="L29" i="14"/>
  <c r="N37" i="20" s="1"/>
  <c r="G31" i="16"/>
  <c r="E32" i="16"/>
  <c r="L30" i="13"/>
  <c r="K39" i="20" s="1"/>
  <c r="F13" i="16"/>
  <c r="G13" i="16" s="1"/>
  <c r="F23" i="16"/>
  <c r="G23" i="16" s="1"/>
  <c r="L19" i="14"/>
  <c r="K19" i="6"/>
  <c r="N16" i="20"/>
  <c r="Q16" i="20" s="1"/>
  <c r="K16" i="6"/>
  <c r="N10" i="20"/>
  <c r="Q10" i="20" s="1"/>
  <c r="N30" i="14"/>
  <c r="O38" i="20" s="1"/>
  <c r="R38" i="20" s="1"/>
  <c r="G9" i="16"/>
  <c r="N39" i="6"/>
  <c r="O32" i="20"/>
  <c r="R32" i="20" s="1"/>
  <c r="N24" i="20"/>
  <c r="Q24" i="20" s="1"/>
  <c r="L27" i="14"/>
  <c r="F32" i="16" s="1"/>
  <c r="L23" i="14"/>
  <c r="M30" i="6"/>
  <c r="N32" i="20"/>
  <c r="Q32" i="20" s="1"/>
  <c r="K27" i="6"/>
  <c r="N18" i="6"/>
  <c r="O14" i="20"/>
  <c r="R14" i="20" s="1"/>
  <c r="A18" i="18"/>
  <c r="U18" i="18" s="1"/>
  <c r="N41" i="13"/>
  <c r="L58" i="20" s="1"/>
  <c r="F17" i="16"/>
  <c r="G17" i="16" s="1"/>
  <c r="L20" i="14"/>
  <c r="N36" i="20"/>
  <c r="Q36" i="20" s="1"/>
  <c r="K29" i="6"/>
  <c r="S20" i="18"/>
  <c r="S9" i="18"/>
  <c r="A9" i="18" s="1"/>
  <c r="U9" i="18" s="1"/>
  <c r="K20" i="6"/>
  <c r="H39" i="20"/>
  <c r="L18" i="14"/>
  <c r="N14" i="20"/>
  <c r="Q14" i="20" s="1"/>
  <c r="K30" i="14"/>
  <c r="S16" i="18"/>
  <c r="S12" i="18"/>
  <c r="E37" i="16"/>
  <c r="S11" i="18"/>
  <c r="S6" i="18"/>
  <c r="A6" i="18" s="1"/>
  <c r="U6" i="18" s="1"/>
  <c r="S7" i="18"/>
  <c r="A7" i="18" s="1"/>
  <c r="U7" i="18" s="1"/>
  <c r="S18" i="18"/>
  <c r="S10" i="18"/>
  <c r="U62" i="18" l="1"/>
  <c r="N53" i="6"/>
  <c r="A31" i="18"/>
  <c r="U31" i="18" s="1"/>
  <c r="K51" i="6"/>
  <c r="N63" i="20"/>
  <c r="Q63" i="20" s="1"/>
  <c r="F64" i="16"/>
  <c r="G64" i="16" s="1"/>
  <c r="E66" i="16"/>
  <c r="L47" i="18"/>
  <c r="N64" i="20"/>
  <c r="Q64" i="20" s="1"/>
  <c r="F65" i="16"/>
  <c r="G65" i="16" s="1"/>
  <c r="K53" i="14"/>
  <c r="K52" i="6"/>
  <c r="K53" i="6" s="1"/>
  <c r="N35" i="20"/>
  <c r="F51" i="16"/>
  <c r="F8" i="16"/>
  <c r="F28" i="16"/>
  <c r="N27" i="20"/>
  <c r="A11" i="9"/>
  <c r="B10" i="9"/>
  <c r="F22" i="16"/>
  <c r="N23" i="20"/>
  <c r="S29" i="18"/>
  <c r="A29" i="18" s="1"/>
  <c r="U29" i="18" s="1"/>
  <c r="S26" i="18"/>
  <c r="A26" i="18" s="1"/>
  <c r="N46" i="20"/>
  <c r="F45" i="16"/>
  <c r="E88" i="20"/>
  <c r="N30" i="6"/>
  <c r="N41" i="6" s="1"/>
  <c r="S27" i="18"/>
  <c r="A27" i="18" s="1"/>
  <c r="F10" i="16"/>
  <c r="S23" i="18"/>
  <c r="A23" i="18" s="1"/>
  <c r="S30" i="18"/>
  <c r="A30" i="18" s="1"/>
  <c r="R84" i="20"/>
  <c r="F49" i="16"/>
  <c r="N50" i="20"/>
  <c r="E57" i="16"/>
  <c r="K58" i="20"/>
  <c r="R62" i="18"/>
  <c r="T62" i="18" s="1"/>
  <c r="O73" i="20"/>
  <c r="R73" i="20" s="1"/>
  <c r="N74" i="14"/>
  <c r="O85" i="20" s="1"/>
  <c r="N87" i="14"/>
  <c r="O93" i="20" s="1"/>
  <c r="G78" i="4"/>
  <c r="E87" i="20"/>
  <c r="C89" i="16"/>
  <c r="K75" i="5"/>
  <c r="H60" i="20"/>
  <c r="D59" i="16"/>
  <c r="S24" i="18"/>
  <c r="A24" i="18" s="1"/>
  <c r="D58" i="16"/>
  <c r="H59" i="20"/>
  <c r="F37" i="16"/>
  <c r="G37" i="16" s="1"/>
  <c r="K41" i="14"/>
  <c r="E38" i="16"/>
  <c r="K42" i="13"/>
  <c r="K43" i="13" s="1"/>
  <c r="K76" i="13" s="1"/>
  <c r="L93" i="20"/>
  <c r="N85" i="20"/>
  <c r="F87" i="16"/>
  <c r="S25" i="18"/>
  <c r="A25" i="18" s="1"/>
  <c r="F36" i="16"/>
  <c r="N19" i="20"/>
  <c r="N41" i="14"/>
  <c r="O58" i="20" s="1"/>
  <c r="R58" i="20" s="1"/>
  <c r="F16" i="16"/>
  <c r="N17" i="20"/>
  <c r="A22" i="18"/>
  <c r="U32" i="18" s="1"/>
  <c r="N15" i="20"/>
  <c r="K30" i="6"/>
  <c r="K41" i="6" s="1"/>
  <c r="N33" i="20"/>
  <c r="N25" i="20"/>
  <c r="A5" i="18"/>
  <c r="U5" i="18" s="1"/>
  <c r="F24" i="16"/>
  <c r="N38" i="20"/>
  <c r="Q38" i="20" s="1"/>
  <c r="F18" i="16"/>
  <c r="L30" i="14"/>
  <c r="F14" i="16"/>
  <c r="C35" i="18" l="1"/>
  <c r="U35" i="18" s="1"/>
  <c r="A47" i="18"/>
  <c r="U47" i="18" s="1"/>
  <c r="P87" i="13"/>
  <c r="A46" i="18"/>
  <c r="U48" i="18" s="1"/>
  <c r="F66" i="16"/>
  <c r="G66" i="16" s="1"/>
  <c r="M47" i="18"/>
  <c r="S47" i="18" s="1"/>
  <c r="B11" i="9"/>
  <c r="A12" i="9"/>
  <c r="U30" i="18"/>
  <c r="U27" i="18"/>
  <c r="U26" i="18"/>
  <c r="U25" i="18"/>
  <c r="U24" i="18"/>
  <c r="U23" i="18"/>
  <c r="P87" i="5"/>
  <c r="P87" i="2"/>
  <c r="R93" i="20" s="1"/>
  <c r="N84" i="6"/>
  <c r="P87" i="14"/>
  <c r="P87" i="4"/>
  <c r="E59" i="16"/>
  <c r="K75" i="13"/>
  <c r="K60" i="20"/>
  <c r="N58" i="20"/>
  <c r="Q58" i="20" s="1"/>
  <c r="F57" i="16"/>
  <c r="G57" i="16" s="1"/>
  <c r="E58" i="16"/>
  <c r="K59" i="20"/>
  <c r="G78" i="5"/>
  <c r="D89" i="16"/>
  <c r="H87" i="20"/>
  <c r="N39" i="20"/>
  <c r="K42" i="14"/>
  <c r="D90" i="16"/>
  <c r="H88" i="20"/>
  <c r="C91" i="16"/>
  <c r="E89" i="20"/>
  <c r="U22" i="18"/>
  <c r="U21" i="18"/>
  <c r="F38" i="16"/>
  <c r="U46" i="18" l="1"/>
  <c r="A13" i="9"/>
  <c r="B12" i="9"/>
  <c r="K87" i="20"/>
  <c r="G78" i="13"/>
  <c r="E89" i="16"/>
  <c r="D91" i="16"/>
  <c r="H89" i="20"/>
  <c r="F58" i="16"/>
  <c r="N59" i="20"/>
  <c r="E90" i="16"/>
  <c r="K88" i="20"/>
  <c r="K43" i="14"/>
  <c r="K76" i="14" s="1"/>
  <c r="A14" i="9" l="1"/>
  <c r="B13" i="9"/>
  <c r="N60" i="20"/>
  <c r="K75" i="14"/>
  <c r="F59" i="16"/>
  <c r="E91" i="16"/>
  <c r="K89" i="20"/>
  <c r="B14" i="9" l="1"/>
  <c r="A15" i="9"/>
  <c r="F90" i="16"/>
  <c r="N88" i="20"/>
  <c r="N87" i="20"/>
  <c r="G78" i="14"/>
  <c r="F89" i="16"/>
  <c r="B15" i="9" l="1"/>
  <c r="A16" i="9"/>
  <c r="N89" i="20"/>
  <c r="F91" i="16"/>
  <c r="A17" i="9" l="1"/>
  <c r="B16" i="9"/>
  <c r="B17" i="9" l="1"/>
  <c r="A18" i="9"/>
  <c r="B18" i="9" l="1"/>
  <c r="A19" i="9"/>
  <c r="B19" i="9" l="1"/>
  <c r="A20" i="9"/>
  <c r="B20" i="9" l="1"/>
  <c r="A21" i="9"/>
  <c r="A22" i="9" l="1"/>
  <c r="B21" i="9"/>
  <c r="A23" i="9" l="1"/>
  <c r="B22" i="9"/>
  <c r="B23" i="9" l="1"/>
  <c r="A24" i="9"/>
  <c r="A25" i="9" l="1"/>
  <c r="B24" i="9"/>
  <c r="B25" i="9" l="1"/>
  <c r="A26" i="9"/>
  <c r="B26" i="9" l="1"/>
  <c r="A27" i="9"/>
  <c r="B27" i="9" l="1"/>
  <c r="A28" i="9"/>
  <c r="A29" i="9" l="1"/>
  <c r="B28" i="9"/>
  <c r="A30" i="9" l="1"/>
  <c r="B29" i="9"/>
  <c r="B30" i="9" l="1"/>
  <c r="A31" i="9"/>
  <c r="B31" i="9" l="1"/>
  <c r="A32" i="9"/>
  <c r="A33" i="9" l="1"/>
  <c r="B32" i="9"/>
  <c r="A34" i="9" l="1"/>
  <c r="B33" i="9"/>
  <c r="B34" i="9" l="1"/>
  <c r="A35" i="9"/>
  <c r="B35" i="9" l="1"/>
  <c r="A36" i="9"/>
  <c r="A37" i="9" l="1"/>
  <c r="B36" i="9"/>
  <c r="B37" i="9" l="1"/>
  <c r="A38" i="9"/>
  <c r="B38" i="9" l="1"/>
  <c r="A39" i="9"/>
  <c r="A40" i="9" l="1"/>
  <c r="B39" i="9"/>
  <c r="A41" i="9" l="1"/>
  <c r="B40" i="9"/>
  <c r="B41" i="9" l="1"/>
  <c r="A42" i="9"/>
  <c r="B42" i="9" l="1"/>
  <c r="A43" i="9"/>
  <c r="B43" i="9" l="1"/>
  <c r="A44" i="9"/>
  <c r="A45" i="9" l="1"/>
  <c r="B44" i="9"/>
  <c r="B45" i="9" l="1"/>
  <c r="A46" i="9"/>
  <c r="B46" i="9" l="1"/>
  <c r="A47" i="9"/>
  <c r="B47" i="9" l="1"/>
  <c r="A48" i="9"/>
  <c r="A49" i="9" l="1"/>
  <c r="B48" i="9"/>
  <c r="B49" i="9" l="1"/>
  <c r="A50" i="9"/>
  <c r="B50" i="9" l="1"/>
  <c r="A51" i="9"/>
  <c r="B51" i="9" l="1"/>
  <c r="A52" i="9"/>
  <c r="A53" i="9" l="1"/>
  <c r="B52" i="9"/>
  <c r="A54" i="9" l="1"/>
  <c r="B53" i="9"/>
  <c r="B54" i="9" l="1"/>
  <c r="A55" i="9"/>
  <c r="A56" i="9" l="1"/>
  <c r="B55" i="9"/>
  <c r="B56" i="9" l="1"/>
  <c r="A57" i="9"/>
  <c r="A58" i="9" l="1"/>
  <c r="B57" i="9"/>
  <c r="A59" i="9" l="1"/>
  <c r="B58" i="9"/>
  <c r="B59" i="9" l="1"/>
  <c r="A60" i="9"/>
  <c r="A61" i="9" l="1"/>
  <c r="B60" i="9"/>
  <c r="B61" i="9" l="1"/>
  <c r="A62" i="9"/>
  <c r="B62" i="9" l="1"/>
  <c r="A63" i="9"/>
  <c r="A64" i="9" l="1"/>
  <c r="B63" i="9"/>
  <c r="B64" i="9" l="1"/>
  <c r="A65" i="9"/>
  <c r="B65" i="9" l="1"/>
  <c r="A66" i="9"/>
  <c r="A67" i="9" l="1"/>
  <c r="B66" i="9"/>
  <c r="A68" i="9" l="1"/>
  <c r="B67" i="9"/>
  <c r="B68" i="9" l="1"/>
  <c r="A69" i="9"/>
  <c r="A70" i="9" l="1"/>
  <c r="B69" i="9"/>
  <c r="B70" i="9" l="1"/>
  <c r="A71" i="9"/>
  <c r="B71" i="9" l="1"/>
  <c r="A72" i="9"/>
  <c r="B72" i="9" l="1"/>
  <c r="A73" i="9"/>
  <c r="A74" i="9" l="1"/>
  <c r="B73" i="9"/>
  <c r="A75" i="9" l="1"/>
  <c r="B74" i="9"/>
  <c r="B75" i="9" l="1"/>
  <c r="A76" i="9"/>
  <c r="A77" i="9" l="1"/>
  <c r="B76" i="9"/>
  <c r="A78" i="9" l="1"/>
  <c r="B77" i="9"/>
  <c r="B78" i="9" l="1"/>
  <c r="A79" i="9"/>
  <c r="B79" i="9" l="1"/>
  <c r="A80" i="9"/>
  <c r="B80" i="9" l="1"/>
  <c r="A81" i="9"/>
  <c r="A82" i="9" l="1"/>
  <c r="B81" i="9"/>
  <c r="A83" i="9" l="1"/>
  <c r="B82" i="9"/>
  <c r="B83" i="9" l="1"/>
  <c r="A84" i="9"/>
  <c r="B84" i="9" l="1"/>
  <c r="A85" i="9"/>
  <c r="A86" i="9" l="1"/>
  <c r="B85" i="9"/>
  <c r="B86" i="9" l="1"/>
  <c r="A87" i="9"/>
  <c r="B87" i="9" l="1"/>
  <c r="A88" i="9"/>
  <c r="B88" i="9" l="1"/>
  <c r="A89" i="9"/>
  <c r="B89" i="9" l="1"/>
  <c r="A90" i="9"/>
  <c r="B90" i="9" l="1"/>
  <c r="A91" i="9"/>
  <c r="A92" i="9" l="1"/>
  <c r="B91" i="9"/>
  <c r="A93" i="9" l="1"/>
  <c r="B92" i="9"/>
  <c r="A94" i="9" l="1"/>
  <c r="B93" i="9"/>
  <c r="B94" i="9" l="1"/>
  <c r="A95" i="9"/>
  <c r="B95" i="9" l="1"/>
  <c r="A96" i="9"/>
  <c r="A97" i="9" l="1"/>
  <c r="B96" i="9"/>
  <c r="B97" i="9" l="1"/>
  <c r="A98" i="9"/>
  <c r="B98" i="9" l="1"/>
  <c r="A99" i="9"/>
  <c r="B99" i="9" l="1"/>
  <c r="A100" i="9"/>
  <c r="A101" i="9" l="1"/>
  <c r="B100" i="9"/>
  <c r="B101" i="9" l="1"/>
  <c r="A102" i="9"/>
  <c r="A103" i="9" l="1"/>
  <c r="B102" i="9"/>
  <c r="A104" i="9" l="1"/>
  <c r="B103" i="9"/>
  <c r="B104" i="9" l="1"/>
  <c r="A105" i="9"/>
  <c r="B105" i="9" l="1"/>
  <c r="A106" i="9"/>
  <c r="A107" i="9" l="1"/>
  <c r="B106" i="9"/>
  <c r="A108" i="9" l="1"/>
  <c r="B107" i="9"/>
  <c r="B108" i="9" l="1"/>
  <c r="A109" i="9"/>
  <c r="B109" i="9" l="1"/>
  <c r="A110" i="9"/>
  <c r="B110" i="9" l="1"/>
  <c r="A111" i="9"/>
  <c r="A112" i="9" l="1"/>
  <c r="B111" i="9"/>
  <c r="B112" i="9" l="1"/>
  <c r="A113" i="9"/>
  <c r="B113" i="9" l="1"/>
  <c r="A114" i="9"/>
  <c r="A115" i="9" l="1"/>
  <c r="B114" i="9"/>
  <c r="A116" i="9" l="1"/>
  <c r="B115" i="9"/>
  <c r="A117" i="9" l="1"/>
  <c r="B116" i="9"/>
  <c r="B117" i="9" l="1"/>
  <c r="A118" i="9"/>
  <c r="B118" i="9" l="1"/>
  <c r="A119" i="9"/>
  <c r="A120" i="9" l="1"/>
  <c r="B119" i="9"/>
  <c r="B120" i="9" l="1"/>
  <c r="A121" i="9"/>
  <c r="A122" i="9" l="1"/>
  <c r="B121" i="9"/>
  <c r="A123" i="9" l="1"/>
  <c r="B122" i="9"/>
  <c r="B123" i="9" l="1"/>
  <c r="A124" i="9"/>
  <c r="B124" i="9" l="1"/>
  <c r="A125" i="9"/>
  <c r="A126" i="9" l="1"/>
  <c r="B125" i="9"/>
  <c r="A127" i="9" l="1"/>
  <c r="B126" i="9"/>
  <c r="A128" i="9" l="1"/>
  <c r="B127" i="9"/>
  <c r="B128" i="9" l="1"/>
  <c r="A129" i="9"/>
  <c r="A130" i="9" l="1"/>
  <c r="B129" i="9"/>
  <c r="A131" i="9" l="1"/>
  <c r="B130" i="9"/>
  <c r="A132" i="9" l="1"/>
  <c r="B131" i="9"/>
  <c r="A133" i="9" l="1"/>
  <c r="B132" i="9"/>
  <c r="A134" i="9" l="1"/>
  <c r="B133" i="9"/>
  <c r="B134" i="9" l="1"/>
  <c r="A135" i="9"/>
  <c r="B135" i="9" l="1"/>
  <c r="A136" i="9"/>
  <c r="A137" i="9" l="1"/>
  <c r="B136" i="9"/>
  <c r="A138" i="9" l="1"/>
  <c r="B137" i="9"/>
  <c r="A139" i="9" l="1"/>
  <c r="B138" i="9"/>
  <c r="B139" i="9" l="1"/>
  <c r="A140" i="9"/>
  <c r="B140" i="9" l="1"/>
  <c r="A141" i="9"/>
  <c r="B141" i="9" l="1"/>
  <c r="A142" i="9"/>
  <c r="B142" i="9" l="1"/>
  <c r="A143" i="9"/>
  <c r="A144" i="9" l="1"/>
  <c r="B143" i="9"/>
  <c r="B144" i="9" l="1"/>
  <c r="A145" i="9"/>
  <c r="B145" i="9" l="1"/>
  <c r="A146" i="9"/>
  <c r="B146" i="9" l="1"/>
  <c r="A147" i="9"/>
  <c r="B147" i="9" l="1"/>
  <c r="A148" i="9"/>
  <c r="B148" i="9" l="1"/>
  <c r="A149" i="9"/>
  <c r="B149" i="9" l="1"/>
  <c r="A150" i="9"/>
  <c r="B150" i="9" l="1"/>
  <c r="A151" i="9"/>
  <c r="B151" i="9" l="1"/>
  <c r="A152" i="9"/>
  <c r="B152" i="9" l="1"/>
  <c r="A153" i="9"/>
  <c r="B153" i="9" l="1"/>
  <c r="A154" i="9"/>
  <c r="B154" i="9" l="1"/>
  <c r="A155" i="9"/>
  <c r="A156" i="9" l="1"/>
  <c r="B155" i="9"/>
  <c r="A157" i="9" l="1"/>
  <c r="A158" i="9" s="1"/>
  <c r="B156" i="9"/>
  <c r="A159" i="9" l="1"/>
  <c r="B158" i="9"/>
  <c r="B157" i="9"/>
  <c r="A160" i="9" l="1"/>
  <c r="B159" i="9"/>
  <c r="B160" i="9" l="1"/>
  <c r="A161" i="9"/>
  <c r="A162" i="9" l="1"/>
  <c r="B161" i="9"/>
  <c r="A163" i="9" l="1"/>
  <c r="B162" i="9"/>
  <c r="B163" i="9" l="1"/>
  <c r="A164" i="9"/>
  <c r="B164" i="9" l="1"/>
  <c r="A165" i="9"/>
  <c r="B165" i="9" l="1"/>
  <c r="A166" i="9"/>
  <c r="A167" i="9" l="1"/>
  <c r="B166" i="9"/>
  <c r="B167" i="9" l="1"/>
  <c r="A168" i="9"/>
  <c r="B168" i="9" l="1"/>
  <c r="A169" i="9"/>
  <c r="B169" i="9" l="1"/>
  <c r="A170" i="9"/>
  <c r="B170" i="9" l="1"/>
  <c r="A171" i="9"/>
  <c r="A172" i="9" l="1"/>
  <c r="B171" i="9"/>
  <c r="A173" i="9" l="1"/>
  <c r="B172" i="9"/>
  <c r="A174" i="9" l="1"/>
  <c r="B173" i="9"/>
  <c r="A175" i="9" l="1"/>
  <c r="B174" i="9"/>
  <c r="B175" i="9" l="1"/>
  <c r="A176" i="9"/>
  <c r="A177" i="9" l="1"/>
  <c r="B176" i="9"/>
  <c r="A178" i="9" l="1"/>
  <c r="B177" i="9"/>
  <c r="B178" i="9" l="1"/>
  <c r="A179" i="9"/>
  <c r="A180" i="9" l="1"/>
  <c r="B179" i="9"/>
  <c r="A181" i="9" l="1"/>
  <c r="B180" i="9"/>
  <c r="A182" i="9" l="1"/>
  <c r="B181" i="9"/>
  <c r="B182" i="9" l="1"/>
  <c r="A183" i="9"/>
  <c r="A184" i="9" l="1"/>
  <c r="B183" i="9"/>
  <c r="A185" i="9" l="1"/>
  <c r="B184" i="9"/>
  <c r="A186" i="9" l="1"/>
  <c r="B185" i="9"/>
  <c r="A187" i="9" l="1"/>
  <c r="B186" i="9"/>
  <c r="B187" i="9" l="1"/>
  <c r="A188" i="9"/>
  <c r="B188" i="9" l="1"/>
  <c r="A189" i="9"/>
  <c r="B189" i="9" l="1"/>
  <c r="A190" i="9"/>
  <c r="B190" i="9" l="1"/>
  <c r="A191" i="9"/>
  <c r="A192" i="9" l="1"/>
  <c r="B191" i="9"/>
  <c r="B192" i="9" l="1"/>
  <c r="A193" i="9"/>
  <c r="A194" i="9" l="1"/>
  <c r="B193" i="9"/>
  <c r="B194" i="9" l="1"/>
  <c r="A195" i="9"/>
  <c r="B195" i="9" l="1"/>
  <c r="A196" i="9"/>
  <c r="A197" i="9" l="1"/>
  <c r="B196" i="9"/>
  <c r="B197" i="9" l="1"/>
  <c r="A198" i="9"/>
  <c r="B198" i="9" l="1"/>
  <c r="A199" i="9"/>
  <c r="A200" i="9" l="1"/>
  <c r="B199" i="9"/>
  <c r="B200" i="9" l="1"/>
  <c r="A201" i="9"/>
  <c r="A202" i="9" l="1"/>
  <c r="B201" i="9"/>
  <c r="B202" i="9" l="1"/>
  <c r="A203" i="9"/>
  <c r="A204" i="9" l="1"/>
  <c r="B203" i="9"/>
  <c r="B204" i="9" l="1"/>
  <c r="A205" i="9"/>
  <c r="B205" i="9" l="1"/>
  <c r="A206" i="9"/>
  <c r="B206" i="9" l="1"/>
  <c r="A207" i="9"/>
  <c r="A208" i="9" l="1"/>
  <c r="B207" i="9"/>
  <c r="A209" i="9" l="1"/>
  <c r="B208" i="9"/>
  <c r="B209" i="9" l="1"/>
  <c r="A210" i="9"/>
  <c r="B210" i="9" l="1"/>
  <c r="A211" i="9"/>
  <c r="A212" i="9" l="1"/>
  <c r="B211" i="9"/>
  <c r="B212" i="9" l="1"/>
  <c r="A213" i="9"/>
  <c r="A214" i="9" l="1"/>
  <c r="B213" i="9"/>
  <c r="A215" i="9" l="1"/>
  <c r="B214" i="9"/>
  <c r="B215" i="9" l="1"/>
  <c r="A216" i="9"/>
  <c r="A217" i="9" l="1"/>
  <c r="B216" i="9"/>
  <c r="A218" i="9" l="1"/>
  <c r="B217" i="9"/>
  <c r="B218" i="9" l="1"/>
  <c r="A219" i="9"/>
  <c r="A220" i="9" l="1"/>
  <c r="B219" i="9"/>
  <c r="A221" i="9" l="1"/>
  <c r="B220" i="9"/>
  <c r="A222" i="9" l="1"/>
  <c r="B221" i="9"/>
  <c r="A223" i="9" l="1"/>
  <c r="B222" i="9"/>
  <c r="A224" i="9" l="1"/>
  <c r="B223" i="9"/>
  <c r="A225" i="9" l="1"/>
  <c r="B224" i="9"/>
  <c r="A226" i="9" l="1"/>
  <c r="B225" i="9"/>
  <c r="A227" i="9" l="1"/>
  <c r="B226" i="9"/>
  <c r="A228" i="9" l="1"/>
  <c r="B227" i="9"/>
  <c r="A229" i="9" l="1"/>
  <c r="B228" i="9"/>
  <c r="A230" i="9" l="1"/>
  <c r="B229" i="9"/>
  <c r="A231" i="9" l="1"/>
  <c r="B230" i="9"/>
  <c r="A232" i="9" l="1"/>
  <c r="B231" i="9"/>
  <c r="A233" i="9" l="1"/>
  <c r="B232" i="9"/>
  <c r="B233" i="9" l="1"/>
  <c r="A234" i="9"/>
  <c r="A235" i="9" l="1"/>
  <c r="B234" i="9"/>
  <c r="A236" i="9" l="1"/>
  <c r="B235" i="9"/>
  <c r="A237" i="9" l="1"/>
  <c r="B236" i="9"/>
  <c r="A238" i="9" l="1"/>
  <c r="B237" i="9"/>
  <c r="A239" i="9" l="1"/>
  <c r="B238" i="9"/>
  <c r="A240" i="9" l="1"/>
  <c r="B239" i="9"/>
  <c r="A241" i="9" l="1"/>
  <c r="B240" i="9"/>
  <c r="A242" i="9" l="1"/>
  <c r="B241" i="9"/>
  <c r="A243" i="9" l="1"/>
  <c r="B242" i="9"/>
  <c r="A244" i="9" l="1"/>
  <c r="B243" i="9"/>
  <c r="A245" i="9" l="1"/>
  <c r="B244" i="9"/>
  <c r="A246" i="9" l="1"/>
  <c r="B245" i="9"/>
  <c r="A247" i="9" l="1"/>
  <c r="B246" i="9"/>
  <c r="B247" i="9" l="1"/>
  <c r="A248" i="9"/>
  <c r="A249" i="9" l="1"/>
  <c r="B248" i="9"/>
  <c r="A250" i="9" l="1"/>
  <c r="B249" i="9"/>
  <c r="A251" i="9" l="1"/>
  <c r="B250" i="9"/>
  <c r="A252" i="9" l="1"/>
  <c r="B251" i="9"/>
  <c r="A253" i="9" l="1"/>
  <c r="B252" i="9"/>
  <c r="A254" i="9" l="1"/>
  <c r="B253" i="9"/>
  <c r="B254" i="9" l="1"/>
  <c r="A255" i="9"/>
  <c r="A256" i="9" l="1"/>
  <c r="B255" i="9"/>
  <c r="A257" i="9" l="1"/>
  <c r="B256" i="9"/>
  <c r="B257" i="9" l="1"/>
  <c r="A258" i="9"/>
  <c r="A259" i="9" l="1"/>
  <c r="B258" i="9"/>
  <c r="B259" i="9" l="1"/>
  <c r="A260" i="9"/>
  <c r="B260" i="9" l="1"/>
  <c r="A261" i="9"/>
  <c r="A262" i="9" l="1"/>
  <c r="B261" i="9"/>
  <c r="B262" i="9" l="1"/>
  <c r="A263" i="9"/>
  <c r="B263" i="9" l="1"/>
  <c r="A264" i="9"/>
  <c r="B264" i="9" l="1"/>
  <c r="A265" i="9"/>
  <c r="A266" i="9" l="1"/>
  <c r="B265" i="9"/>
  <c r="B266" i="9" l="1"/>
  <c r="A267" i="9"/>
  <c r="B267" i="9" l="1"/>
  <c r="A268" i="9"/>
  <c r="B268" i="9" l="1"/>
  <c r="A269" i="9"/>
  <c r="B269" i="9" l="1"/>
  <c r="A270" i="9"/>
  <c r="A271" i="9" l="1"/>
  <c r="B270" i="9"/>
  <c r="A272" i="9" l="1"/>
  <c r="B271" i="9"/>
  <c r="B272" i="9" l="1"/>
  <c r="A273" i="9"/>
  <c r="A274" i="9" l="1"/>
  <c r="B273" i="9"/>
  <c r="A275" i="9" l="1"/>
  <c r="B274" i="9"/>
  <c r="A276" i="9" l="1"/>
  <c r="B275" i="9"/>
  <c r="A277" i="9" l="1"/>
  <c r="B276" i="9"/>
  <c r="B277" i="9" l="1"/>
  <c r="A278" i="9"/>
  <c r="A279" i="9" l="1"/>
  <c r="B278" i="9"/>
  <c r="A280" i="9" l="1"/>
  <c r="B279" i="9"/>
  <c r="A281" i="9" l="1"/>
  <c r="B280" i="9"/>
  <c r="A282" i="9" l="1"/>
  <c r="B281" i="9"/>
  <c r="A283" i="9" l="1"/>
  <c r="B282" i="9"/>
  <c r="A284" i="9" l="1"/>
  <c r="B283" i="9"/>
  <c r="A285" i="9" l="1"/>
  <c r="B284" i="9"/>
  <c r="A286" i="9" l="1"/>
  <c r="B285" i="9"/>
  <c r="A287" i="9" l="1"/>
  <c r="B286" i="9"/>
  <c r="A288" i="9" l="1"/>
  <c r="B287" i="9"/>
  <c r="A289" i="9" l="1"/>
  <c r="B288" i="9"/>
  <c r="A290" i="9" l="1"/>
  <c r="B289" i="9"/>
  <c r="B290" i="9" l="1"/>
  <c r="A291" i="9"/>
  <c r="A292" i="9" l="1"/>
  <c r="B291" i="9"/>
  <c r="B292" i="9" l="1"/>
  <c r="A293" i="9"/>
  <c r="A294" i="9" l="1"/>
  <c r="B293" i="9"/>
  <c r="A295" i="9" l="1"/>
  <c r="B294" i="9"/>
  <c r="A296" i="9" l="1"/>
  <c r="B295" i="9"/>
  <c r="A297" i="9" l="1"/>
  <c r="B296" i="9"/>
  <c r="A298" i="9" l="1"/>
  <c r="B297" i="9"/>
  <c r="A299" i="9" l="1"/>
  <c r="B298" i="9"/>
  <c r="A300" i="9" l="1"/>
  <c r="B299" i="9"/>
  <c r="A301" i="9" l="1"/>
  <c r="B300" i="9"/>
  <c r="A302" i="9" l="1"/>
  <c r="B301" i="9"/>
  <c r="B302" i="9" l="1"/>
  <c r="A303" i="9"/>
  <c r="A304" i="9" l="1"/>
  <c r="B303" i="9"/>
  <c r="A305" i="9" l="1"/>
  <c r="B304" i="9"/>
  <c r="B305" i="9" l="1"/>
  <c r="A306" i="9"/>
  <c r="B306" i="9" l="1"/>
  <c r="A307" i="9"/>
  <c r="A308" i="9" l="1"/>
  <c r="B307" i="9"/>
  <c r="A309" i="9" l="1"/>
  <c r="B308" i="9"/>
  <c r="A310" i="9" l="1"/>
  <c r="B309" i="9"/>
  <c r="A311" i="9" l="1"/>
  <c r="B310" i="9"/>
  <c r="A312" i="9" l="1"/>
  <c r="B311" i="9"/>
  <c r="A313" i="9" l="1"/>
  <c r="B312" i="9"/>
  <c r="B313" i="9" l="1"/>
  <c r="A314" i="9"/>
  <c r="A315" i="9" l="1"/>
  <c r="B314" i="9"/>
  <c r="A316" i="9" l="1"/>
  <c r="B315" i="9"/>
  <c r="A317" i="9" l="1"/>
  <c r="B316" i="9"/>
  <c r="A318" i="9" l="1"/>
  <c r="B317" i="9"/>
  <c r="A319" i="9" l="1"/>
  <c r="B318" i="9"/>
  <c r="A320" i="9" l="1"/>
  <c r="B319" i="9"/>
  <c r="A321" i="9" l="1"/>
  <c r="B320" i="9"/>
  <c r="A322" i="9" l="1"/>
  <c r="B321" i="9"/>
  <c r="A323" i="9" l="1"/>
  <c r="B322" i="9"/>
  <c r="A324" i="9" l="1"/>
  <c r="B323" i="9"/>
  <c r="B324" i="9" l="1"/>
  <c r="A325" i="9"/>
  <c r="A326" i="9" l="1"/>
  <c r="B325" i="9"/>
  <c r="A327" i="9" l="1"/>
  <c r="B326" i="9"/>
  <c r="B327" i="9" l="1"/>
  <c r="A328" i="9"/>
  <c r="B328" i="9" l="1"/>
  <c r="A329" i="9"/>
  <c r="A330" i="9" l="1"/>
  <c r="B329" i="9"/>
  <c r="A331" i="9" l="1"/>
  <c r="B330" i="9"/>
  <c r="A332" i="9" l="1"/>
  <c r="B331" i="9"/>
  <c r="A333" i="9" l="1"/>
  <c r="B332" i="9"/>
  <c r="A334" i="9" l="1"/>
  <c r="B333" i="9"/>
  <c r="A335" i="9" l="1"/>
  <c r="B334" i="9"/>
  <c r="A336" i="9" l="1"/>
  <c r="B335" i="9"/>
  <c r="A337" i="9" l="1"/>
  <c r="B336" i="9"/>
  <c r="A338" i="9" l="1"/>
  <c r="B337" i="9"/>
  <c r="B338" i="9" l="1"/>
  <c r="A339" i="9"/>
  <c r="A340" i="9" l="1"/>
  <c r="B339" i="9"/>
  <c r="A341" i="9" l="1"/>
  <c r="B340" i="9"/>
  <c r="A342" i="9" l="1"/>
  <c r="B341" i="9"/>
  <c r="A343" i="9" l="1"/>
  <c r="B342" i="9"/>
  <c r="B343" i="9" l="1"/>
  <c r="A344" i="9"/>
  <c r="A345" i="9" l="1"/>
  <c r="B344" i="9"/>
  <c r="B345" i="9" l="1"/>
  <c r="A346" i="9"/>
  <c r="A347" i="9" l="1"/>
  <c r="B346" i="9"/>
  <c r="A348" i="9" l="1"/>
  <c r="B347" i="9"/>
  <c r="A349" i="9" l="1"/>
  <c r="B348" i="9"/>
  <c r="A350" i="9" l="1"/>
  <c r="B349" i="9"/>
  <c r="A351" i="9" l="1"/>
  <c r="B350" i="9"/>
  <c r="A352" i="9" l="1"/>
  <c r="B351" i="9"/>
  <c r="A353" i="9" l="1"/>
  <c r="B352" i="9"/>
  <c r="B353" i="9" l="1"/>
  <c r="A354" i="9"/>
  <c r="A355" i="9" l="1"/>
  <c r="B354" i="9"/>
  <c r="A356" i="9" l="1"/>
  <c r="B355" i="9"/>
  <c r="A357" i="9" l="1"/>
  <c r="B356" i="9"/>
  <c r="A358" i="9" l="1"/>
  <c r="B357" i="9"/>
  <c r="A359" i="9" l="1"/>
  <c r="B358" i="9"/>
  <c r="A360" i="9" l="1"/>
  <c r="B359" i="9"/>
  <c r="A361" i="9" l="1"/>
  <c r="B360" i="9"/>
  <c r="A362" i="9" l="1"/>
  <c r="B361" i="9"/>
  <c r="A363" i="9" l="1"/>
  <c r="B362" i="9"/>
  <c r="A364" i="9" l="1"/>
  <c r="B363" i="9"/>
  <c r="A365" i="9" l="1"/>
  <c r="B364" i="9"/>
  <c r="A366" i="9" l="1"/>
  <c r="B365" i="9"/>
  <c r="A367" i="9" l="1"/>
  <c r="B366" i="9"/>
  <c r="A368" i="9" l="1"/>
  <c r="B367" i="9"/>
  <c r="B368" i="9" l="1"/>
  <c r="A369" i="9"/>
  <c r="A370" i="9" l="1"/>
  <c r="B369" i="9"/>
  <c r="A371" i="9" l="1"/>
  <c r="B370" i="9"/>
  <c r="A372" i="9" l="1"/>
  <c r="B371" i="9"/>
  <c r="A373" i="9" l="1"/>
  <c r="B372" i="9"/>
  <c r="A374" i="9" l="1"/>
  <c r="B373" i="9"/>
  <c r="B374" i="9" l="1"/>
  <c r="A375" i="9"/>
  <c r="B375" i="9" l="1"/>
  <c r="A376" i="9"/>
  <c r="A377" i="9" l="1"/>
  <c r="B376" i="9"/>
  <c r="A378" i="9" l="1"/>
  <c r="B377" i="9"/>
  <c r="A379" i="9" l="1"/>
  <c r="B378" i="9"/>
  <c r="A380" i="9" l="1"/>
  <c r="B379" i="9"/>
  <c r="A381" i="9" l="1"/>
  <c r="B380" i="9"/>
  <c r="A382" i="9" l="1"/>
  <c r="B381" i="9"/>
  <c r="A383" i="9" l="1"/>
  <c r="B382" i="9"/>
  <c r="B383" i="9" l="1"/>
  <c r="A384" i="9"/>
  <c r="A385" i="9" l="1"/>
  <c r="B384" i="9"/>
  <c r="A386" i="9" l="1"/>
  <c r="B385" i="9"/>
  <c r="A387" i="9" l="1"/>
  <c r="B386" i="9"/>
  <c r="A388" i="9" l="1"/>
  <c r="B387" i="9"/>
  <c r="A389" i="9" l="1"/>
  <c r="B388" i="9"/>
  <c r="A390" i="9" l="1"/>
  <c r="B389" i="9"/>
  <c r="A391" i="9" l="1"/>
  <c r="B390" i="9"/>
  <c r="A392" i="9" l="1"/>
  <c r="B391" i="9"/>
  <c r="A393" i="9" l="1"/>
  <c r="B392" i="9"/>
  <c r="A394" i="9" l="1"/>
  <c r="B393" i="9"/>
  <c r="A395" i="9" l="1"/>
  <c r="B394" i="9"/>
  <c r="A396" i="9" l="1"/>
  <c r="B395" i="9"/>
  <c r="A397" i="9" l="1"/>
  <c r="B396" i="9"/>
  <c r="A398" i="9" l="1"/>
  <c r="B397" i="9"/>
  <c r="A399" i="9" l="1"/>
  <c r="B398" i="9"/>
  <c r="A400" i="9" l="1"/>
  <c r="B399" i="9"/>
  <c r="A401" i="9" l="1"/>
  <c r="B400" i="9"/>
  <c r="A402" i="9" l="1"/>
  <c r="B401" i="9"/>
  <c r="A403" i="9" l="1"/>
  <c r="B402" i="9"/>
  <c r="A404" i="9" l="1"/>
  <c r="B403" i="9"/>
  <c r="A405" i="9" l="1"/>
  <c r="B404" i="9"/>
  <c r="B405" i="9" l="1"/>
  <c r="A406" i="9"/>
  <c r="A407" i="9" l="1"/>
  <c r="B406" i="9"/>
  <c r="A408" i="9" l="1"/>
  <c r="B407" i="9"/>
  <c r="L28" i="2"/>
  <c r="L27" i="2"/>
  <c r="O40" i="2"/>
  <c r="O28" i="2"/>
  <c r="O23" i="2"/>
  <c r="L29" i="2"/>
  <c r="O17" i="5"/>
  <c r="I13" i="20" s="1"/>
  <c r="O19" i="4"/>
  <c r="F17" i="20" s="1"/>
  <c r="O40" i="5"/>
  <c r="I57" i="20" s="1"/>
  <c r="O27" i="4"/>
  <c r="F33" i="20" s="1"/>
  <c r="O28" i="5"/>
  <c r="I35" i="20" s="1"/>
  <c r="O40" i="13"/>
  <c r="L57" i="20" s="1"/>
  <c r="O28" i="13"/>
  <c r="L35" i="20" s="1"/>
  <c r="O15" i="14"/>
  <c r="O19" i="14"/>
  <c r="O17" i="20" s="1"/>
  <c r="O26" i="14"/>
  <c r="O31" i="20" s="1"/>
  <c r="O21" i="14"/>
  <c r="O21" i="20" s="1"/>
  <c r="O34" i="2"/>
  <c r="O36" i="5"/>
  <c r="I50" i="20" s="1"/>
  <c r="O35" i="14"/>
  <c r="O48" i="20" s="1"/>
  <c r="L17" i="2"/>
  <c r="O35" i="4"/>
  <c r="F48" i="20" s="1"/>
  <c r="O19" i="13"/>
  <c r="L17" i="20" s="1"/>
  <c r="L25" i="2"/>
  <c r="L21" i="2"/>
  <c r="O38" i="2"/>
  <c r="O20" i="2"/>
  <c r="O26" i="2"/>
  <c r="L19" i="2"/>
  <c r="O20" i="4"/>
  <c r="F19" i="20" s="1"/>
  <c r="O35" i="5"/>
  <c r="I48" i="20" s="1"/>
  <c r="O25" i="4"/>
  <c r="F29" i="20" s="1"/>
  <c r="O21" i="4"/>
  <c r="F21" i="20" s="1"/>
  <c r="O27" i="5"/>
  <c r="I33" i="20" s="1"/>
  <c r="O20" i="5"/>
  <c r="I19" i="20" s="1"/>
  <c r="O20" i="13"/>
  <c r="L19" i="20" s="1"/>
  <c r="O25" i="14"/>
  <c r="O29" i="20" s="1"/>
  <c r="O16" i="13"/>
  <c r="L11" i="20" s="1"/>
  <c r="O21" i="13"/>
  <c r="L21" i="20" s="1"/>
  <c r="O16" i="14"/>
  <c r="O11" i="20" s="1"/>
  <c r="O19" i="2"/>
  <c r="O25" i="5"/>
  <c r="I29" i="20" s="1"/>
  <c r="O27" i="14"/>
  <c r="O33" i="20" s="1"/>
  <c r="O16" i="2"/>
  <c r="O26" i="13"/>
  <c r="L31" i="20" s="1"/>
  <c r="O22" i="13"/>
  <c r="L23" i="20" s="1"/>
  <c r="N59" i="2"/>
  <c r="O35" i="2"/>
  <c r="O32" i="2"/>
  <c r="L36" i="2"/>
  <c r="L23" i="2"/>
  <c r="O22" i="2"/>
  <c r="O33" i="4"/>
  <c r="F44" i="20" s="1"/>
  <c r="O28" i="4"/>
  <c r="F35" i="20" s="1"/>
  <c r="O38" i="5"/>
  <c r="I54" i="20" s="1"/>
  <c r="O26" i="4"/>
  <c r="F31" i="20" s="1"/>
  <c r="O34" i="5"/>
  <c r="I46" i="20" s="1"/>
  <c r="O38" i="13"/>
  <c r="L54" i="20" s="1"/>
  <c r="O16" i="5"/>
  <c r="I11" i="20" s="1"/>
  <c r="O22" i="5"/>
  <c r="I23" i="20" s="1"/>
  <c r="O15" i="13"/>
  <c r="O23" i="14"/>
  <c r="O25" i="20" s="1"/>
  <c r="O27" i="13"/>
  <c r="L33" i="20" s="1"/>
  <c r="O32" i="14"/>
  <c r="O42" i="20" s="1"/>
  <c r="L33" i="2"/>
  <c r="O25" i="13"/>
  <c r="L29" i="20" s="1"/>
  <c r="O33" i="14"/>
  <c r="O44" i="20" s="1"/>
  <c r="O25" i="2"/>
  <c r="O18" i="13"/>
  <c r="L15" i="20" s="1"/>
  <c r="O38" i="14"/>
  <c r="O54" i="20" s="1"/>
  <c r="O36" i="2"/>
  <c r="L16" i="2"/>
  <c r="O37" i="2"/>
  <c r="O21" i="2"/>
  <c r="L32" i="2"/>
  <c r="L35" i="2"/>
  <c r="O36" i="4"/>
  <c r="F50" i="20" s="1"/>
  <c r="O17" i="4"/>
  <c r="F13" i="20" s="1"/>
  <c r="O38" i="4"/>
  <c r="F54" i="20" s="1"/>
  <c r="O23" i="4"/>
  <c r="F25" i="20" s="1"/>
  <c r="O36" i="13"/>
  <c r="L50" i="20" s="1"/>
  <c r="O35" i="13"/>
  <c r="L48" i="20" s="1"/>
  <c r="O32" i="5"/>
  <c r="I42" i="20" s="1"/>
  <c r="O33" i="13"/>
  <c r="L44" i="20" s="1"/>
  <c r="O34" i="14"/>
  <c r="O46" i="20" s="1"/>
  <c r="O28" i="14"/>
  <c r="O35" i="20" s="1"/>
  <c r="O17" i="13"/>
  <c r="L13" i="20" s="1"/>
  <c r="O17" i="14"/>
  <c r="O13" i="20" s="1"/>
  <c r="O27" i="2"/>
  <c r="O18" i="4"/>
  <c r="F15" i="20" s="1"/>
  <c r="O36" i="14"/>
  <c r="O50" i="20" s="1"/>
  <c r="L26" i="2"/>
  <c r="O19" i="5"/>
  <c r="I17" i="20" s="1"/>
  <c r="O32" i="13"/>
  <c r="L42" i="20" s="1"/>
  <c r="L20" i="2"/>
  <c r="L34" i="2"/>
  <c r="K59" i="2"/>
  <c r="O24" i="2"/>
  <c r="O17" i="2"/>
  <c r="O18" i="2"/>
  <c r="O34" i="4"/>
  <c r="F46" i="20" s="1"/>
  <c r="O33" i="5"/>
  <c r="I44" i="20" s="1"/>
  <c r="O18" i="5"/>
  <c r="I15" i="20" s="1"/>
  <c r="O29" i="4"/>
  <c r="F37" i="20" s="1"/>
  <c r="O23" i="5"/>
  <c r="I25" i="20" s="1"/>
  <c r="O26" i="5"/>
  <c r="I31" i="20" s="1"/>
  <c r="O24" i="13"/>
  <c r="L27" i="20" s="1"/>
  <c r="O29" i="5"/>
  <c r="I37" i="20" s="1"/>
  <c r="O24" i="14"/>
  <c r="O27" i="20" s="1"/>
  <c r="O23" i="13"/>
  <c r="L25" i="20" s="1"/>
  <c r="O37" i="14"/>
  <c r="O52" i="20" s="1"/>
  <c r="O18" i="14"/>
  <c r="O15" i="20" s="1"/>
  <c r="L40" i="2"/>
  <c r="O37" i="4"/>
  <c r="F52" i="20" s="1"/>
  <c r="O37" i="13"/>
  <c r="L52" i="20" s="1"/>
  <c r="O15" i="2"/>
  <c r="O32" i="4"/>
  <c r="F42" i="20" s="1"/>
  <c r="O29" i="14"/>
  <c r="O37" i="20" s="1"/>
  <c r="L37" i="2"/>
  <c r="L18" i="2"/>
  <c r="L24" i="2"/>
  <c r="L22" i="2"/>
  <c r="O29" i="2"/>
  <c r="L15" i="2"/>
  <c r="O24" i="4"/>
  <c r="F27" i="20" s="1"/>
  <c r="O40" i="4"/>
  <c r="F57" i="20" s="1"/>
  <c r="O22" i="4"/>
  <c r="F23" i="20" s="1"/>
  <c r="O15" i="4"/>
  <c r="O24" i="5"/>
  <c r="I27" i="20" s="1"/>
  <c r="O21" i="5"/>
  <c r="I21" i="20" s="1"/>
  <c r="O29" i="13"/>
  <c r="L37" i="20" s="1"/>
  <c r="O34" i="13"/>
  <c r="L46" i="20" s="1"/>
  <c r="O40" i="14"/>
  <c r="O57" i="20" s="1"/>
  <c r="O22" i="14"/>
  <c r="O23" i="20" s="1"/>
  <c r="O20" i="14"/>
  <c r="O19" i="20" s="1"/>
  <c r="L38" i="2"/>
  <c r="O37" i="5"/>
  <c r="I52" i="20" s="1"/>
  <c r="O15" i="5"/>
  <c r="O33" i="2"/>
  <c r="O16" i="4"/>
  <c r="F11" i="20" s="1"/>
  <c r="B51" i="16" l="1"/>
  <c r="G51" i="16" s="1"/>
  <c r="B52" i="20"/>
  <c r="Q52" i="20" s="1"/>
  <c r="L37" i="6"/>
  <c r="O9" i="20"/>
  <c r="O30" i="14"/>
  <c r="L29" i="6"/>
  <c r="B36" i="16"/>
  <c r="G36" i="16" s="1"/>
  <c r="B37" i="20"/>
  <c r="Q37" i="20" s="1"/>
  <c r="B8" i="16"/>
  <c r="G8" i="16" s="1"/>
  <c r="L30" i="2"/>
  <c r="B9" i="20"/>
  <c r="Q9" i="20" s="1"/>
  <c r="L15" i="6"/>
  <c r="O30" i="2"/>
  <c r="O15" i="6"/>
  <c r="C9" i="20"/>
  <c r="C15" i="20"/>
  <c r="R15" i="20" s="1"/>
  <c r="O18" i="6"/>
  <c r="L26" i="6"/>
  <c r="B31" i="20"/>
  <c r="Q31" i="20" s="1"/>
  <c r="B30" i="16"/>
  <c r="G30" i="16" s="1"/>
  <c r="B48" i="20"/>
  <c r="Q48" i="20" s="1"/>
  <c r="B47" i="16"/>
  <c r="G47" i="16" s="1"/>
  <c r="L35" i="6"/>
  <c r="C29" i="20"/>
  <c r="R29" i="20" s="1"/>
  <c r="O25" i="6"/>
  <c r="C23" i="20"/>
  <c r="R23" i="20" s="1"/>
  <c r="O22" i="6"/>
  <c r="O16" i="6"/>
  <c r="C11" i="20"/>
  <c r="R11" i="20" s="1"/>
  <c r="C31" i="20"/>
  <c r="R31" i="20" s="1"/>
  <c r="O26" i="6"/>
  <c r="C35" i="20"/>
  <c r="R35" i="20" s="1"/>
  <c r="O28" i="6"/>
  <c r="C25" i="20"/>
  <c r="R25" i="20" s="1"/>
  <c r="O23" i="6"/>
  <c r="C37" i="20"/>
  <c r="R37" i="20" s="1"/>
  <c r="O29" i="6"/>
  <c r="C13" i="20"/>
  <c r="R13" i="20" s="1"/>
  <c r="O17" i="6"/>
  <c r="B42" i="20"/>
  <c r="Q42" i="20" s="1"/>
  <c r="B41" i="16"/>
  <c r="G41" i="16" s="1"/>
  <c r="L32" i="6"/>
  <c r="L23" i="6"/>
  <c r="B24" i="16"/>
  <c r="G24" i="16" s="1"/>
  <c r="B25" i="20"/>
  <c r="Q25" i="20" s="1"/>
  <c r="O20" i="6"/>
  <c r="C19" i="20"/>
  <c r="R19" i="20" s="1"/>
  <c r="C57" i="20"/>
  <c r="R57" i="20" s="1"/>
  <c r="O40" i="6"/>
  <c r="L17" i="6"/>
  <c r="B13" i="20"/>
  <c r="Q13" i="20" s="1"/>
  <c r="B12" i="16"/>
  <c r="G12" i="16" s="1"/>
  <c r="C44" i="20"/>
  <c r="R44" i="20" s="1"/>
  <c r="O33" i="6"/>
  <c r="I9" i="20"/>
  <c r="O30" i="5"/>
  <c r="B22" i="16"/>
  <c r="G22" i="16" s="1"/>
  <c r="B23" i="20"/>
  <c r="Q23" i="20" s="1"/>
  <c r="L22" i="6"/>
  <c r="O24" i="6"/>
  <c r="C27" i="20"/>
  <c r="R27" i="20" s="1"/>
  <c r="C21" i="20"/>
  <c r="R21" i="20" s="1"/>
  <c r="O21" i="6"/>
  <c r="B50" i="20"/>
  <c r="Q50" i="20" s="1"/>
  <c r="B49" i="16"/>
  <c r="G49" i="16" s="1"/>
  <c r="L36" i="6"/>
  <c r="C54" i="20"/>
  <c r="R54" i="20" s="1"/>
  <c r="O38" i="6"/>
  <c r="C46" i="20"/>
  <c r="R46" i="20" s="1"/>
  <c r="O34" i="6"/>
  <c r="B32" i="16"/>
  <c r="G32" i="16" s="1"/>
  <c r="B33" i="20"/>
  <c r="Q33" i="20" s="1"/>
  <c r="L27" i="6"/>
  <c r="B26" i="16"/>
  <c r="G26" i="16" s="1"/>
  <c r="B27" i="20"/>
  <c r="Q27" i="20" s="1"/>
  <c r="L24" i="6"/>
  <c r="B56" i="16"/>
  <c r="G56" i="16" s="1"/>
  <c r="L40" i="6"/>
  <c r="B57" i="20"/>
  <c r="Q57" i="20" s="1"/>
  <c r="B70" i="20"/>
  <c r="Q70" i="20" s="1"/>
  <c r="K74" i="2"/>
  <c r="B72" i="16"/>
  <c r="G72" i="16" s="1"/>
  <c r="I58" i="18"/>
  <c r="S58" i="18" s="1"/>
  <c r="K59" i="6"/>
  <c r="C33" i="20"/>
  <c r="R33" i="20" s="1"/>
  <c r="O27" i="6"/>
  <c r="C52" i="20"/>
  <c r="R52" i="20" s="1"/>
  <c r="O37" i="6"/>
  <c r="L33" i="6"/>
  <c r="B44" i="20"/>
  <c r="Q44" i="20" s="1"/>
  <c r="B43" i="16"/>
  <c r="G43" i="16" s="1"/>
  <c r="C42" i="20"/>
  <c r="R42" i="20" s="1"/>
  <c r="O32" i="6"/>
  <c r="C17" i="20"/>
  <c r="R17" i="20" s="1"/>
  <c r="O19" i="6"/>
  <c r="B21" i="20"/>
  <c r="Q21" i="20" s="1"/>
  <c r="B20" i="16"/>
  <c r="G20" i="16" s="1"/>
  <c r="L21" i="6"/>
  <c r="L28" i="6"/>
  <c r="B35" i="20"/>
  <c r="Q35" i="20" s="1"/>
  <c r="B34" i="16"/>
  <c r="G34" i="16" s="1"/>
  <c r="B53" i="16"/>
  <c r="G53" i="16" s="1"/>
  <c r="B54" i="20"/>
  <c r="Q54" i="20" s="1"/>
  <c r="L38" i="6"/>
  <c r="O30" i="4"/>
  <c r="F9" i="20"/>
  <c r="B14" i="16"/>
  <c r="G14" i="16" s="1"/>
  <c r="B15" i="20"/>
  <c r="Q15" i="20" s="1"/>
  <c r="L18" i="6"/>
  <c r="L34" i="6"/>
  <c r="B45" i="16"/>
  <c r="G45" i="16" s="1"/>
  <c r="B46" i="20"/>
  <c r="Q46" i="20" s="1"/>
  <c r="B10" i="16"/>
  <c r="G10" i="16" s="1"/>
  <c r="L16" i="6"/>
  <c r="B11" i="20"/>
  <c r="Q11" i="20" s="1"/>
  <c r="C48" i="20"/>
  <c r="R48" i="20" s="1"/>
  <c r="O35" i="6"/>
  <c r="B29" i="20"/>
  <c r="Q29" i="20" s="1"/>
  <c r="L25" i="6"/>
  <c r="B28" i="16"/>
  <c r="G28" i="16" s="1"/>
  <c r="O30" i="13"/>
  <c r="L9" i="20"/>
  <c r="L19" i="6"/>
  <c r="B16" i="16"/>
  <c r="G16" i="16" s="1"/>
  <c r="B17" i="20"/>
  <c r="Q17" i="20" s="1"/>
  <c r="B18" i="16"/>
  <c r="G18" i="16" s="1"/>
  <c r="B19" i="20"/>
  <c r="Q19" i="20" s="1"/>
  <c r="L20" i="6"/>
  <c r="C50" i="20"/>
  <c r="R50" i="20" s="1"/>
  <c r="O36" i="6"/>
  <c r="C70" i="20"/>
  <c r="R70" i="20" s="1"/>
  <c r="N58" i="18"/>
  <c r="T58" i="18" s="1"/>
  <c r="N74" i="2"/>
  <c r="C85" i="20" s="1"/>
  <c r="R85" i="20" s="1"/>
  <c r="N59" i="6"/>
  <c r="N74" i="6" s="1"/>
  <c r="A409" i="9"/>
  <c r="B408" i="9"/>
  <c r="B409" i="9" l="1"/>
  <c r="A410" i="9"/>
  <c r="I39" i="20"/>
  <c r="N42" i="5"/>
  <c r="R9" i="20"/>
  <c r="O30" i="6"/>
  <c r="N42" i="6" s="1"/>
  <c r="N43" i="6" s="1"/>
  <c r="N75" i="6" s="1"/>
  <c r="C39" i="20"/>
  <c r="N42" i="2"/>
  <c r="O39" i="20"/>
  <c r="N42" i="14"/>
  <c r="A58" i="18"/>
  <c r="K74" i="6"/>
  <c r="A49" i="18" s="1"/>
  <c r="U49" i="18" s="1"/>
  <c r="L30" i="6"/>
  <c r="K42" i="6" s="1"/>
  <c r="N42" i="13"/>
  <c r="L39" i="20"/>
  <c r="B39" i="20"/>
  <c r="Q39" i="20" s="1"/>
  <c r="K42" i="2"/>
  <c r="B38" i="16"/>
  <c r="G38" i="16" s="1"/>
  <c r="F39" i="20"/>
  <c r="N42" i="4"/>
  <c r="B85" i="20"/>
  <c r="Q85" i="20" s="1"/>
  <c r="B87" i="16"/>
  <c r="G87" i="16" s="1"/>
  <c r="A41" i="18" l="1"/>
  <c r="C36" i="18"/>
  <c r="C37" i="18"/>
  <c r="A37" i="18"/>
  <c r="A36" i="18"/>
  <c r="D41" i="18"/>
  <c r="C40" i="18"/>
  <c r="A40" i="18"/>
  <c r="R39" i="20"/>
  <c r="C59" i="20"/>
  <c r="N43" i="2"/>
  <c r="A39" i="18"/>
  <c r="K43" i="6"/>
  <c r="K76" i="6" s="1"/>
  <c r="A34" i="18"/>
  <c r="C41" i="18"/>
  <c r="A38" i="18"/>
  <c r="C38" i="18"/>
  <c r="A33" i="18"/>
  <c r="C39" i="18"/>
  <c r="I59" i="20"/>
  <c r="N43" i="5"/>
  <c r="U59" i="18"/>
  <c r="U58" i="18"/>
  <c r="N43" i="14"/>
  <c r="O59" i="20"/>
  <c r="B410" i="9"/>
  <c r="A411" i="9"/>
  <c r="L59" i="20"/>
  <c r="N43" i="13"/>
  <c r="F59" i="20"/>
  <c r="N43" i="4"/>
  <c r="B58" i="16"/>
  <c r="G58" i="16" s="1"/>
  <c r="K43" i="2"/>
  <c r="K76" i="2" s="1"/>
  <c r="B59" i="20"/>
  <c r="Q59" i="20" s="1"/>
  <c r="U36" i="18" l="1"/>
  <c r="U41" i="18"/>
  <c r="U38" i="18"/>
  <c r="U39" i="18"/>
  <c r="U40" i="18"/>
  <c r="U37" i="18"/>
  <c r="U34" i="18"/>
  <c r="U33" i="18"/>
  <c r="U42" i="18"/>
  <c r="B59" i="16"/>
  <c r="G59" i="16" s="1"/>
  <c r="B60" i="20"/>
  <c r="Q60" i="20" s="1"/>
  <c r="K75" i="2"/>
  <c r="K75" i="6"/>
  <c r="O60" i="20"/>
  <c r="N75" i="14"/>
  <c r="A412" i="9"/>
  <c r="B411" i="9"/>
  <c r="F60" i="20"/>
  <c r="N75" i="4"/>
  <c r="L60" i="20"/>
  <c r="N75" i="13"/>
  <c r="N75" i="5"/>
  <c r="I60" i="20"/>
  <c r="N75" i="2"/>
  <c r="C60" i="20"/>
  <c r="R59" i="20"/>
  <c r="B88" i="20" l="1"/>
  <c r="B90" i="16"/>
  <c r="K83" i="4"/>
  <c r="K82" i="14"/>
  <c r="G78" i="2"/>
  <c r="K82" i="5"/>
  <c r="K82" i="13"/>
  <c r="K83" i="14"/>
  <c r="B87" i="20"/>
  <c r="Q87" i="20" s="1"/>
  <c r="K83" i="5"/>
  <c r="B89" i="16"/>
  <c r="G89" i="16" s="1"/>
  <c r="K83" i="2"/>
  <c r="K82" i="2"/>
  <c r="K83" i="13"/>
  <c r="K82" i="4"/>
  <c r="B412" i="9"/>
  <c r="A413" i="9"/>
  <c r="G79" i="13"/>
  <c r="L87" i="20"/>
  <c r="N82" i="2"/>
  <c r="N82" i="4"/>
  <c r="N82" i="13"/>
  <c r="N82" i="14"/>
  <c r="N82" i="5"/>
  <c r="C87" i="20"/>
  <c r="G79" i="2"/>
  <c r="G79" i="14"/>
  <c r="O87" i="20"/>
  <c r="G79" i="4"/>
  <c r="F87" i="20"/>
  <c r="R60" i="20"/>
  <c r="I87" i="20"/>
  <c r="G79" i="5"/>
  <c r="R87" i="20" l="1"/>
  <c r="O89" i="20"/>
  <c r="A79" i="14"/>
  <c r="B91" i="16"/>
  <c r="G91" i="16" s="1"/>
  <c r="G78" i="6"/>
  <c r="B89" i="20"/>
  <c r="Q89" i="20" s="1"/>
  <c r="A79" i="2"/>
  <c r="C89" i="20"/>
  <c r="G79" i="6"/>
  <c r="A79" i="6" s="1"/>
  <c r="L89" i="20"/>
  <c r="A79" i="13"/>
  <c r="A414" i="9"/>
  <c r="B413" i="9"/>
  <c r="A79" i="4"/>
  <c r="F89" i="20"/>
  <c r="I89" i="20"/>
  <c r="A79" i="5"/>
  <c r="R89" i="20" l="1"/>
  <c r="A415" i="9"/>
  <c r="B414" i="9"/>
  <c r="A416" i="9" l="1"/>
  <c r="B415" i="9"/>
  <c r="A417" i="9" l="1"/>
  <c r="B416" i="9"/>
  <c r="A418" i="9" l="1"/>
  <c r="B417" i="9"/>
  <c r="A419" i="9" l="1"/>
  <c r="B418" i="9"/>
  <c r="A420" i="9" l="1"/>
  <c r="B419" i="9"/>
  <c r="B420" i="9" l="1"/>
  <c r="A421" i="9"/>
  <c r="A422" i="9" l="1"/>
  <c r="B421" i="9"/>
  <c r="A423" i="9" l="1"/>
  <c r="B422" i="9"/>
  <c r="A424" i="9" l="1"/>
  <c r="B423" i="9"/>
  <c r="A425" i="9" l="1"/>
  <c r="B424" i="9"/>
  <c r="A426" i="9" l="1"/>
  <c r="B425" i="9"/>
  <c r="A427" i="9" l="1"/>
  <c r="B426" i="9"/>
  <c r="A428" i="9" l="1"/>
  <c r="B427" i="9"/>
  <c r="A429" i="9" l="1"/>
  <c r="B428" i="9"/>
  <c r="A430" i="9" l="1"/>
  <c r="B429" i="9"/>
  <c r="A431" i="9" l="1"/>
  <c r="B430" i="9"/>
  <c r="A432" i="9" l="1"/>
  <c r="B431" i="9"/>
  <c r="A433" i="9" l="1"/>
  <c r="B432" i="9"/>
  <c r="A434" i="9" l="1"/>
  <c r="B433" i="9"/>
  <c r="A435" i="9" l="1"/>
  <c r="B434" i="9"/>
  <c r="A436" i="9" l="1"/>
  <c r="B435" i="9"/>
  <c r="A437" i="9" l="1"/>
  <c r="B436" i="9"/>
  <c r="A438" i="9" l="1"/>
  <c r="B437" i="9"/>
  <c r="B438" i="9" l="1"/>
  <c r="A439" i="9"/>
  <c r="A440" i="9" l="1"/>
  <c r="B439" i="9"/>
  <c r="A441" i="9" l="1"/>
  <c r="B440" i="9"/>
  <c r="A442" i="9" l="1"/>
  <c r="B441" i="9"/>
  <c r="A443" i="9" l="1"/>
  <c r="B442" i="9"/>
  <c r="A444" i="9" l="1"/>
  <c r="B443" i="9"/>
  <c r="A445" i="9" l="1"/>
  <c r="B444" i="9"/>
  <c r="A446" i="9" l="1"/>
  <c r="B445" i="9"/>
  <c r="A447" i="9" l="1"/>
  <c r="B446" i="9"/>
  <c r="B447" i="9" l="1"/>
  <c r="A448" i="9"/>
  <c r="B448" i="9" l="1"/>
  <c r="A449" i="9"/>
  <c r="A450" i="9" l="1"/>
  <c r="B449" i="9"/>
  <c r="A451" i="9" l="1"/>
  <c r="B450" i="9"/>
  <c r="B451" i="9" l="1"/>
  <c r="A452" i="9"/>
  <c r="A453" i="9" l="1"/>
  <c r="B452" i="9"/>
  <c r="A454" i="9" l="1"/>
  <c r="B453" i="9"/>
  <c r="B454" i="9" l="1"/>
  <c r="A455" i="9"/>
  <c r="B455" i="9" l="1"/>
  <c r="A456" i="9"/>
  <c r="B456" i="9" l="1"/>
  <c r="A457" i="9"/>
  <c r="B457" i="9" l="1"/>
  <c r="A458" i="9"/>
  <c r="B458" i="9" l="1"/>
  <c r="A459" i="9"/>
  <c r="A460" i="9" l="1"/>
  <c r="B459" i="9"/>
  <c r="B460" i="9" l="1"/>
  <c r="A461" i="9"/>
  <c r="B461" i="9" l="1"/>
  <c r="A462" i="9"/>
  <c r="A463" i="9" l="1"/>
  <c r="B462" i="9"/>
  <c r="A464" i="9" l="1"/>
  <c r="B463" i="9"/>
  <c r="B464" i="9" l="1"/>
  <c r="A465" i="9"/>
  <c r="B465" i="9" l="1"/>
  <c r="A466" i="9"/>
  <c r="B466" i="9" l="1"/>
  <c r="A467" i="9"/>
  <c r="B467" i="9" l="1"/>
  <c r="A468" i="9"/>
  <c r="A469" i="9" l="1"/>
  <c r="B468" i="9"/>
  <c r="B469" i="9" l="1"/>
  <c r="A470" i="9"/>
  <c r="A471" i="9" l="1"/>
  <c r="B470" i="9"/>
  <c r="B471" i="9" l="1"/>
  <c r="A472" i="9"/>
  <c r="B472" i="9" l="1"/>
  <c r="A473" i="9"/>
  <c r="B473" i="9" l="1"/>
  <c r="A474" i="9"/>
  <c r="B474" i="9" l="1"/>
  <c r="A475" i="9"/>
  <c r="B475" i="9" l="1"/>
  <c r="A476" i="9"/>
  <c r="B476" i="9" l="1"/>
  <c r="A477" i="9"/>
  <c r="A478" i="9" l="1"/>
  <c r="B477" i="9"/>
  <c r="A479" i="9" l="1"/>
  <c r="B478" i="9"/>
  <c r="A480" i="9" l="1"/>
  <c r="B479" i="9"/>
  <c r="A481" i="9" l="1"/>
  <c r="B480" i="9"/>
  <c r="B481" i="9" l="1"/>
  <c r="A482" i="9"/>
  <c r="B482" i="9" l="1"/>
  <c r="A483" i="9"/>
  <c r="B483" i="9" l="1"/>
  <c r="A484" i="9"/>
  <c r="A485" i="9" l="1"/>
  <c r="B484" i="9"/>
  <c r="A486" i="9" l="1"/>
  <c r="B485" i="9"/>
  <c r="B486" i="9" l="1"/>
  <c r="A487" i="9"/>
  <c r="A488" i="9" l="1"/>
  <c r="B487" i="9"/>
  <c r="A489" i="9" l="1"/>
  <c r="B488" i="9"/>
  <c r="B489" i="9" l="1"/>
  <c r="A490" i="9"/>
  <c r="A491" i="9" l="1"/>
  <c r="B490" i="9"/>
  <c r="B491" i="9" l="1"/>
  <c r="A492" i="9"/>
  <c r="A493" i="9" l="1"/>
  <c r="B492" i="9"/>
  <c r="A494" i="9" l="1"/>
  <c r="B493" i="9"/>
  <c r="A495" i="9" l="1"/>
  <c r="B494" i="9"/>
  <c r="A496" i="9" l="1"/>
  <c r="B495" i="9"/>
  <c r="A497" i="9" l="1"/>
  <c r="B496" i="9"/>
  <c r="A498" i="9" l="1"/>
  <c r="B497" i="9"/>
  <c r="B498" i="9" l="1"/>
  <c r="A499" i="9"/>
  <c r="B499" i="9" l="1"/>
  <c r="A500" i="9"/>
  <c r="A501" i="9" l="1"/>
  <c r="B500" i="9"/>
  <c r="A502" i="9" l="1"/>
  <c r="B501" i="9"/>
  <c r="A503" i="9" l="1"/>
  <c r="B502" i="9"/>
  <c r="A504" i="9" l="1"/>
  <c r="B503" i="9"/>
  <c r="B504" i="9" l="1"/>
  <c r="A505" i="9"/>
  <c r="A506" i="9" l="1"/>
  <c r="B505" i="9"/>
  <c r="A507" i="9" l="1"/>
  <c r="B506" i="9"/>
  <c r="A508" i="9" l="1"/>
  <c r="B507" i="9"/>
  <c r="A509" i="9" l="1"/>
  <c r="B508" i="9"/>
  <c r="A510" i="9" l="1"/>
  <c r="B509" i="9"/>
  <c r="A511" i="9" l="1"/>
  <c r="B510" i="9"/>
  <c r="A512" i="9" l="1"/>
  <c r="B511" i="9"/>
  <c r="A513" i="9" l="1"/>
  <c r="B512" i="9"/>
  <c r="G77" i="4"/>
  <c r="G77" i="14"/>
  <c r="G77" i="2"/>
  <c r="G77" i="13"/>
  <c r="G77" i="5"/>
  <c r="A3" i="16" l="1"/>
  <c r="A3" i="20"/>
  <c r="G77" i="6"/>
  <c r="A514" i="9"/>
  <c r="B513" i="9"/>
  <c r="A515" i="9" l="1"/>
  <c r="B514" i="9"/>
  <c r="A516" i="9" l="1"/>
  <c r="B515" i="9"/>
  <c r="A517" i="9" l="1"/>
  <c r="B516" i="9"/>
  <c r="A518" i="9" l="1"/>
  <c r="B517" i="9"/>
  <c r="B518" i="9" l="1"/>
  <c r="A519" i="9"/>
  <c r="B519" i="9" l="1"/>
  <c r="A520" i="9"/>
  <c r="A521" i="9" l="1"/>
  <c r="B520" i="9"/>
  <c r="A522" i="9" l="1"/>
  <c r="B521" i="9"/>
  <c r="A523" i="9" l="1"/>
  <c r="B522" i="9"/>
  <c r="A524" i="9" l="1"/>
  <c r="B523" i="9"/>
  <c r="A525" i="9" l="1"/>
  <c r="B524" i="9"/>
  <c r="A526" i="9" l="1"/>
  <c r="B525" i="9"/>
  <c r="A527" i="9" l="1"/>
  <c r="B526" i="9"/>
  <c r="A528" i="9" l="1"/>
  <c r="B527" i="9"/>
  <c r="A529" i="9" l="1"/>
  <c r="B528" i="9"/>
  <c r="A530" i="9" l="1"/>
  <c r="B529" i="9"/>
  <c r="B530" i="9" l="1"/>
  <c r="A531" i="9"/>
  <c r="B531" i="9" l="1"/>
  <c r="A532" i="9"/>
  <c r="B532" i="9" l="1"/>
  <c r="A533" i="9"/>
  <c r="B533" i="9" l="1"/>
  <c r="A534" i="9"/>
  <c r="B534" i="9" l="1"/>
  <c r="A535" i="9"/>
  <c r="B535" i="9" l="1"/>
  <c r="A536" i="9"/>
  <c r="B536" i="9" l="1"/>
  <c r="A537" i="9"/>
  <c r="A538" i="9" l="1"/>
  <c r="B537" i="9"/>
  <c r="A539" i="9" l="1"/>
  <c r="B538" i="9"/>
  <c r="B539" i="9" l="1"/>
  <c r="A540" i="9"/>
  <c r="B540" i="9" l="1"/>
  <c r="A541" i="9"/>
  <c r="A542" i="9" l="1"/>
  <c r="B541" i="9"/>
  <c r="A543" i="9" l="1"/>
  <c r="B542" i="9"/>
  <c r="A544" i="9" l="1"/>
  <c r="B543" i="9"/>
  <c r="A545" i="9" l="1"/>
  <c r="B544" i="9"/>
  <c r="A546" i="9" l="1"/>
  <c r="B545" i="9"/>
  <c r="A547" i="9" l="1"/>
  <c r="B546" i="9"/>
  <c r="A548" i="9" l="1"/>
  <c r="B547" i="9"/>
  <c r="B548" i="9" l="1"/>
  <c r="A549" i="9"/>
  <c r="A550" i="9" l="1"/>
  <c r="B549" i="9"/>
  <c r="A551" i="9" l="1"/>
  <c r="B550" i="9"/>
  <c r="A552" i="9" l="1"/>
  <c r="B551" i="9"/>
  <c r="A553" i="9" l="1"/>
  <c r="B552" i="9"/>
  <c r="A554" i="9" l="1"/>
  <c r="B553" i="9"/>
  <c r="A555" i="9" l="1"/>
  <c r="B554" i="9"/>
  <c r="A556" i="9" l="1"/>
  <c r="B555" i="9"/>
  <c r="B556" i="9" l="1"/>
  <c r="A557" i="9"/>
  <c r="A558" i="9" l="1"/>
  <c r="B557" i="9"/>
  <c r="B558" i="9" l="1"/>
  <c r="A559" i="9"/>
  <c r="B559" i="9" l="1"/>
  <c r="A560" i="9"/>
  <c r="B560" i="9" l="1"/>
  <c r="A561" i="9"/>
  <c r="B561" i="9" l="1"/>
  <c r="A562" i="9"/>
  <c r="B562" i="9" l="1"/>
  <c r="A563" i="9"/>
  <c r="A564" i="9" l="1"/>
  <c r="B563" i="9"/>
  <c r="A565" i="9" l="1"/>
  <c r="B564" i="9"/>
  <c r="A566" i="9" l="1"/>
  <c r="B565" i="9"/>
  <c r="A567" i="9" l="1"/>
  <c r="B566" i="9"/>
  <c r="B567" i="9" l="1"/>
  <c r="A568" i="9"/>
  <c r="B568" i="9" l="1"/>
  <c r="A569" i="9"/>
  <c r="A570" i="9" l="1"/>
  <c r="B569" i="9"/>
  <c r="B570" i="9" l="1"/>
  <c r="A571" i="9"/>
  <c r="A572" i="9" l="1"/>
  <c r="B571" i="9"/>
  <c r="A573" i="9" l="1"/>
  <c r="B572" i="9"/>
  <c r="A574" i="9" l="1"/>
  <c r="B573" i="9"/>
  <c r="A575" i="9" l="1"/>
  <c r="B574" i="9"/>
  <c r="A576" i="9" l="1"/>
  <c r="B575" i="9"/>
  <c r="A577" i="9" l="1"/>
  <c r="B576" i="9"/>
  <c r="A578" i="9" l="1"/>
  <c r="B577" i="9"/>
  <c r="A579" i="9" l="1"/>
  <c r="B578" i="9"/>
  <c r="A580" i="9" l="1"/>
  <c r="B579" i="9"/>
  <c r="A581" i="9" l="1"/>
  <c r="B580" i="9"/>
  <c r="A582" i="9" l="1"/>
  <c r="B581" i="9"/>
  <c r="A583" i="9" l="1"/>
  <c r="B582" i="9"/>
  <c r="B583" i="9" l="1"/>
  <c r="A584" i="9"/>
  <c r="A585" i="9" l="1"/>
  <c r="B584" i="9"/>
  <c r="A586" i="9" l="1"/>
  <c r="B585" i="9"/>
  <c r="A587" i="9" l="1"/>
  <c r="B586" i="9"/>
  <c r="A588" i="9" l="1"/>
  <c r="B587" i="9"/>
  <c r="A589" i="9" l="1"/>
  <c r="B588" i="9"/>
  <c r="B589" i="9" l="1"/>
  <c r="A590" i="9"/>
  <c r="A591" i="9" l="1"/>
  <c r="B590" i="9"/>
  <c r="B591" i="9" l="1"/>
  <c r="A592" i="9"/>
  <c r="B592" i="9" l="1"/>
  <c r="A593" i="9"/>
  <c r="B593" i="9" l="1"/>
  <c r="A594" i="9"/>
  <c r="A595" i="9" l="1"/>
  <c r="B594" i="9"/>
  <c r="A596" i="9" l="1"/>
  <c r="B595" i="9"/>
  <c r="B596" i="9" l="1"/>
  <c r="A597" i="9"/>
  <c r="B597" i="9" l="1"/>
  <c r="A598" i="9"/>
  <c r="A599" i="9" l="1"/>
  <c r="B598" i="9"/>
  <c r="B599" i="9" l="1"/>
  <c r="A600" i="9"/>
  <c r="A601" i="9" l="1"/>
  <c r="B600" i="9"/>
  <c r="B601" i="9" l="1"/>
  <c r="A602" i="9"/>
  <c r="A603" i="9" l="1"/>
  <c r="B602" i="9"/>
  <c r="A604" i="9" l="1"/>
  <c r="B603" i="9"/>
  <c r="A605" i="9" l="1"/>
  <c r="B604" i="9"/>
  <c r="A606" i="9" l="1"/>
  <c r="B605" i="9"/>
  <c r="B606" i="9" l="1"/>
  <c r="A607" i="9"/>
  <c r="A608" i="9" l="1"/>
  <c r="B607" i="9"/>
  <c r="A609" i="9" l="1"/>
  <c r="B608" i="9"/>
  <c r="B609" i="9" l="1"/>
  <c r="A610" i="9"/>
  <c r="B610" i="9" l="1"/>
  <c r="A611" i="9"/>
  <c r="B611" i="9" l="1"/>
  <c r="A612" i="9"/>
  <c r="B612" i="9" l="1"/>
  <c r="A613" i="9"/>
  <c r="B613" i="9" l="1"/>
  <c r="A614" i="9"/>
  <c r="A615" i="9" l="1"/>
  <c r="B614" i="9"/>
  <c r="A616" i="9" l="1"/>
  <c r="B615" i="9"/>
  <c r="A617" i="9" l="1"/>
  <c r="B616" i="9"/>
  <c r="A618" i="9" l="1"/>
  <c r="B617" i="9"/>
  <c r="B618" i="9" l="1"/>
  <c r="A619" i="9"/>
  <c r="A620" i="9" l="1"/>
  <c r="B619" i="9"/>
  <c r="A621" i="9" l="1"/>
  <c r="B620" i="9"/>
  <c r="A622" i="9" l="1"/>
  <c r="B621" i="9"/>
  <c r="B622" i="9" l="1"/>
  <c r="A623" i="9"/>
  <c r="B623" i="9" l="1"/>
  <c r="A624" i="9"/>
  <c r="A625" i="9" l="1"/>
  <c r="B624" i="9"/>
  <c r="A626" i="9" l="1"/>
  <c r="B625" i="9"/>
  <c r="B626" i="9" l="1"/>
  <c r="A627" i="9"/>
  <c r="B627" i="9" l="1"/>
  <c r="A628" i="9"/>
  <c r="B628" i="9" l="1"/>
  <c r="A629" i="9"/>
  <c r="A630" i="9" l="1"/>
  <c r="B629" i="9"/>
  <c r="B630" i="9" l="1"/>
  <c r="A631" i="9"/>
  <c r="B631" i="9" l="1"/>
  <c r="A632" i="9"/>
  <c r="A633" i="9" l="1"/>
  <c r="B632" i="9"/>
  <c r="B633" i="9" l="1"/>
  <c r="A634" i="9"/>
  <c r="A635" i="9" l="1"/>
  <c r="B634" i="9"/>
  <c r="A636" i="9" l="1"/>
  <c r="B635" i="9"/>
  <c r="B636" i="9" l="1"/>
  <c r="A637" i="9"/>
  <c r="B637" i="9" l="1"/>
  <c r="A638" i="9"/>
  <c r="B638" i="9" l="1"/>
  <c r="A639" i="9"/>
  <c r="A640" i="9" l="1"/>
  <c r="B639" i="9"/>
  <c r="B640" i="9" l="1"/>
  <c r="A641" i="9"/>
  <c r="B641" i="9" l="1"/>
  <c r="A642" i="9"/>
  <c r="A643" i="9" l="1"/>
  <c r="B642" i="9"/>
  <c r="A644" i="9" l="1"/>
  <c r="B643" i="9"/>
  <c r="B644" i="9" l="1"/>
  <c r="A645" i="9"/>
  <c r="A646" i="9" l="1"/>
  <c r="B645" i="9"/>
  <c r="A647" i="9" l="1"/>
  <c r="B646" i="9"/>
  <c r="B647" i="9" l="1"/>
  <c r="A648" i="9"/>
  <c r="B648" i="9" l="1"/>
  <c r="A649" i="9"/>
  <c r="B649" i="9" l="1"/>
  <c r="A650" i="9"/>
  <c r="A651" i="9" l="1"/>
  <c r="B650" i="9"/>
  <c r="A652" i="9" l="1"/>
  <c r="B651" i="9"/>
  <c r="B652" i="9" l="1"/>
  <c r="A653" i="9"/>
  <c r="A654" i="9" l="1"/>
  <c r="B653" i="9"/>
  <c r="B654" i="9" l="1"/>
  <c r="A655" i="9"/>
  <c r="B655" i="9" l="1"/>
  <c r="A656" i="9"/>
  <c r="B656" i="9" l="1"/>
  <c r="A657" i="9"/>
  <c r="B657" i="9" l="1"/>
  <c r="A658" i="9"/>
  <c r="B658" i="9" l="1"/>
  <c r="A659" i="9"/>
  <c r="A660" i="9" l="1"/>
  <c r="B659" i="9"/>
  <c r="B660" i="9" l="1"/>
  <c r="A661" i="9"/>
  <c r="B661" i="9" l="1"/>
  <c r="A662" i="9"/>
  <c r="B662" i="9" l="1"/>
  <c r="A663" i="9"/>
  <c r="A664" i="9" l="1"/>
  <c r="B663" i="9"/>
  <c r="A665" i="9" l="1"/>
  <c r="B664" i="9"/>
  <c r="B665" i="9" l="1"/>
  <c r="A666" i="9"/>
  <c r="A667" i="9" l="1"/>
  <c r="B666" i="9"/>
  <c r="A668" i="9" l="1"/>
  <c r="B667" i="9"/>
  <c r="B668" i="9" l="1"/>
  <c r="A669" i="9"/>
  <c r="A670" i="9" l="1"/>
  <c r="B669" i="9"/>
  <c r="A671" i="9" l="1"/>
  <c r="B670" i="9"/>
  <c r="A672" i="9" l="1"/>
  <c r="B671" i="9"/>
  <c r="A673" i="9" l="1"/>
  <c r="B672" i="9"/>
  <c r="A674" i="9" l="1"/>
  <c r="B673" i="9"/>
  <c r="A675" i="9" l="1"/>
  <c r="B674" i="9"/>
  <c r="A676" i="9" l="1"/>
  <c r="B675" i="9"/>
  <c r="A677" i="9" l="1"/>
  <c r="B676" i="9"/>
  <c r="B677" i="9" l="1"/>
  <c r="A678" i="9"/>
  <c r="B678" i="9" l="1"/>
  <c r="A679" i="9"/>
  <c r="A680" i="9" l="1"/>
  <c r="B679" i="9"/>
  <c r="B680" i="9" l="1"/>
  <c r="A681" i="9"/>
  <c r="A682" i="9" l="1"/>
  <c r="B681" i="9"/>
  <c r="A683" i="9" l="1"/>
  <c r="B682" i="9"/>
  <c r="A684" i="9" l="1"/>
  <c r="B683" i="9"/>
  <c r="A685" i="9" l="1"/>
  <c r="B684" i="9"/>
  <c r="A686" i="9" l="1"/>
  <c r="B685" i="9"/>
  <c r="A687" i="9" l="1"/>
  <c r="B686" i="9"/>
  <c r="A688" i="9" l="1"/>
  <c r="B687" i="9"/>
  <c r="A689" i="9" l="1"/>
  <c r="B688" i="9"/>
  <c r="A690" i="9" l="1"/>
  <c r="B689" i="9"/>
  <c r="A691" i="9" l="1"/>
  <c r="B690" i="9"/>
  <c r="A692" i="9" l="1"/>
  <c r="B691" i="9"/>
  <c r="A693" i="9" l="1"/>
  <c r="B692" i="9"/>
  <c r="A694" i="9" l="1"/>
  <c r="B693" i="9"/>
  <c r="A695" i="9" l="1"/>
  <c r="B694" i="9"/>
  <c r="B695" i="9" l="1"/>
  <c r="A696" i="9"/>
  <c r="A697" i="9" l="1"/>
  <c r="B696" i="9"/>
  <c r="A698" i="9" l="1"/>
  <c r="B697" i="9"/>
  <c r="A699" i="9" l="1"/>
  <c r="B698" i="9"/>
  <c r="A700" i="9" l="1"/>
  <c r="B699" i="9"/>
  <c r="A701" i="9" l="1"/>
  <c r="B700" i="9"/>
  <c r="B701" i="9" l="1"/>
  <c r="A702" i="9"/>
  <c r="A703" i="9" l="1"/>
  <c r="B702" i="9"/>
  <c r="B703" i="9" l="1"/>
  <c r="A704" i="9"/>
  <c r="A705" i="9" l="1"/>
  <c r="B704" i="9"/>
  <c r="B705" i="9" l="1"/>
  <c r="A706" i="9"/>
  <c r="B706" i="9" l="1"/>
  <c r="A707" i="9"/>
  <c r="A708" i="9" l="1"/>
  <c r="B707" i="9"/>
  <c r="B708" i="9" l="1"/>
  <c r="A709" i="9"/>
  <c r="A710" i="9" l="1"/>
  <c r="B709" i="9"/>
  <c r="B710" i="9" l="1"/>
  <c r="A711" i="9"/>
  <c r="A712" i="9" l="1"/>
  <c r="B711" i="9"/>
  <c r="A713" i="9" l="1"/>
  <c r="B712" i="9"/>
  <c r="A714" i="9" l="1"/>
  <c r="B713" i="9"/>
  <c r="A715" i="9" l="1"/>
  <c r="B714" i="9"/>
  <c r="A716" i="9" l="1"/>
  <c r="B715" i="9"/>
  <c r="A717" i="9" l="1"/>
  <c r="B716" i="9"/>
  <c r="B717" i="9" l="1"/>
  <c r="A718" i="9"/>
  <c r="A719" i="9" l="1"/>
  <c r="B718" i="9"/>
  <c r="A720" i="9" l="1"/>
  <c r="B719" i="9"/>
  <c r="A721" i="9" l="1"/>
  <c r="B720" i="9"/>
  <c r="A722" i="9" l="1"/>
  <c r="B721" i="9"/>
  <c r="A723" i="9" l="1"/>
  <c r="B722" i="9"/>
  <c r="A724" i="9" l="1"/>
  <c r="B723" i="9"/>
  <c r="B724" i="9" l="1"/>
  <c r="A725" i="9"/>
  <c r="A726" i="9" l="1"/>
  <c r="B725" i="9"/>
  <c r="B726" i="9" l="1"/>
  <c r="A727" i="9"/>
  <c r="B727" i="9" l="1"/>
  <c r="A728" i="9"/>
  <c r="B728" i="9" l="1"/>
  <c r="A729" i="9"/>
  <c r="A730" i="9" l="1"/>
  <c r="B729" i="9"/>
  <c r="A731" i="9" l="1"/>
  <c r="B730" i="9"/>
  <c r="A732" i="9" l="1"/>
  <c r="B731" i="9"/>
  <c r="B732" i="9" l="1"/>
  <c r="A733" i="9"/>
  <c r="A734" i="9" l="1"/>
  <c r="B733" i="9"/>
  <c r="A735" i="9" l="1"/>
  <c r="B734" i="9"/>
  <c r="A736" i="9" l="1"/>
  <c r="B735" i="9"/>
  <c r="A737" i="9" l="1"/>
  <c r="B736" i="9"/>
  <c r="B737" i="9" l="1"/>
  <c r="A738" i="9"/>
  <c r="B738" i="9" l="1"/>
  <c r="A739" i="9"/>
  <c r="A740" i="9" l="1"/>
  <c r="B739" i="9"/>
  <c r="A741" i="9" l="1"/>
  <c r="B740" i="9"/>
  <c r="A742" i="9" l="1"/>
  <c r="B741" i="9"/>
  <c r="A743" i="9" l="1"/>
  <c r="B742" i="9"/>
  <c r="A744" i="9" l="1"/>
  <c r="B743" i="9"/>
  <c r="A745" i="9" l="1"/>
  <c r="B744" i="9"/>
  <c r="A746" i="9" l="1"/>
  <c r="B745" i="9"/>
  <c r="A747" i="9" l="1"/>
  <c r="B746" i="9"/>
  <c r="B747" i="9" l="1"/>
  <c r="A748" i="9"/>
  <c r="A749" i="9" l="1"/>
  <c r="B748" i="9"/>
  <c r="A750" i="9" l="1"/>
  <c r="B749" i="9"/>
  <c r="A751" i="9" l="1"/>
  <c r="B750" i="9"/>
  <c r="A752" i="9" l="1"/>
  <c r="B751" i="9"/>
  <c r="A753" i="9" l="1"/>
  <c r="B752" i="9"/>
  <c r="A754" i="9" l="1"/>
  <c r="B753" i="9"/>
  <c r="B754" i="9" l="1"/>
  <c r="A755" i="9"/>
  <c r="A756" i="9" l="1"/>
  <c r="B755" i="9"/>
  <c r="B756" i="9" l="1"/>
  <c r="A757" i="9"/>
  <c r="A758" i="9" l="1"/>
  <c r="B757" i="9"/>
  <c r="B758" i="9" l="1"/>
  <c r="A759" i="9"/>
  <c r="A760" i="9" l="1"/>
  <c r="B759" i="9"/>
  <c r="A761" i="9" l="1"/>
  <c r="B760" i="9"/>
  <c r="A762" i="9" l="1"/>
  <c r="B761" i="9"/>
  <c r="A763" i="9" l="1"/>
  <c r="B762" i="9"/>
  <c r="A764" i="9" l="1"/>
  <c r="B763" i="9"/>
  <c r="A765" i="9" l="1"/>
  <c r="B764" i="9"/>
  <c r="A766" i="9" l="1"/>
  <c r="B765" i="9"/>
  <c r="A767" i="9" l="1"/>
  <c r="B766" i="9"/>
  <c r="A768" i="9" l="1"/>
  <c r="B767" i="9"/>
  <c r="A769" i="9" l="1"/>
  <c r="B768" i="9"/>
  <c r="B769" i="9" l="1"/>
  <c r="A770" i="9"/>
  <c r="A771" i="9" l="1"/>
  <c r="B770" i="9"/>
  <c r="B771" i="9" l="1"/>
  <c r="A772" i="9"/>
  <c r="A773" i="9" l="1"/>
  <c r="B772" i="9"/>
  <c r="A774" i="9" l="1"/>
  <c r="B773" i="9"/>
  <c r="A775" i="9" l="1"/>
  <c r="B774" i="9"/>
  <c r="A776" i="9" l="1"/>
  <c r="B775" i="9"/>
  <c r="A777" i="9" l="1"/>
  <c r="B776" i="9"/>
  <c r="A778" i="9" l="1"/>
  <c r="B777" i="9"/>
  <c r="A779" i="9" l="1"/>
  <c r="B778" i="9"/>
  <c r="A780" i="9" l="1"/>
  <c r="B779" i="9"/>
  <c r="A781" i="9" l="1"/>
  <c r="B780" i="9"/>
  <c r="A782" i="9" l="1"/>
  <c r="B781" i="9"/>
  <c r="A783" i="9" l="1"/>
  <c r="B782" i="9"/>
  <c r="A784" i="9" l="1"/>
  <c r="B783" i="9"/>
  <c r="A785" i="9" l="1"/>
  <c r="B784" i="9"/>
  <c r="A786" i="9" l="1"/>
  <c r="B785" i="9"/>
  <c r="A787" i="9" l="1"/>
  <c r="B786" i="9"/>
  <c r="A788" i="9" l="1"/>
  <c r="B787" i="9"/>
  <c r="A789" i="9" l="1"/>
  <c r="B788" i="9"/>
  <c r="A790" i="9" l="1"/>
  <c r="B789" i="9"/>
  <c r="B790" i="9" l="1"/>
  <c r="A791" i="9"/>
  <c r="A792" i="9" l="1"/>
  <c r="B791" i="9"/>
  <c r="B792" i="9" l="1"/>
  <c r="A793" i="9"/>
  <c r="A794" i="9" l="1"/>
  <c r="B793" i="9"/>
  <c r="A795" i="9" l="1"/>
  <c r="B794" i="9"/>
  <c r="A796" i="9" l="1"/>
  <c r="B795" i="9"/>
  <c r="A797" i="9" l="1"/>
  <c r="B796" i="9"/>
  <c r="A798" i="9" l="1"/>
  <c r="B797" i="9"/>
  <c r="A799" i="9" l="1"/>
  <c r="B798" i="9"/>
  <c r="A800" i="9" l="1"/>
  <c r="B799" i="9"/>
  <c r="A801" i="9" l="1"/>
  <c r="B800" i="9"/>
  <c r="A802" i="9" l="1"/>
  <c r="B801" i="9"/>
  <c r="B802" i="9" l="1"/>
  <c r="A803" i="9"/>
  <c r="B803" i="9" l="1"/>
  <c r="A804" i="9"/>
  <c r="A805" i="9" l="1"/>
  <c r="B804" i="9"/>
  <c r="K79" i="4"/>
  <c r="K79" i="5"/>
  <c r="K79" i="13"/>
  <c r="K79" i="14"/>
  <c r="K79" i="2"/>
  <c r="N79" i="5"/>
  <c r="N79" i="4"/>
  <c r="N79" i="13"/>
  <c r="N79" i="14"/>
  <c r="N79" i="2"/>
  <c r="K80" i="13" l="1"/>
  <c r="K80" i="14"/>
  <c r="K80" i="4"/>
  <c r="K80" i="5"/>
  <c r="F92" i="16"/>
  <c r="N90" i="20"/>
  <c r="K90" i="20"/>
  <c r="E92" i="16"/>
  <c r="I90" i="20"/>
  <c r="N80" i="5"/>
  <c r="F90" i="20"/>
  <c r="N80" i="4"/>
  <c r="H90" i="20"/>
  <c r="D92" i="16"/>
  <c r="C90" i="20"/>
  <c r="N79" i="6"/>
  <c r="N80" i="6" s="1"/>
  <c r="N80" i="2"/>
  <c r="E90" i="20"/>
  <c r="C92" i="16"/>
  <c r="L90" i="20"/>
  <c r="N80" i="13"/>
  <c r="O90" i="20"/>
  <c r="N80" i="14"/>
  <c r="B90" i="20"/>
  <c r="B92" i="16"/>
  <c r="K79" i="6"/>
  <c r="K80" i="2"/>
  <c r="B805" i="9"/>
  <c r="D93" i="16" l="1"/>
  <c r="H91" i="20"/>
  <c r="E91" i="20"/>
  <c r="C93" i="16"/>
  <c r="F93" i="16"/>
  <c r="N91" i="20"/>
  <c r="E93" i="16"/>
  <c r="K91" i="20"/>
  <c r="G92" i="16"/>
  <c r="A74" i="18" s="1"/>
  <c r="U74" i="18" s="1"/>
  <c r="N89" i="13"/>
  <c r="L91" i="20"/>
  <c r="N89" i="4"/>
  <c r="F91" i="20"/>
  <c r="B93" i="16"/>
  <c r="B91" i="20"/>
  <c r="K84" i="5"/>
  <c r="K84" i="14"/>
  <c r="K84" i="13"/>
  <c r="K84" i="4"/>
  <c r="K84" i="2"/>
  <c r="A65" i="18"/>
  <c r="K80" i="6"/>
  <c r="N89" i="5"/>
  <c r="I91" i="20"/>
  <c r="F86" i="6"/>
  <c r="F90" i="6"/>
  <c r="F85" i="6"/>
  <c r="F87" i="6"/>
  <c r="F89" i="6"/>
  <c r="F88" i="6"/>
  <c r="F84" i="6"/>
  <c r="G87" i="5"/>
  <c r="G87" i="2"/>
  <c r="N84" i="5"/>
  <c r="F90" i="14"/>
  <c r="F90" i="2"/>
  <c r="G91" i="13"/>
  <c r="N90" i="13"/>
  <c r="L96" i="20" s="1"/>
  <c r="F90" i="13"/>
  <c r="N84" i="14"/>
  <c r="G89" i="14"/>
  <c r="N91" i="14"/>
  <c r="O97" i="20" s="1"/>
  <c r="N84" i="4"/>
  <c r="G88" i="14"/>
  <c r="G91" i="5"/>
  <c r="G92" i="5"/>
  <c r="N90" i="2"/>
  <c r="N89" i="2"/>
  <c r="G91" i="4"/>
  <c r="F93" i="4"/>
  <c r="F90" i="4"/>
  <c r="G88" i="4"/>
  <c r="G87" i="14"/>
  <c r="N91" i="5"/>
  <c r="I97" i="20" s="1"/>
  <c r="G89" i="4"/>
  <c r="G92" i="13"/>
  <c r="G88" i="13"/>
  <c r="G88" i="5"/>
  <c r="F93" i="14"/>
  <c r="N84" i="13"/>
  <c r="F93" i="5"/>
  <c r="N84" i="2"/>
  <c r="N90" i="14"/>
  <c r="O96" i="20" s="1"/>
  <c r="N91" i="4"/>
  <c r="F97" i="20" s="1"/>
  <c r="N91" i="13"/>
  <c r="L97" i="20" s="1"/>
  <c r="G92" i="4"/>
  <c r="G89" i="13"/>
  <c r="N90" i="4"/>
  <c r="F96" i="20" s="1"/>
  <c r="G88" i="2"/>
  <c r="F93" i="2"/>
  <c r="F90" i="5"/>
  <c r="C91" i="20"/>
  <c r="N91" i="2"/>
  <c r="G91" i="2"/>
  <c r="G89" i="2"/>
  <c r="N90" i="5"/>
  <c r="I96" i="20" s="1"/>
  <c r="F93" i="13"/>
  <c r="G87" i="4"/>
  <c r="G91" i="14"/>
  <c r="G89" i="5"/>
  <c r="G87" i="13"/>
  <c r="G92" i="2"/>
  <c r="G92" i="14"/>
  <c r="Q90" i="20"/>
  <c r="N89" i="14"/>
  <c r="O91" i="20"/>
  <c r="R90" i="20"/>
  <c r="Q91" i="20" l="1"/>
  <c r="G93" i="16"/>
  <c r="P91" i="5"/>
  <c r="C97" i="20"/>
  <c r="N88" i="6"/>
  <c r="P91" i="2"/>
  <c r="R97" i="20" s="1"/>
  <c r="P91" i="13"/>
  <c r="P91" i="4"/>
  <c r="P91" i="14"/>
  <c r="L95" i="20"/>
  <c r="N92" i="13"/>
  <c r="N93" i="13"/>
  <c r="R91" i="20"/>
  <c r="N86" i="6"/>
  <c r="C95" i="20"/>
  <c r="P89" i="4"/>
  <c r="N92" i="2"/>
  <c r="P89" i="5"/>
  <c r="N93" i="2"/>
  <c r="P89" i="2"/>
  <c r="P89" i="14"/>
  <c r="P89" i="13"/>
  <c r="C96" i="20"/>
  <c r="P90" i="14"/>
  <c r="N87" i="6"/>
  <c r="P90" i="4"/>
  <c r="P90" i="2"/>
  <c r="R96" i="20" s="1"/>
  <c r="P90" i="13"/>
  <c r="P90" i="5"/>
  <c r="O95" i="20"/>
  <c r="N93" i="14"/>
  <c r="N92" i="14"/>
  <c r="U65" i="18"/>
  <c r="N93" i="5"/>
  <c r="N92" i="5"/>
  <c r="I95" i="20"/>
  <c r="A4" i="20"/>
  <c r="A4" i="16"/>
  <c r="N92" i="4"/>
  <c r="N93" i="4"/>
  <c r="F95" i="20"/>
  <c r="P93" i="5" l="1"/>
  <c r="P92" i="5"/>
  <c r="L99" i="20"/>
  <c r="L98" i="20"/>
  <c r="R95" i="20"/>
  <c r="P92" i="2"/>
  <c r="P93" i="2"/>
  <c r="F99" i="20"/>
  <c r="F98" i="20"/>
  <c r="P92" i="4"/>
  <c r="P93" i="4"/>
  <c r="C99" i="20"/>
  <c r="C98" i="20"/>
  <c r="I99" i="20"/>
  <c r="I98" i="20"/>
  <c r="O99" i="20"/>
  <c r="O98" i="20"/>
  <c r="N90" i="6"/>
  <c r="N89" i="6"/>
  <c r="P92" i="13"/>
  <c r="P93" i="13"/>
  <c r="P93" i="14"/>
  <c r="P92" i="14"/>
  <c r="R99" i="20" l="1"/>
  <c r="R9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tc={6369CA53-D26D-4B95-A046-21B96843330C}</author>
    <author>tc={8981A012-1D59-411A-9FB0-DB0AE400F7C3}</author>
    <author>tc={FC1E02BD-51D0-43D4-AAA3-AE2305412672}</author>
    <author>tc={4DFCB001-A623-4D29-B8A5-495473D63A06}</author>
    <author>tc={7527E054-8A64-467E-958C-6E4C9FC70413}</author>
    <author>tc={DBA35FB5-2C01-4580-BCB4-109652B40B42}</author>
    <author>tc={C818A039-517C-4256-B74E-E9C063CB2E94}</author>
    <author>tc={6C8C2D62-1CF6-4290-B405-C8F725DB4E20}</author>
    <author>tc={D507763D-95B6-4157-863B-629017361616}</author>
    <author>tc={0CEE33F8-5397-4048-84ED-B3A1B64987B6}</author>
    <author>tc={F9754476-FCC6-48B2-B971-99CCD423FFB9}</author>
    <author>tc={03650236-F6E5-41A1-B1EF-1E2465A4CAE5}</author>
    <author>tc={6CF4F895-08BC-48A6-B001-775D240FA0AC}</author>
    <author>tc={899B3CBD-E986-42DD-B4B4-3F986D6468A2}</author>
    <author>tc={293FB106-48BE-4B27-A4E4-CA40AC724B19}</author>
    <author>tc={09EC1D5D-915F-4141-A4F9-284618FF8B20}</author>
    <author>tc={80F96850-486A-4981-9FC0-5EDC43AD6F98}</author>
    <author>tc={93E01581-7449-411C-A43C-2BFB3D98B876}</author>
    <author>tc={C8309D82-3090-4E9D-96F9-328DE2236420}</author>
    <author>tc={173F25F3-0814-47E6-80EB-005C49D8B573}</author>
    <author>tc={81C83F75-A71A-493D-8502-E7A14E5FA519}</author>
    <author>tc={EA01ED2B-3194-4675-A59A-426EC969B3E0}</author>
  </authors>
  <commentList>
    <comment ref="K8"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You can change this to any date (i.e., mid-month) by removing the data validation for this cell.</t>
      </text>
    </comment>
    <comment ref="K10" authorId="1" shapeId="0" xr:uid="{00000000-0006-0000-0200-000002000000}">
      <text>
        <t xml:space="preserve">[Threaded comment]
Your version of Excel allows you to read this threaded comment; however, any edits to it will get removed if the file is opened in a newer version of Excel. Learn more: https://go.microsoft.com/fwlink/?linkid=870924
Comment:
    If the field says #VALUE!, go to Tools &gt; Add-Ins and click on Analysis Toolpak then reselect Budget Year Start </t>
      </text>
    </comment>
    <comment ref="M14"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Cost share effort can only be committed for academic (if 9 month) or calendar (if 10, 11, or 12 month) months.</t>
      </text>
    </comment>
    <comment ref="B15"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Type PI name here.  It will automatically copy to all other budget pages.</t>
      </text>
    </comment>
    <comment ref="L15" authorId="4" shapeId="0" xr:uid="{00000000-0006-0000-0200-000005000000}">
      <text>
        <t>[Threaded comment]
Your version of Excel allows you to read this threaded comment; however, any edits to it will get removed if the file is opened in a newer version of Excel. Learn more: https://go.microsoft.com/fwlink/?linkid=870924
Comment:
    Auto calculates fringe by personnel salary entered to left, based on project start date entered above.</t>
      </text>
    </comment>
    <comment ref="H32" authorId="5" shapeId="0" xr:uid="{00000000-0006-0000-0200-000006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P32" authorId="6" shapeId="0" xr:uid="{00000000-0006-0000-0200-000007000000}">
      <text>
        <t>[Threaded comment]
Your version of Excel allows you to read this threaded comment; however, any edits to it will get removed if the file is opened in a newer version of Excel. Learn more: https://go.microsoft.com/fwlink/?linkid=870924
Comment:
    Northwestern minimum for salary. Update if higher.</t>
      </text>
    </comment>
    <comment ref="H33" authorId="7" shapeId="0" xr:uid="{00000000-0006-0000-0200-000008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4" authorId="8" shapeId="0" xr:uid="{00000000-0006-0000-0200-000009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5" authorId="9" shapeId="0" xr:uid="{00000000-0006-0000-0200-00000A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6" authorId="10" shapeId="0" xr:uid="{00000000-0006-0000-0200-00000B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7" authorId="11" shapeId="0" xr:uid="{00000000-0006-0000-0200-00000C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B38" authorId="12" shapeId="0" xr:uid="{00000000-0006-0000-0200-00000D000000}">
      <text>
        <t>[Threaded comment]
Your version of Excel allows you to read this threaded comment; however, any edits to it will get removed if the file is opened in a newer version of Excel. Learn more: https://go.microsoft.com/fwlink/?linkid=870924
Comment:
    Insert number of graduate students here.
This will drive the tuition cost to grant, in the Other Direct Costs section.</t>
      </text>
    </comment>
    <comment ref="H38" authorId="13" shapeId="0" xr:uid="{00000000-0006-0000-0200-00000E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intervals of 3 months (a quarter).</t>
      </text>
    </comment>
    <comment ref="L38" authorId="14" shapeId="0" xr:uid="{00000000-0006-0000-0200-00000F000000}">
      <text>
        <t>[Threaded comment]
Your version of Excel allows you to read this threaded comment; however, any edits to it will get removed if the file is opened in a newer version of Excel. Learn more: https://go.microsoft.com/fwlink/?linkid=870924
Comment:
    This field is calculated with graduate student fringe rate.</t>
      </text>
    </comment>
    <comment ref="P38" authorId="15" shapeId="0" xr:uid="{00000000-0006-0000-0200-000010000000}">
      <text>
        <t>[Threaded comment]
Your version of Excel allows you to read this threaded comment; however, any edits to it will get removed if the file is opened in a newer version of Excel. Learn more: https://go.microsoft.com/fwlink/?linkid=870924
Comment:
    The FY20 TGS minimum stipend Rate is $2,737/month or $32,844/year. Update if department rate is higher or using blended rates.</t>
      </text>
    </comment>
    <comment ref="H39" authorId="16" shapeId="0" xr:uid="{00000000-0006-0000-0200-000011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40" authorId="17" shapeId="0" xr:uid="{00000000-0006-0000-0200-000012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L40" authorId="18" shapeId="0" xr:uid="{00000000-0006-0000-0200-000013000000}">
      <text>
        <t>[Threaded comment]
Your version of Excel allows you to read this threaded comment; however, any edits to it will get removed if the file is opened in a newer version of Excel. Learn more: https://go.microsoft.com/fwlink/?linkid=870924
Comment:
    This field is calculated with statutory fringe rate.</t>
      </text>
    </comment>
    <comment ref="C60" authorId="19" shapeId="0" xr:uid="{00000000-0006-0000-0200-000014000000}">
      <text>
        <t>[Threaded comment]
Your version of Excel allows you to read this threaded comment; however, any edits to it will get removed if the file is opened in a newer version of Excel. Learn more: https://go.microsoft.com/fwlink/?linkid=870924
Comment:
    Example: Laboratory services, human subject fees, animal subject costs</t>
      </text>
    </comment>
    <comment ref="C61" authorId="20" shapeId="0" xr:uid="{00000000-0006-0000-0200-000015000000}">
      <text>
        <t>[Threaded comment]
Your version of Excel allows you to read this threaded comment; however, any edits to it will get removed if the file is opened in a newer version of Excel. Learn more: https://go.microsoft.com/fwlink/?linkid=870924
Comment:
    Example: Participant support costs</t>
      </text>
    </comment>
    <comment ref="G77" authorId="21" shapeId="0" xr:uid="{00000000-0006-0000-0200-000016000000}">
      <text>
        <t>[Threaded comment]
Your version of Excel allows you to read this threaded comment; however, any edits to it will get removed if the file is opened in a newer version of Excel. Learn more: https://go.microsoft.com/fwlink/?linkid=870924
Comment:
    Listed rate is for the BP's starting Month, F&amp;A is calculated using a blended rate. Unless manually modified.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tc={67370E65-BB71-49C7-BCB6-DBB8896D0E84}</author>
    <author>tc={6695BF08-C1E2-472D-A31F-D0E771BC3CE7}</author>
    <author>tc={4791191A-11B9-46E3-9931-EE0611239F95}</author>
    <author>tc={3C8722C9-D7A0-4A85-AB65-1CB9EFB40FCD}</author>
    <author>tc={C0C4431F-3001-406E-B037-4BE13226B9E2}</author>
    <author>tc={D69F1058-0F1B-479B-9157-E6D922512215}</author>
    <author>tc={2AA27221-9295-4AD4-ACFD-14C5CC31B873}</author>
    <author>tc={E0219C32-F0B2-442E-AA49-75CC7FB726AA}</author>
    <author>tc={036BFBD8-0E1B-45AE-93B8-DA0E5ABA7462}</author>
  </authors>
  <commentList>
    <comment ref="H32"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3"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4"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5"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6" authorId="4" shapeId="0" xr:uid="{00000000-0006-0000-0300-000005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7" authorId="5" shapeId="0" xr:uid="{00000000-0006-0000-0300-000006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8" authorId="6" shapeId="0" xr:uid="{00000000-0006-0000-0300-000007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9" authorId="7" shapeId="0" xr:uid="{00000000-0006-0000-0300-000008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40" authorId="8" shapeId="0" xr:uid="{00000000-0006-0000-0300-000009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tc={89F1CB09-86F0-4D36-B2AE-2239755C48AE}</author>
    <author>tc={BFF0C05E-6F02-4462-AF4E-9A3A4110D413}</author>
    <author>tc={9252E790-7DDF-43D7-8227-AFC6538265D7}</author>
    <author>tc={5940B71B-F316-4FD7-8FF7-A74DBED809F6}</author>
    <author>tc={BD9939AA-1DF6-4590-92C7-73C0541633BF}</author>
    <author>tc={CC2BAFD2-FC0F-4DCA-A6B5-9F11F85FE0C3}</author>
    <author>tc={C30FB1A5-8B0D-44A2-A6E4-3A539F8F98AB}</author>
    <author>tc={CC8A343C-FDEF-4D65-9DAB-6CA5D7A87B8B}</author>
    <author>tc={FDC0D041-7C17-4807-B77C-AD8CF3A2CF7C}</author>
  </authors>
  <commentList>
    <comment ref="H32"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3"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4"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5"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6" authorId="4" shapeId="0" xr:uid="{00000000-0006-0000-0400-000005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7" authorId="5" shapeId="0" xr:uid="{00000000-0006-0000-0400-000006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8" authorId="6" shapeId="0" xr:uid="{00000000-0006-0000-0400-000007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9" authorId="7" shapeId="0" xr:uid="{00000000-0006-0000-0400-000008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40" authorId="8" shapeId="0" xr:uid="{00000000-0006-0000-0400-000009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tc={69C23923-06BD-4E39-8951-09B646D659E8}</author>
    <author>tc={B91AEB54-B069-42F2-ACE8-6B5A27116C20}</author>
    <author>tc={8BB8A11A-1030-4F19-A554-BFC5EADF3059}</author>
    <author>tc={034799DD-B933-4397-9DAB-32A5D0BB43AD}</author>
    <author>tc={FCCD2E28-CBD5-428C-9EE3-2B34E447C200}</author>
    <author>tc={E26F9998-C1CF-44B6-96B9-FF292BEBC29B}</author>
    <author>tc={E7EECBE9-8CE6-4A3E-A882-C3415AB89CE0}</author>
    <author>tc={A14B8611-ED7E-482D-90EB-A1BD87F27776}</author>
    <author>tc={F52A9170-CF5E-4ED3-889E-58A9F33EB92A}</author>
  </authors>
  <commentList>
    <comment ref="H32"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3"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4" authorId="2" shapeId="0" xr:uid="{00000000-0006-0000-0500-000003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5" authorId="3" shapeId="0" xr:uid="{00000000-0006-0000-0500-000004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6" authorId="4" shapeId="0" xr:uid="{00000000-0006-0000-0500-000005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7" authorId="5" shapeId="0" xr:uid="{00000000-0006-0000-0500-000006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8" authorId="6" shapeId="0" xr:uid="{00000000-0006-0000-0500-000007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9" authorId="7" shapeId="0" xr:uid="{00000000-0006-0000-0500-000008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40" authorId="8" shapeId="0" xr:uid="{00000000-0006-0000-0500-000009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tc={A0E48B2A-0BEA-4544-971D-8CAA3515E656}</author>
    <author>tc={94B6D005-977F-4C38-91AC-9F1AD7F9E9AA}</author>
    <author>tc={3E569483-A4F0-40F7-BA05-407DA85E7CE9}</author>
    <author>tc={0E472065-B46E-4000-91A6-666A89C27A1F}</author>
    <author>tc={92DE84D3-D75D-4296-ABEE-D672C5DBF336}</author>
    <author>tc={FB3D8803-B9FB-40C1-98A9-8C3B0CC087E8}</author>
    <author>tc={37346E61-B275-4ABB-A845-2255FD52D6E4}</author>
    <author>tc={09CFE120-2F21-4C37-90DB-F436B2583B72}</author>
    <author>tc={859410D9-ECFB-4470-AFA9-D8959FD9663B}</author>
  </authors>
  <commentList>
    <comment ref="H32"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3"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4"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5" authorId="3" shapeId="0" xr:uid="{00000000-0006-0000-0600-000004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6" authorId="4"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7" authorId="5" shapeId="0" xr:uid="{00000000-0006-0000-0600-000006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8" authorId="6" shapeId="0" xr:uid="{00000000-0006-0000-0600-000007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9" authorId="7" shapeId="0" xr:uid="{00000000-0006-0000-0600-000008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40" authorId="8" shapeId="0" xr:uid="{00000000-0006-0000-0600-000009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tc={C2574E76-ECC7-4B40-829C-703FD11191FE}</author>
    <author>tc={14AA5514-A76C-4AF1-ACD7-418E35426D6F}</author>
    <author>tc={B1CEFA16-FC0F-4D85-94C6-AD7862EB6F84}</author>
    <author>tc={2DB2304C-B95C-427E-8EA3-337D3D66F91D}</author>
    <author>tc={E46FD315-064A-4445-9100-721A9D302354}</author>
    <author>tc={C3EAEBE7-D961-4F68-A8F8-89A1BB7A43F7}</author>
    <author>tc={2FFB7D49-7DAD-46D5-8102-F2FE1EFC4705}</author>
    <author>tc={64A4ACF0-6987-498E-869D-AE17DC64C16A}</author>
    <author>tc={7ABFC207-5450-4B99-8934-789316F50597}</author>
    <author>tc={8FD8BC0A-30E5-4F02-BEF9-3FD2A9E04AC6}</author>
    <author>tc={26C4C966-09E9-441E-8F8A-4C5E9988E76E}</author>
    <author>tc={79122D2D-66B6-4372-BEC7-ED67BB4FA85F}</author>
    <author>tc={607D5E5B-C027-42AB-8DFE-BC76FC2450A5}</author>
    <author>tc={A67C8CD1-7574-41D2-948A-482CB47ABF31}</author>
    <author>tc={3B2CA01A-93CF-4EC8-85BB-ECF3D5463D8D}</author>
    <author>tc={5BF117BA-E325-43E7-8507-431F8917D8E1}</author>
    <author>tc={FC267335-0C8E-4682-A00D-A1A91AF5D8EE}</author>
    <author>tc={60E580EB-8B00-4AC0-85C8-EE8BEEAA51A7}</author>
    <author>tc={1AAA62DA-7E97-400D-8517-CDCB601DBAE6}</author>
  </authors>
  <commentList>
    <comment ref="N2"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Enter # of days here.</t>
      </text>
    </comment>
    <comment ref="N3" authorId="1" shapeId="0" xr:uid="{00000000-0006-0000-0A00-000002000000}">
      <text>
        <t>[Threaded comment]
Your version of Excel allows you to read this threaded comment; however, any edits to it will get removed if the file is opened in a newer version of Excel. Learn more: https://go.microsoft.com/fwlink/?linkid=870924
Comment:
    Enter # of travelers here.</t>
      </text>
    </comment>
    <comment ref="N4" authorId="2" shapeId="0" xr:uid="{00000000-0006-0000-0A00-000003000000}">
      <text>
        <t>[Threaded comment]
Your version of Excel allows you to read this threaded comment; however, any edits to it will get removed if the file is opened in a newer version of Excel. Learn more: https://go.microsoft.com/fwlink/?linkid=870924
Comment:
    Enter cost-share percentage here.</t>
      </text>
    </comment>
    <comment ref="I9" authorId="3" shapeId="0" xr:uid="{00000000-0006-0000-0A00-000004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9" authorId="4" shapeId="0" xr:uid="{00000000-0006-0000-0A00-000005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9" authorId="5" shapeId="0" xr:uid="{00000000-0006-0000-0A00-000006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0" authorId="6" shapeId="0" xr:uid="{00000000-0006-0000-0A00-000007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0" authorId="7" shapeId="0" xr:uid="{00000000-0006-0000-0A00-000008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0" authorId="8" shapeId="0" xr:uid="{00000000-0006-0000-0A00-000009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1" authorId="9" shapeId="0" xr:uid="{00000000-0006-0000-0A00-00000A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1" authorId="10" shapeId="0" xr:uid="{00000000-0006-0000-0A00-00000B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1" authorId="11" shapeId="0" xr:uid="{00000000-0006-0000-0A00-00000C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2" authorId="12" shapeId="0" xr:uid="{00000000-0006-0000-0A00-00000D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2" authorId="13" shapeId="0" xr:uid="{00000000-0006-0000-0A00-00000E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2" authorId="14" shapeId="0" xr:uid="{00000000-0006-0000-0A00-00000F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3" authorId="15" shapeId="0" xr:uid="{00000000-0006-0000-0A00-000010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3" authorId="16" shapeId="0" xr:uid="{00000000-0006-0000-0A00-000011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3" authorId="17" shapeId="0" xr:uid="{00000000-0006-0000-0A00-000012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H17" authorId="18" shapeId="0" xr:uid="{00000000-0006-0000-0A00-000013000000}">
      <text>
        <t xml:space="preserve">[Threaded comment]
Your version of Excel allows you to read this threaded comment; however, any edits to it will get removed if the file is opened in a newer version of Excel. Learn more: https://go.microsoft.com/fwlink/?linkid=870924
Comment:
    If (domestic) destination is unknown, use these rates for Lodging and M&amp;IE.
</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tc={B0425895-DF47-4AAF-8014-7F94219A5AB3}</author>
    <author>tc={9912DD39-F228-4D44-B35E-29A065A6FA9B}</author>
    <author>tc={4144F7DA-1B19-419C-AC48-129DE91EC6D2}</author>
    <author>tc={A02FC428-DB01-4A4F-8FA8-5D1B2511B3DC}</author>
    <author>tc={A23EB8FD-9445-47F3-BFAE-B8A745B02816}</author>
    <author>tc={357B9499-0C55-42C1-A4AD-6E5FA7308C7F}</author>
    <author>tc={FC5707F5-C204-4E6C-A969-32BC2DAC9D48}</author>
    <author>tc={20FFDB19-2A8D-4CD1-A853-78D0E90A84C2}</author>
    <author>tc={70230BEA-0414-40E2-940C-4795E40BC65F}</author>
    <author>tc={45D01AEB-4856-489D-A276-41DC0FF49D19}</author>
  </authors>
  <commentList>
    <comment ref="J74" authorId="0" shapeId="0" xr:uid="{00000000-0006-0000-0C00-000001000000}">
      <text>
        <t>[Threaded comment]
Your version of Excel allows you to read this threaded comment; however, any edits to it will get removed if the file is opened in a newer version of Excel. Learn more: https://go.microsoft.com/fwlink/?linkid=870924
Comment:
    Rates are actual FY13 benefit rates from 7/30/12 Eugene Sunshine memo.</t>
      </text>
    </comment>
    <comment ref="L74" authorId="1" shapeId="0" xr:uid="{00000000-0006-0000-0C00-000002000000}">
      <text>
        <t>[Threaded comment]
Your version of Excel allows you to read this threaded comment; however, any edits to it will get removed if the file is opened in a newer version of Excel. Learn more: https://go.microsoft.com/fwlink/?linkid=870924
Comment:
    Quarterly rate per TGS 5/17/12.</t>
      </text>
    </comment>
    <comment ref="J86" authorId="2" shapeId="0" xr:uid="{00000000-0006-0000-0C00-000003000000}">
      <text>
        <t>[Threaded comment]
Your version of Excel allows you to read this threaded comment; however, any edits to it will get removed if the file is opened in a newer version of Excel. Learn more: https://go.microsoft.com/fwlink/?linkid=870924
Comment:
    Rates from 7/30/12 Eugene Sunshine memo - projected for FY14-17.</t>
      </text>
    </comment>
    <comment ref="L86" authorId="3" shapeId="0" xr:uid="{00000000-0006-0000-0C00-000004000000}">
      <text>
        <t>[Threaded comment]
Your version of Excel allows you to read this threaded comment; however, any edits to it will get removed if the file is opened in a newer version of Excel. Learn more: https://go.microsoft.com/fwlink/?linkid=870924
Comment:
    Quarterly rate per TGS 4/30/13</t>
      </text>
    </comment>
    <comment ref="L98" authorId="4" shapeId="0" xr:uid="{00000000-0006-0000-0C00-000005000000}">
      <text>
        <t>[Threaded comment]
Your version of Excel allows you to read this threaded comment; however, any edits to it will get removed if the file is opened in a newer version of Excel. Learn more: https://go.microsoft.com/fwlink/?linkid=870924
Comment:
    Quarterly rates per TGS 05/01/2014</t>
      </text>
    </comment>
    <comment ref="L110" authorId="5" shapeId="0" xr:uid="{00000000-0006-0000-0C00-000006000000}">
      <text>
        <t>[Threaded comment]
Your version of Excel allows you to read this threaded comment; however, any edits to it will get removed if the file is opened in a newer version of Excel. Learn more: https://go.microsoft.com/fwlink/?linkid=870924
Comment:
    Quarterly rates per TGS 06/08/2015</t>
      </text>
    </comment>
    <comment ref="L122" authorId="6" shapeId="0" xr:uid="{00000000-0006-0000-0C00-000007000000}">
      <text>
        <t>[Threaded comment]
Your version of Excel allows you to read this threaded comment; however, any edits to it will get removed if the file is opened in a newer version of Excel. Learn more: https://go.microsoft.com/fwlink/?linkid=870924
Comment:
    Quarterly rates per TGS  5/2/2016</t>
      </text>
    </comment>
    <comment ref="L134" authorId="7" shapeId="0" xr:uid="{00000000-0006-0000-0C00-000008000000}">
      <text>
        <t>[Threaded comment]
Your version of Excel allows you to read this threaded comment; however, any edits to it will get removed if the file is opened in a newer version of Excel. Learn more: https://go.microsoft.com/fwlink/?linkid=870924
Comment:
    Quarterly Rate per TGS 5/24/17</t>
      </text>
    </comment>
    <comment ref="L146" authorId="8" shapeId="0" xr:uid="{00000000-0006-0000-0C00-000009000000}">
      <text>
        <t>[Threaded comment]
Your version of Excel allows you to read this threaded comment; however, any edits to it will get removed if the file is opened in a newer version of Excel. Learn more: https://go.microsoft.com/fwlink/?linkid=870924
Comment:
    Quarterly Rate per TGS 5/9/18</t>
      </text>
    </comment>
    <comment ref="L158" authorId="9" shapeId="0" xr:uid="{00000000-0006-0000-0C00-00000A000000}">
      <text>
        <t>[Threaded comment]
Your version of Excel allows you to read this threaded comment; however, any edits to it will get removed if the file is opened in a newer version of Excel. Learn more: https://go.microsoft.com/fwlink/?linkid=870924
Comment:
    Quarter PI Rate per TGS (3/12/19)</t>
      </text>
    </comment>
  </commentList>
</comments>
</file>

<file path=xl/sharedStrings.xml><?xml version="1.0" encoding="utf-8"?>
<sst xmlns="http://schemas.openxmlformats.org/spreadsheetml/2006/main" count="2838" uniqueCount="927">
  <si>
    <t>OTHER DIRECT COSTS</t>
  </si>
  <si>
    <t>Northwestern University</t>
  </si>
  <si>
    <t>CAL</t>
  </si>
  <si>
    <t>1. (</t>
  </si>
  <si>
    <t>3. (</t>
  </si>
  <si>
    <t>4. (</t>
  </si>
  <si>
    <t>5. (</t>
  </si>
  <si>
    <t>FullFed</t>
  </si>
  <si>
    <t>Full NonFed</t>
  </si>
  <si>
    <t>Statutory</t>
  </si>
  <si>
    <t>TGS (Student)</t>
  </si>
  <si>
    <t>3 month</t>
  </si>
  <si>
    <t>9 month</t>
  </si>
  <si>
    <t>12 month</t>
  </si>
  <si>
    <t>Summer Term</t>
  </si>
  <si>
    <t>Academic Year</t>
  </si>
  <si>
    <t>Calendar Year</t>
  </si>
  <si>
    <t>PM</t>
  </si>
  <si>
    <t>StartDateList</t>
  </si>
  <si>
    <t>EndDateList</t>
  </si>
  <si>
    <t>Tuition cost to grant</t>
  </si>
  <si>
    <t>For the NUCAPT facility rates are hourly and are applied in 0.25 h increments:</t>
  </si>
  <si>
    <t>Instrument</t>
  </si>
  <si>
    <t>LEAP Tomograph (Voltage Pulsing and Laser Pulsing)</t>
  </si>
  <si>
    <t>Metallographic Saw</t>
  </si>
  <si>
    <t>Imago Electropointer</t>
  </si>
  <si>
    <t>Electropolisher</t>
  </si>
  <si>
    <t>PC Workstation (IVAS)</t>
  </si>
  <si>
    <t>General Consultation</t>
  </si>
  <si>
    <t>For the NUANCE facility, instrument charges per hour:</t>
  </si>
  <si>
    <t>For the BIF facility, instrument charges per hour:</t>
  </si>
  <si>
    <t>Rate</t>
  </si>
  <si>
    <t>For the CLaMMP facility:</t>
  </si>
  <si>
    <t>Salary</t>
  </si>
  <si>
    <t>Fringe</t>
  </si>
  <si>
    <t>Requested by Applicant</t>
  </si>
  <si>
    <t>Quarterly</t>
  </si>
  <si>
    <t>Information for SF424</t>
  </si>
  <si>
    <t>Information for R&amp;R Budget</t>
  </si>
  <si>
    <t>Organizational DUNS (Evanston)</t>
  </si>
  <si>
    <t>Legal Name</t>
  </si>
  <si>
    <t>Name of Organization</t>
  </si>
  <si>
    <t>Department Name</t>
  </si>
  <si>
    <t>Indirect Cost Type</t>
  </si>
  <si>
    <t>Office for Sponsored Research</t>
  </si>
  <si>
    <t>Modified Total Direct Cost</t>
  </si>
  <si>
    <t>Division</t>
  </si>
  <si>
    <t>Cognizant Federal Agency</t>
  </si>
  <si>
    <t>Evanston Campus</t>
  </si>
  <si>
    <t>Street 1</t>
  </si>
  <si>
    <t>Indirect Cost Rate Agreement Date</t>
  </si>
  <si>
    <t>Street 2</t>
  </si>
  <si>
    <t>City</t>
  </si>
  <si>
    <t>Evanston</t>
  </si>
  <si>
    <t>County</t>
  </si>
  <si>
    <t>Cook</t>
  </si>
  <si>
    <t>State</t>
  </si>
  <si>
    <t>IL</t>
  </si>
  <si>
    <t>Zip</t>
  </si>
  <si>
    <t>Person to be contacted on matters involving this application</t>
  </si>
  <si>
    <t>phone: 847-491-3003</t>
  </si>
  <si>
    <t>fax: 847-491-4800</t>
  </si>
  <si>
    <t>OSR-Evanston@northwestern.edu</t>
  </si>
  <si>
    <t>EIN</t>
  </si>
  <si>
    <t>36-2167817 (For NIH: 1362167817A1)</t>
  </si>
  <si>
    <t>Type of Applicant</t>
  </si>
  <si>
    <t>O: Private Institution of Higher Education</t>
  </si>
  <si>
    <t>Areas Affected by the Project</t>
  </si>
  <si>
    <t>Evanston, Cook County, IL</t>
  </si>
  <si>
    <t>Congressional District</t>
  </si>
  <si>
    <t>IL-009</t>
  </si>
  <si>
    <r>
      <t>If non-NIH proposal,</t>
    </r>
    <r>
      <rPr>
        <b/>
        <sz val="10"/>
        <rFont val="Geneva"/>
        <family val="2"/>
      </rPr>
      <t xml:space="preserve"> </t>
    </r>
    <r>
      <rPr>
        <sz val="10"/>
        <rFont val="Geneva"/>
        <family val="2"/>
      </rPr>
      <t>the authorized representative on page 2 should be:</t>
    </r>
  </si>
  <si>
    <t>Division, Field 15</t>
  </si>
  <si>
    <t>Hysitron TriboIndenter</t>
  </si>
  <si>
    <t>non fed</t>
  </si>
  <si>
    <t>fed</t>
  </si>
  <si>
    <t>statutory</t>
  </si>
  <si>
    <t>student</t>
  </si>
  <si>
    <t>For the Genomics Core facility at CGM:</t>
  </si>
  <si>
    <t>Traditional Sequencing</t>
  </si>
  <si>
    <t>DNA Extraction</t>
  </si>
  <si>
    <t>Differential Scanning Calorimeter</t>
  </si>
  <si>
    <t>Fluorescence Polarization</t>
  </si>
  <si>
    <t>Circular Dichroism Spectrometer</t>
  </si>
  <si>
    <t>Fluorescence Plate Reader</t>
  </si>
  <si>
    <t>Dynamic Light Scattering</t>
  </si>
  <si>
    <t>Real Time PCR</t>
  </si>
  <si>
    <t>For the QBIC facility:</t>
  </si>
  <si>
    <t>Services</t>
  </si>
  <si>
    <t>Training</t>
  </si>
  <si>
    <t>Total Senior Personnel Salary</t>
  </si>
  <si>
    <t>Total Senior Personnel Fringe</t>
  </si>
  <si>
    <t>Total Salaries and Wages</t>
  </si>
  <si>
    <t>Total Fringe Benefits</t>
  </si>
  <si>
    <t>Domestic Travel</t>
  </si>
  <si>
    <t>Foreign Travel</t>
  </si>
  <si>
    <t>Total Other Direct Costs</t>
  </si>
  <si>
    <t>Indirect Costs</t>
  </si>
  <si>
    <t>Total Direct and Indirect Costs</t>
  </si>
  <si>
    <t>Total</t>
  </si>
  <si>
    <t>Annual Salary Increase</t>
  </si>
  <si>
    <t>Modified Total Direct Costs (MTDC)</t>
  </si>
  <si>
    <t>Total Salaries, Wages, &amp; Fringe Benefits</t>
  </si>
  <si>
    <t>Department of Health and Human Services (DHHS), Arif Karim, 214/767-3261</t>
  </si>
  <si>
    <t>For the Behavioral Phenotyping Core (BPC):</t>
  </si>
  <si>
    <t>Water Maze</t>
  </si>
  <si>
    <t>DigiGate</t>
  </si>
  <si>
    <t>Surgery</t>
  </si>
  <si>
    <t>BPC Definitions:</t>
  </si>
  <si>
    <t>BPC Rates:</t>
  </si>
  <si>
    <t>Total Travel</t>
  </si>
  <si>
    <t>Base Salary</t>
  </si>
  <si>
    <t>IBS Ion-Beam sputtering</t>
  </si>
  <si>
    <t>TENUPOL</t>
  </si>
  <si>
    <t>Arc Melter MAM-1</t>
  </si>
  <si>
    <t>ThermoCalc</t>
  </si>
  <si>
    <t>MEDEA</t>
  </si>
  <si>
    <t>Hitachi S4800-II cFEG SEM</t>
  </si>
  <si>
    <t>Hitachi S3400N SEM</t>
  </si>
  <si>
    <t>JEOL JEM-2100 FasTEM</t>
  </si>
  <si>
    <t>Hitachi HT-7700 Biological TEM</t>
  </si>
  <si>
    <t>Thermo Scientific ESCALAB 250 Xi X-Ray Photoelectron Spectrometer</t>
  </si>
  <si>
    <t>Physical Electronics PHI TRIFT III ToF-SIMS</t>
  </si>
  <si>
    <t>Thermo Nicolet Nexus 870 FT-IR</t>
  </si>
  <si>
    <t>Veeco Dektak 150 Surface Profiler</t>
  </si>
  <si>
    <t>J.A. Woollam M2000U Spectroscopic Ellipsometer</t>
  </si>
  <si>
    <t>Malvern Instruments Zetasizer</t>
  </si>
  <si>
    <t>Bruker ContourGT Optical Profiler</t>
  </si>
  <si>
    <t>Leica Spinning Disk Confocal</t>
  </si>
  <si>
    <t>Leica MM80 Impact Freezer</t>
  </si>
  <si>
    <t>Analytical HPLC</t>
  </si>
  <si>
    <t>BLitz Bio-Layer Interferometer (Evanston)</t>
  </si>
  <si>
    <t>BLItz Bio-Layer Interferometer (Chicago)</t>
  </si>
  <si>
    <t>Lyophilizer</t>
  </si>
  <si>
    <t>NanoSight NTA</t>
  </si>
  <si>
    <t>Photon-Counting Fluorescence Spectrometer</t>
  </si>
  <si>
    <t>For the Keck Biophysics Facility</t>
  </si>
  <si>
    <t>Staff Service</t>
  </si>
  <si>
    <t>UV/Vis DAD Spectrophotometer</t>
  </si>
  <si>
    <t>UV/Vis/NIR Spectrophotometer</t>
  </si>
  <si>
    <t>Microwave Digestion</t>
  </si>
  <si>
    <t>LimeLight</t>
  </si>
  <si>
    <t>Fear Conditioning</t>
  </si>
  <si>
    <t>Rotarod</t>
  </si>
  <si>
    <t>Prepulse Inhibition (PPI)</t>
  </si>
  <si>
    <t>Eyeblink Conditioning</t>
  </si>
  <si>
    <t>Plantar/Pain Testing</t>
  </si>
  <si>
    <t>General Use</t>
  </si>
  <si>
    <t>Data Analysis</t>
  </si>
  <si>
    <t>SubK PI</t>
  </si>
  <si>
    <t>Total Equipment</t>
  </si>
  <si>
    <t>%</t>
  </si>
  <si>
    <t>hrs.</t>
  </si>
  <si>
    <t>Effort Calculator</t>
  </si>
  <si>
    <t>Enter ⇓</t>
  </si>
  <si>
    <t>Senior Personnel Justification</t>
  </si>
  <si>
    <t>Other Personnel Justification</t>
  </si>
  <si>
    <t>Equipment Justification</t>
  </si>
  <si>
    <t>Travel Justification</t>
  </si>
  <si>
    <t>SubK Justification</t>
  </si>
  <si>
    <t>MTDC Other and Non-MTDC Other Justification</t>
  </si>
  <si>
    <t>Font is Arial 11 to conform with NSF and NIH guidelines.</t>
  </si>
  <si>
    <t>1. Equipment</t>
  </si>
  <si>
    <t>2. Equipment</t>
  </si>
  <si>
    <t>3. Equipment</t>
  </si>
  <si>
    <t>4. Equipment</t>
  </si>
  <si>
    <t>5. Equipment</t>
  </si>
  <si>
    <t>Percent Effort to Person Months Effort</t>
  </si>
  <si>
    <t>Person Months Effort to Percent Effort</t>
  </si>
  <si>
    <t>Person Months Effort to Labor Hours</t>
  </si>
  <si>
    <t>→</t>
  </si>
  <si>
    <t>1801 Maple Ave.</t>
  </si>
  <si>
    <t>2nd Floor, Suite 2410</t>
  </si>
  <si>
    <t>60201-3149</t>
  </si>
  <si>
    <t># calendar person months (or #% calendar effort) of # postdoctoral associate’s salary is requested each year for # years and is inflated by #% each September. The postdoctoral associate will …</t>
  </si>
  <si>
    <t># undergraduate student’s salary is requested each year for # years and is inflated by # each September. The undergraduate student will …</t>
  </si>
  <si>
    <t>Indirect Cost:</t>
  </si>
  <si>
    <t>Other: Support is requested each year for # years to cover the cost of laboratory facility use and training.  Current rates for these facilities are included below.</t>
  </si>
  <si>
    <t>PERSONNEL</t>
  </si>
  <si>
    <t>EQUIPMENT</t>
  </si>
  <si>
    <t>TRAVEL</t>
  </si>
  <si>
    <t># CATEGORY person months (or #% CATEGORY effort) of Professor ABC's salary is requested each year for # years and is inflated by #% each September. Professor ABC will …</t>
  </si>
  <si>
    <t>Boilerplate Budget Justification Language</t>
  </si>
  <si>
    <t>SUBAWARDS</t>
  </si>
  <si>
    <t>Subaward: Support is requested each year for # years for a total of $ for a subaward to SUBAWARD.  This subaward, led by subaward PI PERSON, is responsible for the following goals and tasks:</t>
  </si>
  <si>
    <t>F&amp;A accrues only on the first $25,000 of this subaward.</t>
  </si>
  <si>
    <t>F&amp;A</t>
  </si>
  <si>
    <t>F&amp;A has been calculated based on the following DHHS approved rates:</t>
  </si>
  <si>
    <t>F&amp;A has been calculated based on the following approved rates:</t>
  </si>
  <si>
    <t>Support is requested for the following items of capital equipment: … Capital equipment is requested for ...</t>
  </si>
  <si>
    <t>Support is requested each year for # years to cover the cost of transportation, accommodation, and subsistence for travel to scientific conferences, to present results, and meet with collaborators. Travel is requested for …</t>
  </si>
  <si>
    <t>Consultant Services: Support is requested to cover the cost of consultant services each year for # years. Consultant services are requested for …</t>
  </si>
  <si>
    <t>Populate</t>
  </si>
  <si>
    <t>Filter to also show additional rows</t>
  </si>
  <si>
    <t>Filter to also show additional rows.</t>
  </si>
  <si>
    <t>Post Doctoral Associates</t>
  </si>
  <si>
    <t>CM</t>
  </si>
  <si>
    <t>Other Professionals</t>
  </si>
  <si>
    <t>Graduate Students</t>
  </si>
  <si>
    <t>Undergraduate Students</t>
  </si>
  <si>
    <t>Other Personnel (Statutory)</t>
  </si>
  <si>
    <t>SM</t>
  </si>
  <si>
    <t>Y1 Labor Hours - Auto-Calculated</t>
  </si>
  <si>
    <t>Labor Hour Auto-Calculator</t>
  </si>
  <si>
    <t>ACA</t>
  </si>
  <si>
    <t>SUM</t>
  </si>
  <si>
    <t>Organization</t>
  </si>
  <si>
    <t>Sponsor</t>
  </si>
  <si>
    <t>Senior Personnel</t>
  </si>
  <si>
    <t>Total Senior Personnel Costs</t>
  </si>
  <si>
    <t>Other Personnel</t>
  </si>
  <si>
    <t>Principal Investigator/Project Director</t>
  </si>
  <si>
    <t>Total Salaries, Wages, and Fringe Benefits</t>
  </si>
  <si>
    <t>Capital Equipment</t>
  </si>
  <si>
    <t>Total Capital Equipment</t>
  </si>
  <si>
    <t>Travel</t>
  </si>
  <si>
    <t>Other Direct Costs</t>
  </si>
  <si>
    <t>Materials and Supplies</t>
  </si>
  <si>
    <t>Publication Costs</t>
  </si>
  <si>
    <t>Consultant Services</t>
  </si>
  <si>
    <t>Computer Services</t>
  </si>
  <si>
    <t>Tuition</t>
  </si>
  <si>
    <t>MTDC Other</t>
  </si>
  <si>
    <t>Total Indirect Costs</t>
  </si>
  <si>
    <t>When complete, filter to hide all blank rows.</t>
  </si>
  <si>
    <t>A) Condensed</t>
  </si>
  <si>
    <t>F) Add More Subawards (12 Total)</t>
  </si>
  <si>
    <t>E) Add Subawards (6 Total)</t>
  </si>
  <si>
    <t>F) Add Subawards (6 Total)</t>
  </si>
  <si>
    <t>G) Add More Subawards (12 Total)</t>
  </si>
  <si>
    <t>Other Direct Costs Justifications</t>
  </si>
  <si>
    <t>F&amp;A Type</t>
  </si>
  <si>
    <t>Note: This Summary sheet will reflect entries made into the YEAR1-5 sheets
(see tabs at bottom of window). Enter information starting at YEAR1, not here.</t>
  </si>
  <si>
    <t>Effort Breakdown</t>
  </si>
  <si>
    <t>Internal Only</t>
  </si>
  <si>
    <t>These columns are for internal purposes only.</t>
  </si>
  <si>
    <t>Example Justification</t>
  </si>
  <si>
    <t>The PI will oversee all aspects of the project.</t>
  </si>
  <si>
    <t>The Co-PI is responsible for Aim 1.</t>
  </si>
  <si>
    <t>The Co-I is responsible for Aim 2.</t>
  </si>
  <si>
    <t>The technician will work with the PI on completing Aim 1.</t>
  </si>
  <si>
    <t>The postdoc will work with the PI on completing Aim 1.</t>
  </si>
  <si>
    <t>Supplies are for laboratory consumables and materials.</t>
  </si>
  <si>
    <t>Publication costs are for publishing in 2 scientific journals a year.</t>
  </si>
  <si>
    <t>Consultant John Smith will review and offer insight throughout Aim 1.</t>
  </si>
  <si>
    <t>Computer services are for processing the large amounts of data.</t>
  </si>
  <si>
    <t>Laboratory services are for data collection and processing.</t>
  </si>
  <si>
    <t>SubK PI is responsible for Aim 2.</t>
  </si>
  <si>
    <t>SubK PI will work with the PI on Aim 1.</t>
  </si>
  <si>
    <t>The undergrad will work on data collection throughout the summer.</t>
  </si>
  <si>
    <t>A computer is needed to process data. (Funds requested in Year 1 only.)</t>
  </si>
  <si>
    <t>SubK PI is responsible for the clinical trials portion of the project.</t>
  </si>
  <si>
    <t>Travel is for transport to scientific conferences and to meet collaborators.</t>
  </si>
  <si>
    <t>The Master's student will work with the PI on completing Aim 1.</t>
  </si>
  <si>
    <t>For the Northwestern University Micro/Nano Fabrication Facilitiy (NUFAB):</t>
  </si>
  <si>
    <t>Cleanroom (CR) Charges</t>
  </si>
  <si>
    <t>Equipment Charges</t>
  </si>
  <si>
    <t>Hourly Rate</t>
  </si>
  <si>
    <t>Gowning Charges</t>
  </si>
  <si>
    <t>Flood Exposure</t>
  </si>
  <si>
    <t>Blue-M Ovens</t>
  </si>
  <si>
    <t>Developer Hood and Supplied Chemicals</t>
  </si>
  <si>
    <t>Acid/Solvent Hoods and Supplied Chemicals</t>
  </si>
  <si>
    <t>DRIE (STS Pegasus)</t>
  </si>
  <si>
    <t>RIE (Samco 10NR)</t>
  </si>
  <si>
    <t>PECVD (STS)</t>
  </si>
  <si>
    <t>Sputter (AJA)</t>
  </si>
  <si>
    <t>Parylene Coater</t>
  </si>
  <si>
    <t>Thermal Evaporator (Denton)</t>
  </si>
  <si>
    <t>E-beam Evaporator (AJA)</t>
  </si>
  <si>
    <t>XeF2 Etcher</t>
  </si>
  <si>
    <t>RTA/RTP (Allwin21)</t>
  </si>
  <si>
    <t>Profilometer (Dektak 8)</t>
  </si>
  <si>
    <t>Electrical Test Station</t>
  </si>
  <si>
    <t>Reflectometer (Filmetrics F20)</t>
  </si>
  <si>
    <t>Optical Microscopes</t>
  </si>
  <si>
    <t>Optical Profilometer (Zygo NexView)</t>
  </si>
  <si>
    <t>Wet/dry Oxidation (Tystar furnace)</t>
  </si>
  <si>
    <t>LPCVD Nitride (Tystar furnace)</t>
  </si>
  <si>
    <t>Maskless Aligner (Heidelberg uPG501)</t>
  </si>
  <si>
    <t>Contact Angle Measurement (VCA Optima XE)</t>
  </si>
  <si>
    <t>Critical Point Dryer - Tousimis</t>
  </si>
  <si>
    <t>Included in CR charge</t>
  </si>
  <si>
    <t>Training Charges</t>
  </si>
  <si>
    <t>Equipment Training</t>
  </si>
  <si>
    <t>Hands-on Clean Room Training</t>
  </si>
  <si>
    <t>Process Support</t>
  </si>
  <si>
    <t>Northwestern University Budget Justification</t>
  </si>
  <si>
    <t>It is recommended you copy and paste the text into a Word Document for easier editing if you would like to further revise the budget justification language.</t>
  </si>
  <si>
    <t>Non-MTDC Other (no indirect costs)</t>
  </si>
  <si>
    <t>Federal</t>
  </si>
  <si>
    <t>Requested from Sponsor</t>
  </si>
  <si>
    <t>Person-</t>
  </si>
  <si>
    <t>Months</t>
  </si>
  <si>
    <t>CS</t>
  </si>
  <si>
    <t>Unrecovered F&amp;A</t>
  </si>
  <si>
    <t>Cumulative</t>
  </si>
  <si>
    <t>Indirect Costs (Cost Share "Unrecovered F&amp;A")</t>
  </si>
  <si>
    <t>NAME:</t>
  </si>
  <si>
    <t>Sponsor Costs</t>
  </si>
  <si>
    <t>Project Costs</t>
  </si>
  <si>
    <t>Cumulative Budget</t>
  </si>
  <si>
    <t>Instructions</t>
  </si>
  <si>
    <t>Project Info</t>
  </si>
  <si>
    <t>Trip 1</t>
  </si>
  <si>
    <t>Trip 2</t>
  </si>
  <si>
    <t>Trip 3</t>
  </si>
  <si>
    <t>Enter the basic information about the average or typical trip. These figures can be customized on a per trip basis if necessary in the detail boxes to the right.</t>
  </si>
  <si>
    <t>PI:</t>
  </si>
  <si>
    <t>Days:</t>
  </si>
  <si>
    <t>Travelers:</t>
  </si>
  <si>
    <t>Rates</t>
  </si>
  <si>
    <t>Summary by Year</t>
  </si>
  <si>
    <t>Domestic</t>
  </si>
  <si>
    <t>Foreign</t>
  </si>
  <si>
    <t>Lodging</t>
  </si>
  <si>
    <t>M&amp;IE</t>
  </si>
  <si>
    <t>Total:</t>
  </si>
  <si>
    <t xml:space="preserve">Fill this table in carefully using your proposed destinations and the appropriate information for single-person daily costs or per-trip travel costs, not to exceed values found on the federal Travel Rates websites shown below.
The Identifier column is the name of the school, conference, or purpose of trip. There should be no duplicates in this column. The Destination column is for reference only. The Domestic/Foreign category must be populated in order for integration with the budget template to work.
Lodging and M&amp;IE meals and incidental expenses) can be found on the federal tables for domestic or foreign travel. Note that some destinations have different approved rates for different seasons (generally tropical, tourist destinations). Choose the correct rates for the time of your travel, or make two entries. The per-trip calculator to the right figures lodging as the number of days minus one, and the M&amp;IE is calculated at 75% for the first and last days of the trip.
The Travel column is round-trip, once-per-trip-per person cost, such as flights and conference registration. </t>
  </si>
  <si>
    <t>Identifier</t>
  </si>
  <si>
    <t>Destination</t>
  </si>
  <si>
    <t>Cat.</t>
  </si>
  <si>
    <t>Some useful resources.</t>
  </si>
  <si>
    <t>Travel Resources</t>
  </si>
  <si>
    <t>GSA Continental US (CONUS) Per Diem Rates</t>
  </si>
  <si>
    <t>DoD Alaska, Hawaii, and Overseas Territories Per Diem Rates</t>
  </si>
  <si>
    <t>State Department Foreign Travel Per Diem Rates</t>
  </si>
  <si>
    <t>Northwestern University Travel Services</t>
  </si>
  <si>
    <t xml:space="preserve">Title: </t>
  </si>
  <si>
    <t>Cost Share:</t>
  </si>
  <si>
    <t>Warnings</t>
  </si>
  <si>
    <t>NIH</t>
  </si>
  <si>
    <t>NCI</t>
  </si>
  <si>
    <t>NEI</t>
  </si>
  <si>
    <t>NHLBI</t>
  </si>
  <si>
    <t>NHGRI</t>
  </si>
  <si>
    <t>NIA</t>
  </si>
  <si>
    <t>NIAAA</t>
  </si>
  <si>
    <t>NIAID</t>
  </si>
  <si>
    <t>NIAMS</t>
  </si>
  <si>
    <t>NIBIB</t>
  </si>
  <si>
    <t>NICHD</t>
  </si>
  <si>
    <t>NIDCD</t>
  </si>
  <si>
    <t>NIDCR</t>
  </si>
  <si>
    <t>NIDDK</t>
  </si>
  <si>
    <t>NIDA</t>
  </si>
  <si>
    <t>NIEHS</t>
  </si>
  <si>
    <t>NIGMS</t>
  </si>
  <si>
    <t>NIMH</t>
  </si>
  <si>
    <t>NIMHD</t>
  </si>
  <si>
    <t>NINDS</t>
  </si>
  <si>
    <t>NINR</t>
  </si>
  <si>
    <t>NLM</t>
  </si>
  <si>
    <t>CC</t>
  </si>
  <si>
    <t>CIT</t>
  </si>
  <si>
    <t>CSR</t>
  </si>
  <si>
    <t>FIC</t>
  </si>
  <si>
    <t>NCATS</t>
  </si>
  <si>
    <t>NCCIH</t>
  </si>
  <si>
    <t>OD</t>
  </si>
  <si>
    <t>NIH NCI</t>
  </si>
  <si>
    <t>NIH NEI</t>
  </si>
  <si>
    <t>NIH NHLBI</t>
  </si>
  <si>
    <t>NIH NHGRI</t>
  </si>
  <si>
    <t>NIH NIA</t>
  </si>
  <si>
    <t>NIH NIAAA</t>
  </si>
  <si>
    <t>NIH NIAID</t>
  </si>
  <si>
    <t>NIH NIAMS</t>
  </si>
  <si>
    <t>NIH NIBIB</t>
  </si>
  <si>
    <t>NIH NICHD</t>
  </si>
  <si>
    <t>NIH NIDCD</t>
  </si>
  <si>
    <t>NIH NIDCR</t>
  </si>
  <si>
    <t>NIH NIDDK</t>
  </si>
  <si>
    <t>NIH NIDA</t>
  </si>
  <si>
    <t>NIH NIEHS</t>
  </si>
  <si>
    <t>NIH NIGMS</t>
  </si>
  <si>
    <t>NIH NIMH</t>
  </si>
  <si>
    <t>NIH NIMHD</t>
  </si>
  <si>
    <t>NIH NINDS</t>
  </si>
  <si>
    <t>NIH NINR</t>
  </si>
  <si>
    <t>NIH NLM</t>
  </si>
  <si>
    <t>NIH CC</t>
  </si>
  <si>
    <t>NIH CIT</t>
  </si>
  <si>
    <t>NIH CSR</t>
  </si>
  <si>
    <t>NIH FIC</t>
  </si>
  <si>
    <t>NIH NCATS</t>
  </si>
  <si>
    <t>NIH NCCIH</t>
  </si>
  <si>
    <t>NIH OD</t>
  </si>
  <si>
    <t>National Cancer Institute</t>
  </si>
  <si>
    <t>National Eye Institute</t>
  </si>
  <si>
    <t>National Heart, Lung, and Blood Institute</t>
  </si>
  <si>
    <t>National Human Genome Research Institute</t>
  </si>
  <si>
    <t>National Institute on Aging</t>
  </si>
  <si>
    <t>National Institute on Alcohol Abuse and Alcoholism</t>
  </si>
  <si>
    <t>National Institute of Allergy and Infectious Diseases</t>
  </si>
  <si>
    <t>National Institute of Arthritis and Musculoskeletal and Skin Diseases</t>
  </si>
  <si>
    <t>National Institute of Biomedical Imaging and Bioengineering</t>
  </si>
  <si>
    <t>Eunice Kennedy Shriver National Institute of Child Health and Human Development</t>
  </si>
  <si>
    <t>National Institute on Deafness and Other Communication Disorders</t>
  </si>
  <si>
    <t>National Institute of Dental and Craniofacial Research</t>
  </si>
  <si>
    <t>National Institute of Diabetes and Digestive and Kidney Diseases</t>
  </si>
  <si>
    <t>National Institute on Drug Abuse</t>
  </si>
  <si>
    <t>National Institute of Environmental Health Sciences</t>
  </si>
  <si>
    <t>National Institute of General Medical Sciences</t>
  </si>
  <si>
    <t>The National Institute of General Medical Sciences</t>
  </si>
  <si>
    <t>National Institute of Mental Health</t>
  </si>
  <si>
    <t>National Institute on Minority Health and Health Disparities</t>
  </si>
  <si>
    <t>National Institute of Neurological Disorders and Stroke</t>
  </si>
  <si>
    <t>National Institute of Nursing Research</t>
  </si>
  <si>
    <t>National Library of Medicine</t>
  </si>
  <si>
    <t>NIH Clinical Center</t>
  </si>
  <si>
    <t>Center for Information Technology</t>
  </si>
  <si>
    <t>Center for Scientific Review</t>
  </si>
  <si>
    <t>Fogarty International Center</t>
  </si>
  <si>
    <t>National Center for Advancing Translational Sciences</t>
  </si>
  <si>
    <t>National Center for Complementary and Integrative Health</t>
  </si>
  <si>
    <t>National Institutes of Health</t>
  </si>
  <si>
    <t>National Institute of Health</t>
  </si>
  <si>
    <t>Federal On Campus</t>
  </si>
  <si>
    <t>Federal Off Campus</t>
  </si>
  <si>
    <t>Federal DoD Contract</t>
  </si>
  <si>
    <t>Named Lists</t>
  </si>
  <si>
    <t>Non-Federal</t>
  </si>
  <si>
    <t>On Campus</t>
  </si>
  <si>
    <t>Off Campus</t>
  </si>
  <si>
    <t>DoD Contract</t>
  </si>
  <si>
    <t>No F&amp;A</t>
  </si>
  <si>
    <t>Custom</t>
  </si>
  <si>
    <t>Initial Fiscal Year Base F&amp;A Rate =</t>
  </si>
  <si>
    <r>
      <t xml:space="preserve">Enter the Identifier for each trip, or leave blank if no trip is planned. This must match the Identifier column in table below </t>
    </r>
    <r>
      <rPr>
        <b/>
        <sz val="11"/>
        <color theme="1"/>
        <rFont val="Calibri"/>
        <family val="2"/>
        <scheme val="minor"/>
      </rPr>
      <t>exactly</t>
    </r>
    <r>
      <rPr>
        <sz val="11"/>
        <rFont val="Calibri"/>
        <family val="2"/>
        <scheme val="minor"/>
      </rPr>
      <t>! If there is no match, you will see an error message in the related tables.
If there is no travel, clear these entries rather than deleting from the individual budget tabs, or the formulas will be broken.</t>
    </r>
  </si>
  <si>
    <t>Project Total</t>
  </si>
  <si>
    <t>Budget Period 1</t>
  </si>
  <si>
    <t>Budget Period 2</t>
  </si>
  <si>
    <t>Budget Period 3</t>
  </si>
  <si>
    <t>Budget Period 4</t>
  </si>
  <si>
    <t>Budget Period 5</t>
  </si>
  <si>
    <t>JDRF</t>
  </si>
  <si>
    <t>Juvenile Diabetes Research Foundation</t>
  </si>
  <si>
    <t>PHS</t>
  </si>
  <si>
    <t>Public Health Service</t>
  </si>
  <si>
    <t>AICR</t>
  </si>
  <si>
    <t>American Institute for Cancer Research</t>
  </si>
  <si>
    <t>Alex's Lemonade Stand</t>
  </si>
  <si>
    <t>Alex's Lemonade Stand Foundation</t>
  </si>
  <si>
    <t>ALSF</t>
  </si>
  <si>
    <t>Greenwall Foundation</t>
  </si>
  <si>
    <t>Greenwall</t>
  </si>
  <si>
    <t>Ovarian Cancer Research Fund</t>
  </si>
  <si>
    <t>OCRF</t>
  </si>
  <si>
    <t>Progeria Research Foundation</t>
  </si>
  <si>
    <t>Progeria</t>
  </si>
  <si>
    <t>Rheumatology Research Foundation</t>
  </si>
  <si>
    <t>Number of Budget Periods</t>
  </si>
  <si>
    <t>BP 1</t>
  </si>
  <si>
    <t>BP 2</t>
  </si>
  <si>
    <t>BP 3</t>
  </si>
  <si>
    <t>BP 4</t>
  </si>
  <si>
    <t>BP 5</t>
  </si>
  <si>
    <t>BP1</t>
  </si>
  <si>
    <t>BP2</t>
  </si>
  <si>
    <t>BP3</t>
  </si>
  <si>
    <t>BP4</t>
  </si>
  <si>
    <t>BP5</t>
  </si>
  <si>
    <t>Note: This Summary sheet will reflect entries made into the Budget Period 1-5 sheets
(see tabs at bottom of window). Enter information starting at BP1 tab, not here.</t>
  </si>
  <si>
    <t>)</t>
  </si>
  <si>
    <t>1.</t>
  </si>
  <si>
    <t>2.</t>
  </si>
  <si>
    <t>Non-Federal Off Campus</t>
  </si>
  <si>
    <t>Non-Federal On Campus</t>
  </si>
  <si>
    <t>Originating Sponsor</t>
  </si>
  <si>
    <t>Flow-through Sponsor</t>
  </si>
  <si>
    <t>Cumulative Total All Costs</t>
  </si>
  <si>
    <t>12 Months</t>
  </si>
  <si>
    <t># CATEGORY person months (or #% CATEGORY effort) of Professor ABC's salary is committed to the project each year for # years per Northwestern University cost-sharing.</t>
  </si>
  <si>
    <t>Transmission Electron Microcopy</t>
  </si>
  <si>
    <t>Scanning Electron Microscopy</t>
  </si>
  <si>
    <t>FEI Helios Nanolab SEM/FIB</t>
  </si>
  <si>
    <t>Lesker Nano38 Thin Film Deposition System</t>
  </si>
  <si>
    <t>Fishcione 1040 NanoMill</t>
  </si>
  <si>
    <t>Fischione 1050 TEM Mill</t>
  </si>
  <si>
    <t>SPI Osmium Coater</t>
  </si>
  <si>
    <t>Spin Coater</t>
  </si>
  <si>
    <t>Denton Desk IV Sputter Coater</t>
  </si>
  <si>
    <t>Struers Twin-jet Electropolisher</t>
  </si>
  <si>
    <t>Amira 3D Analysis Software for Life Sciences</t>
  </si>
  <si>
    <t>Other</t>
  </si>
  <si>
    <t>Keck-II Instruments</t>
  </si>
  <si>
    <t>Scanned Probe Imaging and Development (SPID)</t>
  </si>
  <si>
    <t>Bruker Dimension FastScan Atomic Force Microscope</t>
  </si>
  <si>
    <t>Bruker Bioscope Resolve Life Science Imaging System</t>
  </si>
  <si>
    <t>Bruker ICON Atomic Force Microscope</t>
  </si>
  <si>
    <t>Horiba LabRam Confocal RAMAN Microscope</t>
  </si>
  <si>
    <t>B) Add Senior Personnel (10 Total)</t>
  </si>
  <si>
    <t>C) Add More Senior Personnel (15 Total)</t>
  </si>
  <si>
    <t>E) Add Equipment (5 Total)</t>
  </si>
  <si>
    <t>2.a(</t>
  </si>
  <si>
    <t>2.b(</t>
  </si>
  <si>
    <t>2.c(</t>
  </si>
  <si>
    <t>2.d(</t>
  </si>
  <si>
    <t>2.e(</t>
  </si>
  <si>
    <t>D) Add Other Professionals (5 Total)</t>
  </si>
  <si>
    <t>Outyear Changes Check
Sponsor Budget</t>
  </si>
  <si>
    <t>GSA</t>
  </si>
  <si>
    <t>unknown</t>
  </si>
  <si>
    <t>BP1
Sponsor</t>
  </si>
  <si>
    <t>BP2
Sponsor</t>
  </si>
  <si>
    <t>BP3
Sponsor</t>
  </si>
  <si>
    <t>BP4
Sponsor</t>
  </si>
  <si>
    <t>BP5
Sponsor</t>
  </si>
  <si>
    <t>BP1
Cost-Share</t>
  </si>
  <si>
    <t>BP2
Cost-Share</t>
  </si>
  <si>
    <t>BP3
Cost-Share</t>
  </si>
  <si>
    <t>BP4
Cost-Share</t>
  </si>
  <si>
    <t>BP5
Cost-Share</t>
  </si>
  <si>
    <t>Outyear Changes Check
Cost-Share Budget</t>
  </si>
  <si>
    <t>Title</t>
  </si>
  <si>
    <t>MTDC</t>
  </si>
  <si>
    <t>Cost-Share</t>
  </si>
  <si>
    <t>Third Party Cost-Share</t>
  </si>
  <si>
    <t>Cost-Share as % of Sponsor Costs</t>
  </si>
  <si>
    <t>Cost-Share as % of Project Costs</t>
  </si>
  <si>
    <t xml:space="preserve">Budget Period Start </t>
  </si>
  <si>
    <t xml:space="preserve">Budget Period End </t>
  </si>
  <si>
    <t>Person-Months</t>
  </si>
  <si>
    <t>NRSA</t>
  </si>
  <si>
    <t>Non-citizen temporary U.S. visa?</t>
  </si>
  <si>
    <t>Non-citizen permanent U.S. resident visa?</t>
  </si>
  <si>
    <t>U.S. citizen or non-citizen national?</t>
  </si>
  <si>
    <r>
      <t xml:space="preserve">What is your </t>
    </r>
    <r>
      <rPr>
        <b/>
        <sz val="11"/>
        <color theme="1"/>
        <rFont val="Times New Roman"/>
        <family val="1"/>
      </rPr>
      <t>citizenship</t>
    </r>
    <r>
      <rPr>
        <sz val="11"/>
        <color theme="1"/>
        <rFont val="Times New Roman"/>
        <family val="1"/>
      </rPr>
      <t>?</t>
    </r>
  </si>
  <si>
    <r>
      <t xml:space="preserve">Are there applications for </t>
    </r>
    <r>
      <rPr>
        <b/>
        <sz val="11"/>
        <color theme="1"/>
        <rFont val="Times New Roman"/>
        <family val="1"/>
      </rPr>
      <t>concurrent fellowship support</t>
    </r>
    <r>
      <rPr>
        <sz val="11"/>
        <color theme="1"/>
        <rFont val="Times New Roman"/>
        <family val="1"/>
      </rPr>
      <t>?</t>
    </r>
  </si>
  <si>
    <r>
      <t xml:space="preserve">Do you have </t>
    </r>
    <r>
      <rPr>
        <b/>
        <sz val="11"/>
        <color theme="1"/>
        <rFont val="Times New Roman"/>
        <family val="1"/>
      </rPr>
      <t>current or prior NRSA support</t>
    </r>
    <r>
      <rPr>
        <sz val="11"/>
        <color theme="1"/>
        <rFont val="Times New Roman"/>
        <family val="1"/>
      </rPr>
      <t>?</t>
    </r>
  </si>
  <si>
    <r>
      <t xml:space="preserve">What is the NRSA </t>
    </r>
    <r>
      <rPr>
        <b/>
        <u/>
        <sz val="11"/>
        <color rgb="FF0070C0"/>
        <rFont val="Times New Roman"/>
        <family val="1"/>
      </rPr>
      <t>field of training</t>
    </r>
    <r>
      <rPr>
        <sz val="11"/>
        <rFont val="Times New Roman"/>
        <family val="1"/>
      </rPr>
      <t>?</t>
    </r>
  </si>
  <si>
    <t>When did you start at Northwestern (mm/yyyy)?</t>
  </si>
  <si>
    <r>
      <t xml:space="preserve">What is your </t>
    </r>
    <r>
      <rPr>
        <b/>
        <sz val="11"/>
        <color theme="1"/>
        <rFont val="Times New Roman"/>
        <family val="1"/>
      </rPr>
      <t>expected completion date</t>
    </r>
    <r>
      <rPr>
        <sz val="11"/>
        <color theme="1"/>
        <rFont val="Times New Roman"/>
        <family val="1"/>
      </rPr>
      <t xml:space="preserve"> (mm/yyyy)?</t>
    </r>
  </si>
  <si>
    <r>
      <t xml:space="preserve">What is your </t>
    </r>
    <r>
      <rPr>
        <b/>
        <sz val="11"/>
        <color theme="1"/>
        <rFont val="Times New Roman"/>
        <family val="1"/>
      </rPr>
      <t>alternate phone number</t>
    </r>
    <r>
      <rPr>
        <sz val="11"/>
        <color theme="1"/>
        <rFont val="Times New Roman"/>
        <family val="1"/>
      </rPr>
      <t>?</t>
    </r>
  </si>
  <si>
    <r>
      <t xml:space="preserve">If you have a </t>
    </r>
    <r>
      <rPr>
        <b/>
        <sz val="11"/>
        <color theme="1"/>
        <rFont val="Times New Roman"/>
        <family val="1"/>
      </rPr>
      <t>co-sponsor</t>
    </r>
    <r>
      <rPr>
        <sz val="11"/>
        <color theme="1"/>
        <rFont val="Times New Roman"/>
        <family val="1"/>
      </rPr>
      <t>, who is it?</t>
    </r>
  </si>
  <si>
    <r>
      <t xml:space="preserve">Who is your </t>
    </r>
    <r>
      <rPr>
        <b/>
        <sz val="11"/>
        <color theme="1"/>
        <rFont val="Times New Roman"/>
        <family val="1"/>
      </rPr>
      <t>sponsor</t>
    </r>
    <r>
      <rPr>
        <sz val="11"/>
        <color theme="1"/>
        <rFont val="Times New Roman"/>
        <family val="1"/>
      </rPr>
      <t>?</t>
    </r>
  </si>
  <si>
    <t>S2S</t>
  </si>
  <si>
    <r>
      <t xml:space="preserve">Will there be </t>
    </r>
    <r>
      <rPr>
        <b/>
        <sz val="11"/>
        <color theme="1"/>
        <rFont val="Times New Roman"/>
        <family val="1"/>
      </rPr>
      <t>activities outside the U.S.</t>
    </r>
    <r>
      <rPr>
        <sz val="11"/>
        <color theme="1"/>
        <rFont val="Times New Roman"/>
        <family val="1"/>
      </rPr>
      <t xml:space="preserve"> or will there be partnership with </t>
    </r>
    <r>
      <rPr>
        <b/>
        <sz val="11"/>
        <color theme="1"/>
        <rFont val="Times New Roman"/>
        <family val="1"/>
      </rPr>
      <t>international collaborators</t>
    </r>
    <r>
      <rPr>
        <sz val="11"/>
        <color theme="1"/>
        <rFont val="Times New Roman"/>
        <family val="1"/>
      </rPr>
      <t>?</t>
    </r>
  </si>
  <si>
    <r>
      <t xml:space="preserve">Is the research performance site designated, or eligible to be designated, as a </t>
    </r>
    <r>
      <rPr>
        <b/>
        <sz val="11"/>
        <color theme="1"/>
        <rFont val="Times New Roman"/>
        <family val="1"/>
      </rPr>
      <t>historic place</t>
    </r>
    <r>
      <rPr>
        <sz val="11"/>
        <color theme="1"/>
        <rFont val="Times New Roman"/>
        <family val="1"/>
      </rPr>
      <t>?</t>
    </r>
  </si>
  <si>
    <r>
      <t xml:space="preserve">If an additional or a different </t>
    </r>
    <r>
      <rPr>
        <b/>
        <sz val="11"/>
        <color theme="1"/>
        <rFont val="Times New Roman"/>
        <family val="1"/>
      </rPr>
      <t>performance site</t>
    </r>
    <r>
      <rPr>
        <sz val="11"/>
        <color theme="1"/>
        <rFont val="Times New Roman"/>
        <family val="1"/>
      </rPr>
      <t xml:space="preserve"> is needed other than your standard office, specify.</t>
    </r>
  </si>
  <si>
    <r>
      <t xml:space="preserve">Will there be an </t>
    </r>
    <r>
      <rPr>
        <b/>
        <sz val="11"/>
        <color theme="1"/>
        <rFont val="Times New Roman"/>
        <family val="1"/>
      </rPr>
      <t>actual or potential impact on the environment</t>
    </r>
    <r>
      <rPr>
        <sz val="11"/>
        <color theme="1"/>
        <rFont val="Times New Roman"/>
        <family val="1"/>
      </rPr>
      <t xml:space="preserve"> (positive or negative)?</t>
    </r>
  </si>
  <si>
    <r>
      <t xml:space="preserve">Is </t>
    </r>
    <r>
      <rPr>
        <b/>
        <sz val="11"/>
        <color theme="1"/>
        <rFont val="Times New Roman"/>
        <family val="1"/>
      </rPr>
      <t>proprietary/privileged information</t>
    </r>
    <r>
      <rPr>
        <sz val="11"/>
        <color theme="1"/>
        <rFont val="Times New Roman"/>
        <family val="1"/>
      </rPr>
      <t xml:space="preserve"> included?</t>
    </r>
  </si>
  <si>
    <r>
      <t xml:space="preserve">If this is a resubmission, please list the </t>
    </r>
    <r>
      <rPr>
        <b/>
        <sz val="11"/>
        <color theme="1"/>
        <rFont val="Times New Roman"/>
        <family val="1"/>
      </rPr>
      <t>original proposal’s application ID</t>
    </r>
    <r>
      <rPr>
        <sz val="11"/>
        <color theme="1"/>
        <rFont val="Times New Roman"/>
        <family val="1"/>
      </rPr>
      <t xml:space="preserve"> (i.e., 1R21CA12345-01).</t>
    </r>
  </si>
  <si>
    <t>Standard</t>
  </si>
  <si>
    <r>
      <t xml:space="preserve">Does this study involve </t>
    </r>
    <r>
      <rPr>
        <b/>
        <sz val="11"/>
        <color theme="1"/>
        <rFont val="Times New Roman"/>
        <family val="1"/>
      </rPr>
      <t>human subjects research</t>
    </r>
    <r>
      <rPr>
        <sz val="11"/>
        <color theme="1"/>
        <rFont val="Times New Roman"/>
        <family val="1"/>
      </rPr>
      <t>, including dissemination of any surveys?</t>
    </r>
  </si>
  <si>
    <r>
      <t xml:space="preserve">Does this study involve </t>
    </r>
    <r>
      <rPr>
        <b/>
        <sz val="11"/>
        <color theme="1"/>
        <rFont val="Times New Roman"/>
        <family val="1"/>
      </rPr>
      <t>vertebrate animal subjects</t>
    </r>
    <r>
      <rPr>
        <sz val="11"/>
        <color theme="1"/>
        <rFont val="Times New Roman"/>
        <family val="1"/>
      </rPr>
      <t>?</t>
    </r>
  </si>
  <si>
    <r>
      <t xml:space="preserve">Does the research require the use of </t>
    </r>
    <r>
      <rPr>
        <b/>
        <sz val="11"/>
        <color theme="1"/>
        <rFont val="Times New Roman"/>
        <family val="1"/>
      </rPr>
      <t>compounds or materials from other universities or companies</t>
    </r>
    <r>
      <rPr>
        <sz val="11"/>
        <color theme="1"/>
        <rFont val="Times New Roman"/>
        <family val="1"/>
      </rPr>
      <t>?</t>
    </r>
  </si>
  <si>
    <r>
      <t xml:space="preserve">Is the research part of any current or past </t>
    </r>
    <r>
      <rPr>
        <b/>
        <sz val="11"/>
        <color theme="1"/>
        <rFont val="Times New Roman"/>
        <family val="1"/>
      </rPr>
      <t>industry collaboration</t>
    </r>
    <r>
      <rPr>
        <sz val="11"/>
        <color theme="1"/>
        <rFont val="Times New Roman"/>
        <family val="1"/>
      </rPr>
      <t>?</t>
    </r>
  </si>
  <si>
    <r>
      <t xml:space="preserve">Have any </t>
    </r>
    <r>
      <rPr>
        <b/>
        <sz val="11"/>
        <color theme="1"/>
        <rFont val="Times New Roman"/>
        <family val="1"/>
      </rPr>
      <t>inventions or patents</t>
    </r>
    <r>
      <rPr>
        <sz val="11"/>
        <color theme="1"/>
        <rFont val="Times New Roman"/>
        <family val="1"/>
      </rPr>
      <t xml:space="preserve"> related to this proposal been disclosed to the Technology Transfer Program (INVO) by project personnel?</t>
    </r>
  </si>
  <si>
    <r>
      <t xml:space="preserve">Does the proposed research involve the collection, derivation, or use of </t>
    </r>
    <r>
      <rPr>
        <b/>
        <sz val="11"/>
        <color theme="1"/>
        <rFont val="Times New Roman"/>
        <family val="1"/>
      </rPr>
      <t>human stem cells</t>
    </r>
    <r>
      <rPr>
        <sz val="11"/>
        <color theme="1"/>
        <rFont val="Times New Roman"/>
        <family val="1"/>
      </rPr>
      <t>?</t>
    </r>
  </si>
  <si>
    <r>
      <t xml:space="preserve">Will a </t>
    </r>
    <r>
      <rPr>
        <b/>
        <sz val="11"/>
        <color theme="1"/>
        <rFont val="Times New Roman"/>
        <family val="1"/>
      </rPr>
      <t>computer cluster</t>
    </r>
    <r>
      <rPr>
        <sz val="11"/>
        <color theme="1"/>
        <rFont val="Times New Roman"/>
        <family val="1"/>
      </rPr>
      <t xml:space="preserve"> be purchased for this project?</t>
    </r>
  </si>
  <si>
    <r>
      <t xml:space="preserve">Will any </t>
    </r>
    <r>
      <rPr>
        <b/>
        <sz val="11"/>
        <color theme="1"/>
        <rFont val="Times New Roman"/>
        <family val="1"/>
      </rPr>
      <t>additional space or renovation of space</t>
    </r>
    <r>
      <rPr>
        <sz val="11"/>
        <color theme="1"/>
        <rFont val="Times New Roman"/>
        <family val="1"/>
      </rPr>
      <t xml:space="preserve"> be required?</t>
    </r>
  </si>
  <si>
    <r>
      <t xml:space="preserve">Will any leaves/changes in </t>
    </r>
    <r>
      <rPr>
        <b/>
        <sz val="11"/>
        <color theme="1"/>
        <rFont val="Times New Roman"/>
        <family val="1"/>
      </rPr>
      <t>faculty responsibilities</t>
    </r>
    <r>
      <rPr>
        <sz val="11"/>
        <color theme="1"/>
        <rFont val="Times New Roman"/>
        <family val="1"/>
      </rPr>
      <t xml:space="preserve"> be required?</t>
    </r>
  </si>
  <si>
    <r>
      <t xml:space="preserve">If awarded, will the project require </t>
    </r>
    <r>
      <rPr>
        <b/>
        <sz val="11"/>
        <color theme="1"/>
        <rFont val="Times New Roman"/>
        <family val="1"/>
      </rPr>
      <t>multiple chartstrings</t>
    </r>
    <r>
      <rPr>
        <sz val="11"/>
        <color theme="1"/>
        <rFont val="Times New Roman"/>
        <family val="1"/>
      </rPr>
      <t xml:space="preserve"> set up?</t>
    </r>
  </si>
  <si>
    <t>LFH</t>
  </si>
  <si>
    <t>NUHS</t>
  </si>
  <si>
    <t>LCH</t>
  </si>
  <si>
    <t>RIC</t>
  </si>
  <si>
    <t>VA</t>
  </si>
  <si>
    <t>NMFF</t>
  </si>
  <si>
    <t>NMH</t>
  </si>
  <si>
    <t>If so, specify.</t>
  </si>
  <si>
    <r>
      <t xml:space="preserve">Does the project involve the use of facilities, staff, or patients of member institutions of the </t>
    </r>
    <r>
      <rPr>
        <b/>
        <sz val="11"/>
        <color theme="1"/>
        <rFont val="Times New Roman"/>
        <family val="1"/>
      </rPr>
      <t>McGaw Medical Center</t>
    </r>
    <r>
      <rPr>
        <sz val="11"/>
        <color theme="1"/>
        <rFont val="Times New Roman"/>
        <family val="1"/>
      </rPr>
      <t>?</t>
    </r>
  </si>
  <si>
    <r>
      <t xml:space="preserve">Will the majority of the research will be conducted </t>
    </r>
    <r>
      <rPr>
        <b/>
        <sz val="11"/>
        <color theme="1"/>
        <rFont val="Times New Roman"/>
        <family val="1"/>
      </rPr>
      <t>on campus or off campus</t>
    </r>
    <r>
      <rPr>
        <sz val="11"/>
        <color theme="1"/>
        <rFont val="Times New Roman"/>
        <family val="1"/>
      </rPr>
      <t>?</t>
    </r>
  </si>
  <si>
    <t>Project Dates</t>
  </si>
  <si>
    <t>PROPOSAL COMMITMENTS QUESTIONNAIRE</t>
  </si>
  <si>
    <t>Filter</t>
  </si>
  <si>
    <r>
      <t xml:space="preserve">What is your </t>
    </r>
    <r>
      <rPr>
        <b/>
        <sz val="11"/>
        <color theme="1"/>
        <rFont val="Times New Roman"/>
        <family val="1"/>
      </rPr>
      <t>CommonsID</t>
    </r>
    <r>
      <rPr>
        <sz val="11"/>
        <color theme="1"/>
        <rFont val="Times New Roman"/>
        <family val="1"/>
      </rPr>
      <t>?</t>
    </r>
  </si>
  <si>
    <t>Cost-Share Request</t>
  </si>
  <si>
    <t>Reg</t>
  </si>
  <si>
    <t>Registration</t>
  </si>
  <si>
    <t>Trip Total:</t>
  </si>
  <si>
    <t>Subaward I</t>
  </si>
  <si>
    <t>Subaward II</t>
  </si>
  <si>
    <t>Subaward III</t>
  </si>
  <si>
    <t>Subaward IV</t>
  </si>
  <si>
    <t>Subaward V</t>
  </si>
  <si>
    <t>Subaward VI</t>
  </si>
  <si>
    <t>Subaward VII</t>
  </si>
  <si>
    <t>Subaward VIII</t>
  </si>
  <si>
    <t>Subaward IX</t>
  </si>
  <si>
    <t>Subaward X</t>
  </si>
  <si>
    <t>Subaward XI</t>
  </si>
  <si>
    <t>Subaward XII</t>
  </si>
  <si>
    <t>Subaward Name</t>
  </si>
  <si>
    <t>Subaward PI</t>
  </si>
  <si>
    <t>Directs</t>
  </si>
  <si>
    <t>Indirects</t>
  </si>
  <si>
    <t>Total Direct Costs</t>
  </si>
  <si>
    <t>Enter the direct costs and indirect costs for each subaward for each year. These entries will drive the calculations of the Budget, as well as properly split out the total prime and subaward direct costs as required by certain sponsors such as NIH.</t>
  </si>
  <si>
    <t>Cumulative Total Direct Costs</t>
  </si>
  <si>
    <t>Subaward Cost-Share</t>
  </si>
  <si>
    <t>CUMULATIVE BUDGET</t>
  </si>
  <si>
    <t>CUMULATIVE</t>
  </si>
  <si>
    <t>TOTAL</t>
  </si>
  <si>
    <t>Total Cost-Shared</t>
  </si>
  <si>
    <t>This person has an 11-month appointment/a 10 month appointment. Effort percentage is thus based on 11/10 months rather than the standard 12 months.</t>
  </si>
  <si>
    <t>Materials and Supplies: Support is requested to cover the cost of expendable materials and supplies each year for # years. Materials and supplies include … Materials and supplies are requested for …</t>
  </si>
  <si>
    <t>Computer Services: Support is requested to cover the cost of computer services each year for # years. Computer services are requested for …</t>
  </si>
  <si>
    <t>58% MTDC 9/1/17 - 8/31/18 - Predetermined</t>
  </si>
  <si>
    <t>58% MTDC Beginning 9/1/18 - 8/31/19 and thereafter provisional</t>
  </si>
  <si>
    <t>68.9% MTDC Beginning 9/1/18 - 8/31/19 and thereafter provisional</t>
  </si>
  <si>
    <t>26% MTDC Beginning 9/1/18 - 8/31/19 and thereafter provisional - Off-Campus</t>
  </si>
  <si>
    <t>59% MTDC 9/1/17 - 8/31/18 - Predetermined; DoD Contract</t>
  </si>
  <si>
    <t>68.9% MTDC 9/1/17 - 8/31/18 - Predetermined</t>
  </si>
  <si>
    <t>26% MTDC 9/1/17 - 8/31/18 - Predetermined - Off-Campus</t>
  </si>
  <si>
    <t>Per sponsor guidelines, F&amp;A has been capped at the following rate:</t>
  </si>
  <si>
    <t>Per sponsor guidelines, no F&amp;A is allowed.</t>
  </si>
  <si>
    <t>#% MTDC</t>
  </si>
  <si>
    <t>#% TDC</t>
  </si>
  <si>
    <t>59% MTDC Beginning 9/1/18 - 8/31/19 and thereafter provisional; DoD Contract</t>
  </si>
  <si>
    <t>The grad student will work with the PI on completing Aim 1.</t>
  </si>
  <si>
    <t>/hr.</t>
  </si>
  <si>
    <t>School of Eng. &amp; Applied Sci.</t>
  </si>
  <si>
    <t>per Hour</t>
  </si>
  <si>
    <t>per Trainee</t>
  </si>
  <si>
    <t>per Trainee, per equipment</t>
  </si>
  <si>
    <t>Unit</t>
  </si>
  <si>
    <t>per hour</t>
  </si>
  <si>
    <t>Ball Wire Bonder (iBond5000)</t>
  </si>
  <si>
    <t>Doping p-type (Tystar furnace)</t>
  </si>
  <si>
    <t>Spinner/Bake Hoods</t>
  </si>
  <si>
    <t>Mask Aligner (Suss MJB4)</t>
  </si>
  <si>
    <t>Mask Aligner (Suss MABA6)</t>
  </si>
  <si>
    <t>per month</t>
  </si>
  <si>
    <t>as of 3/5/2018</t>
  </si>
  <si>
    <t>Self Serve</t>
  </si>
  <si>
    <t>Full Serve</t>
  </si>
  <si>
    <t>includes a stereotaxic with for rat or mouse,  gas adapters, and isoflurane vaporizer.</t>
  </si>
  <si>
    <t xml:space="preserve">Surgery: </t>
  </si>
  <si>
    <t>Med Associates startle system, 2 chambers simultaneously.</t>
  </si>
  <si>
    <t xml:space="preserve">Startle: </t>
  </si>
  <si>
    <t>thermal sensitivity test using an infrared beam and a glass floor, also provide  a set of von Frey hairs</t>
  </si>
  <si>
    <t xml:space="preserve">Plantar: </t>
  </si>
  <si>
    <t>5 lane TSE system (with shock floor)</t>
  </si>
  <si>
    <t xml:space="preserve">Rotorod: </t>
  </si>
  <si>
    <t>for people using our rooms, but not our equipment, i.e. they bring their own video camera for some behavior</t>
  </si>
  <si>
    <t xml:space="preserve">General Use: </t>
  </si>
  <si>
    <t xml:space="preserve"> Actimetrics FreezeFrame software, Coulbourn Hardware</t>
  </si>
  <si>
    <t>Fear:</t>
  </si>
  <si>
    <t>in house custom eyeblink conditioning system</t>
  </si>
  <si>
    <t xml:space="preserve">Eyeblink: </t>
  </si>
  <si>
    <t>Mouse Specifics treadmill- video digitzed footprints</t>
  </si>
  <si>
    <t xml:space="preserve">DigiGate: </t>
  </si>
  <si>
    <t>Actimetrics LimeLight Chambers (4 subjects in own chambers collected simultaneously)</t>
  </si>
  <si>
    <t xml:space="preserve">L-L: </t>
  </si>
  <si>
    <t>The lab collects the data- after they are certified to use the equipment</t>
  </si>
  <si>
    <t xml:space="preserve">Self Serve: </t>
  </si>
  <si>
    <t>The Core's technician does the training.</t>
  </si>
  <si>
    <t xml:space="preserve">Full Serve: </t>
  </si>
  <si>
    <t>NuWave 213 UP Laser Ablation (LA-ICP-MS), Additional to ICP-MS fees</t>
  </si>
  <si>
    <t>Perkin Elmer AAnalyst 800 (GFAAS)</t>
  </si>
  <si>
    <t>Dionex ICS 5000+ Ion Chromotography System</t>
  </si>
  <si>
    <t>Thermo ELEMENT2 High Resolution ICP-MS (HR-ICP-MS)</t>
  </si>
  <si>
    <t>Thermo iCAP 7600 (ICP-OES)</t>
  </si>
  <si>
    <t>Thermo iCAP Q (ICP-MS)</t>
  </si>
  <si>
    <t>Training, Assisted Usage, Sample Preparation and Analysis</t>
  </si>
  <si>
    <t>(*) rates charged per minute</t>
  </si>
  <si>
    <t>Typhoon Fluorimager*</t>
  </si>
  <si>
    <t>Surface Plasmon Resonance (limited access)</t>
  </si>
  <si>
    <t>Storm Phosphorimager*</t>
  </si>
  <si>
    <t>SEC-MALS-QELS  (limited access)</t>
  </si>
  <si>
    <t>PXi Chemiluminescence &amp; IR Imager*</t>
  </si>
  <si>
    <t>NanoDrop Spectrophotometer*</t>
  </si>
  <si>
    <t>NanoDrop 3300 Fluorimeter*</t>
  </si>
  <si>
    <t>LAS 4010 Gel Imager*</t>
  </si>
  <si>
    <t>Isothermal Titration Calorimeter (limited access)</t>
  </si>
  <si>
    <t>Training (one time)</t>
  </si>
  <si>
    <t xml:space="preserve">Instrument </t>
  </si>
  <si>
    <t>as of 3/5/18</t>
  </si>
  <si>
    <t>per Plate</t>
  </si>
  <si>
    <t>qPCR (Equipment Use)</t>
  </si>
  <si>
    <t>Price</t>
  </si>
  <si>
    <t>Equipment Use</t>
  </si>
  <si>
    <t>Staff Labor/Hour</t>
  </si>
  <si>
    <t>License seat</t>
  </si>
  <si>
    <t>Lasergene License</t>
  </si>
  <si>
    <t>Bioinformatics</t>
  </si>
  <si>
    <t>per Session</t>
  </si>
  <si>
    <t>Project Consulting</t>
  </si>
  <si>
    <t>Bioinformatics and Consultation</t>
  </si>
  <si>
    <t>per Sample</t>
  </si>
  <si>
    <t>Human Cell Line Authentication</t>
  </si>
  <si>
    <t>Human Cell Line Authentication Through STR Profiling</t>
  </si>
  <si>
    <t>DNA Extraction: 5-10ml Blood</t>
  </si>
  <si>
    <t>DNA Extraction &lt; 5ml Input</t>
  </si>
  <si>
    <t>Fragment Analyzer RNA/DNA Analysis</t>
  </si>
  <si>
    <t>per Chip</t>
  </si>
  <si>
    <t>Bioanalyzer DNA High Sensitivity Assay</t>
  </si>
  <si>
    <t>Bioanalyzer DNA 1K, RNA Nano/Pico Assay</t>
  </si>
  <si>
    <t xml:space="preserve">Qubit DNA/RNA Measurement </t>
  </si>
  <si>
    <t>DNA/RNA Nanodrop Measurement</t>
  </si>
  <si>
    <t>Sample QC</t>
  </si>
  <si>
    <t>Check NUcore</t>
  </si>
  <si>
    <t>Traditional Sequencing through ACGT: Premium Option</t>
  </si>
  <si>
    <t>Traditional Sequencing through ACGT: Standard Option</t>
  </si>
  <si>
    <t>Traditional Sequencing through ACGT: Low Cost Option</t>
  </si>
  <si>
    <t>Illumina Genotyping or MethylationEPIC Microarray Processing</t>
  </si>
  <si>
    <t>Affymetrix Microarray Processing</t>
  </si>
  <si>
    <t>Array Processing</t>
  </si>
  <si>
    <t>DNA Fragmentation on Covaris</t>
  </si>
  <si>
    <t>DNA Size Selection for Next-Gen Sequencing</t>
  </si>
  <si>
    <t>NGS Sample Prep</t>
  </si>
  <si>
    <t>Sequencing Library qPCR Quantification</t>
  </si>
  <si>
    <t>ATAC-Seq Library Prep</t>
  </si>
  <si>
    <t>Exome Sequencing Library Prep</t>
  </si>
  <si>
    <t>TruSeq ChIP-Seq Library Prep</t>
  </si>
  <si>
    <t xml:space="preserve">ImmunoSEQ Library Prep from Tissue </t>
  </si>
  <si>
    <t>Human Mitochondrial DNA Enrichment and Sequencing Library Prep</t>
  </si>
  <si>
    <t>Nextera XT DNA Library Prep</t>
  </si>
  <si>
    <t>DNA Methyl-Seq Library Prep</t>
  </si>
  <si>
    <t>TruSeq DNA Nano/ PCR-Free Library Prep</t>
  </si>
  <si>
    <t>Low-Input Small RNA-Seq Library Prep</t>
  </si>
  <si>
    <t>TruSeq Small RNA-Seq Library Prep</t>
  </si>
  <si>
    <t>Single-Cell RNA-Seq High-Throughput Library Prep</t>
  </si>
  <si>
    <t>Single-Cell Manual RNA-Seq Customization and Optimization</t>
  </si>
  <si>
    <t>Single-Cell Manual/ Ultra-Low-Input RNA-Seq Library Prep</t>
  </si>
  <si>
    <t>Low-Input RNA-Seq Library Prep</t>
  </si>
  <si>
    <t>TruSeq Total RNA-Seq Library Prep</t>
  </si>
  <si>
    <t>TruSeq mRNA-Seq Library Prep</t>
  </si>
  <si>
    <t xml:space="preserve">QuantSeq 3' mRNA-Seq Library Prep </t>
  </si>
  <si>
    <t>NGS Library Prep</t>
  </si>
  <si>
    <t>per Quarter Run</t>
  </si>
  <si>
    <t>150bp, PE, MT, 66 million reads</t>
  </si>
  <si>
    <t>150bp, PE, HT, 200 million reads</t>
  </si>
  <si>
    <t>75bp, PE, MT, 66 million reads</t>
  </si>
  <si>
    <t>75bp, Paired-End Reads, HT, 200 million reads</t>
  </si>
  <si>
    <t>150bp, SR, Mid-Throughput, 33 million reads</t>
  </si>
  <si>
    <t>150bp, SR, HT, 100 million reads</t>
  </si>
  <si>
    <t>75bp, Single Reads, High-Throughput, 100 million reads</t>
  </si>
  <si>
    <t>NextSeq 500 Sequencing</t>
  </si>
  <si>
    <t>per Flowcell</t>
  </si>
  <si>
    <t>2x250bp Sequencing, v2 Nano, 1 million reads</t>
  </si>
  <si>
    <t>1x300bp or 2x150bp Sequencing, v2 Nano, 1 million reads</t>
  </si>
  <si>
    <t>1x300bp or 2x150bp Sequencing, v2, Micro, 4 million reads</t>
  </si>
  <si>
    <t>2x250bp Sequencing, v2, 15 million reads</t>
  </si>
  <si>
    <t>1x300bp or 2x150 Sequencing, v2, 15 million reads</t>
  </si>
  <si>
    <t>1x50bp Sequencing, v2, 15 million reads</t>
  </si>
  <si>
    <t>1x300bp or 2x300bp Sequencing, v3, 25 million reads</t>
  </si>
  <si>
    <t>1x150bp or 2x75bp Sequencing, v3, 25 million reads</t>
  </si>
  <si>
    <t>MiSeq Sequencing</t>
  </si>
  <si>
    <t>per Lane</t>
  </si>
  <si>
    <t>150bp, PE, 600-800 million reads</t>
  </si>
  <si>
    <t>100bp, PE, 600-800 million reads</t>
  </si>
  <si>
    <t>50bp, Paired-End Reads, 600-800 million reads</t>
  </si>
  <si>
    <t>150bp, SR, 300-400 million reads</t>
  </si>
  <si>
    <t>100bp, SR, 300-400 million reads</t>
  </si>
  <si>
    <t>50bp, Single Reads, 300-400 million reads</t>
  </si>
  <si>
    <t>HiSeq 4000 Sequencing </t>
  </si>
  <si>
    <t>Training and Constutation</t>
  </si>
  <si>
    <t>Correlated Solutions DIC Rental</t>
  </si>
  <si>
    <t>/sample</t>
  </si>
  <si>
    <t>Impact Tester Rental</t>
  </si>
  <si>
    <t>System Rental</t>
  </si>
  <si>
    <t>Portable Test</t>
  </si>
  <si>
    <t>Tensile Testing Systems Rental</t>
  </si>
  <si>
    <t>Internal Rates</t>
  </si>
  <si>
    <t>Equipment Rental and Services</t>
  </si>
  <si>
    <t>per tube</t>
  </si>
  <si>
    <t>Poster tube</t>
  </si>
  <si>
    <t>per linear inch</t>
  </si>
  <si>
    <t>HP5500PS 42” Poster Printer</t>
  </si>
  <si>
    <t>Poster Printing</t>
  </si>
  <si>
    <t>Add On: Micromanipulators</t>
  </si>
  <si>
    <t>n/a</t>
  </si>
  <si>
    <t>Inverted Color Microscope</t>
  </si>
  <si>
    <t>Time Used</t>
  </si>
  <si>
    <t>Inverted Fluorescent Microscope</t>
  </si>
  <si>
    <t>Add On: SpectraPhysics MaiTai laser</t>
  </si>
  <si>
    <t>Zeiss LSM510 Inverted Confocal</t>
  </si>
  <si>
    <t>Assistance</t>
  </si>
  <si>
    <t>Overnight</t>
  </si>
  <si>
    <t>Evening &amp; Weekend</t>
  </si>
  <si>
    <t>Daytime (M-F)</t>
  </si>
  <si>
    <t>Instruments in CAMI in Silverman Hall</t>
  </si>
  <si>
    <t>Leica Brightfield Microscope</t>
  </si>
  <si>
    <t>Olympus BX53</t>
  </si>
  <si>
    <t>Leica DM6B Fluorescent Microscope</t>
  </si>
  <si>
    <t>Zeiss LSM510 Meta with FCS</t>
  </si>
  <si>
    <t>Deltavision Elite</t>
  </si>
  <si>
    <t>Add On: iLAS2 FRAP/TIRF module</t>
  </si>
  <si>
    <t>Leica SP5 Scanning Confocal</t>
  </si>
  <si>
    <t>Instruments in Hogan Hall</t>
  </si>
  <si>
    <t>Tera-Print M-series</t>
  </si>
  <si>
    <t>Bruker Photocurrent &amp; Thermal AFM</t>
  </si>
  <si>
    <t>HP DesignJet Z6200 42-in Poster Printer</t>
  </si>
  <si>
    <t>Gatan Double-Tilt Holder</t>
  </si>
  <si>
    <t>South Bay Technologies PC2000 Plasma Cleaner</t>
  </si>
  <si>
    <t>Gatan 691 Precision Ion Polishing System</t>
  </si>
  <si>
    <t>Fischione 1010 Ion Beam Thinning</t>
  </si>
  <si>
    <t>Specimen Preparation</t>
  </si>
  <si>
    <t>LEO Gemini 1525 Scanning Electron Microscope</t>
  </si>
  <si>
    <t>FEI Quanta 650FEG Environmental SEM</t>
  </si>
  <si>
    <t>Hitachi SU8030 Field Emission SEM</t>
  </si>
  <si>
    <t>Hitachi H8100 TEM</t>
  </si>
  <si>
    <t>JEOL JEM-ARM300CF 300kV TEM</t>
  </si>
  <si>
    <t>JEOL JEM-ARM200CF 200kV Cs-Corrected STEM</t>
  </si>
  <si>
    <t>Leica EM ACE600 High Vacuum Coater</t>
  </si>
  <si>
    <t>Leica UC7/FC7 (and UltraCut) Ultramicrotomes</t>
  </si>
  <si>
    <t>CryoTransfer Holder - JEOL or Hitachi (per run)</t>
  </si>
  <si>
    <t>Pella BioWave Microwave Processor</t>
  </si>
  <si>
    <t>Tousimis Critical Point Dryer</t>
  </si>
  <si>
    <t>Emitech K775X Turbo Freeze Dryer (per run)</t>
  </si>
  <si>
    <t>FEI Vitrobot Mark III or Mark IV Vitrification Robot (per run)</t>
  </si>
  <si>
    <t>Leica HPM100 High Pressure Freezer (per run)</t>
  </si>
  <si>
    <t>Leica EM-Pact2 High-pressure Freezer (per run)</t>
  </si>
  <si>
    <t>Leica AFS2 Freeze Substitution (per run)</t>
  </si>
  <si>
    <t>BioCryo Specimen Preparation</t>
  </si>
  <si>
    <t>Hitachi HD-2300 Dual EDS Cryo STEM</t>
  </si>
  <si>
    <t>JEOL JEM-1230 120 kV TEM</t>
  </si>
  <si>
    <t>Hitachi S4800-II cFEG Cryo-SEM (per run)</t>
  </si>
  <si>
    <t>BioCryo Imaging &amp; Analysis</t>
  </si>
  <si>
    <t>per unit</t>
  </si>
  <si>
    <t>Varies</t>
  </si>
  <si>
    <t>Shipping of Media</t>
  </si>
  <si>
    <t>Data Recovery Due to User Error</t>
  </si>
  <si>
    <t>Jewel Cases</t>
  </si>
  <si>
    <t>DVD+/-R</t>
  </si>
  <si>
    <t>CD-R</t>
  </si>
  <si>
    <t>Glass Cell</t>
  </si>
  <si>
    <t>Microtip-array</t>
  </si>
  <si>
    <t>Copper Crimps</t>
  </si>
  <si>
    <t>Consumables, Materials and One Time Costs</t>
  </si>
  <si>
    <t>Arc Melter AM0.5</t>
  </si>
  <si>
    <t>Per Hour</t>
  </si>
  <si>
    <t>per 1 TB</t>
  </si>
  <si>
    <t>Quest Storage Service</t>
  </si>
  <si>
    <t>QUEST</t>
  </si>
  <si>
    <t>Date</t>
  </si>
  <si>
    <t>Description</t>
  </si>
  <si>
    <t>Added changelog, updated GSA rates</t>
  </si>
  <si>
    <t>M&amp;IE is charged at 75% on the first and last days of travel per Northwestern policy.</t>
  </si>
  <si>
    <t>Agency for Healthcare Research and Quality (AHRQ)</t>
  </si>
  <si>
    <t>Agency for Healthcare Research and Quality</t>
  </si>
  <si>
    <t>AHRQ</t>
  </si>
  <si>
    <t>Agency for Toxic Substances and Disease Registry (ATSDR)</t>
  </si>
  <si>
    <t>Agency for Toxic Substances and Disease Registry</t>
  </si>
  <si>
    <t>ATSDR</t>
  </si>
  <si>
    <t>Centers for Disease Control and Prevention (CDC)</t>
  </si>
  <si>
    <t>Centers for Disease Control and Prevention</t>
  </si>
  <si>
    <t>Centers for Disease Control</t>
  </si>
  <si>
    <t>CDC</t>
  </si>
  <si>
    <t>Food and Drug Administration (FDA)</t>
  </si>
  <si>
    <t>Food and Drug Administration</t>
  </si>
  <si>
    <t>FDA</t>
  </si>
  <si>
    <t>Centers for Medicare and Medicaid Services (CMS)</t>
  </si>
  <si>
    <t>Centers for Medicare and Medicaid Services</t>
  </si>
  <si>
    <t>CMS</t>
  </si>
  <si>
    <t>Indian Health Service (IHS)</t>
  </si>
  <si>
    <t>Indian Health Service</t>
  </si>
  <si>
    <t>IHS</t>
  </si>
  <si>
    <t>Office of the Assistant Secretary for Health (ASH)</t>
  </si>
  <si>
    <t>Office of the Assistant Secretary for Health</t>
  </si>
  <si>
    <t>ASH</t>
  </si>
  <si>
    <t>Office of the Secretary</t>
  </si>
  <si>
    <t>Program Support Center</t>
  </si>
  <si>
    <t>PSC</t>
  </si>
  <si>
    <t>Program Support Center (PSC)</t>
  </si>
  <si>
    <t>Substance Abuse and Mental Health Services Administration (SAMHSA)</t>
  </si>
  <si>
    <t>Substance Abuse and Mental Health Services Administration</t>
  </si>
  <si>
    <t>SAMHSA</t>
  </si>
  <si>
    <t>Office of the Assistant Secretary for Preparedness and Response</t>
  </si>
  <si>
    <t>ASPR</t>
  </si>
  <si>
    <t>Office of the Assistant Secretary for Preparedness and Response (ASPR)</t>
  </si>
  <si>
    <t>Updated HHS under Exc. II salary cap</t>
  </si>
  <si>
    <t>If NIH Salary Cap changes, update here.</t>
  </si>
  <si>
    <t>←</t>
  </si>
  <si>
    <t>Andrea Zakrzewski, Associate Director</t>
  </si>
  <si>
    <t>NIH or other Sponsors using the HHS Salary Cap</t>
  </si>
  <si>
    <t>HHS Cap</t>
  </si>
  <si>
    <t>Professor ABC’s salary currently exceeds the HHS salary cap per recent guidelines. Professor ABC’s direct salary in this application has been restricted according to Executive Level II of the Federal Pay Scale.</t>
  </si>
  <si>
    <t>Updated Facility rate tables</t>
  </si>
  <si>
    <t>Other Sponsors using the HHS salary cap</t>
  </si>
  <si>
    <t>Other Agencies under the HHS using the salary cap</t>
  </si>
  <si>
    <t xml:space="preserve">Version </t>
  </si>
  <si>
    <t>Updated justification boilerplate language</t>
  </si>
  <si>
    <t>FINAL</t>
  </si>
  <si>
    <t>Updated Tuition for FY19</t>
  </si>
  <si>
    <t>Publication Costs: Support is requested to cover the cost of publications each year for # years.</t>
  </si>
  <si>
    <t>Minor fixes to budget justification</t>
  </si>
  <si>
    <t>Updated to DHHS rate agreement 6/22/2018</t>
  </si>
  <si>
    <t>changed colors on cost share tab</t>
  </si>
  <si>
    <t>Updated 'Estimated' to 'provisional in justification</t>
  </si>
  <si>
    <t># graduate student’s salary is requested each year for # years and is inflated by # each September. The Graduate School (TGS) has set FY 2020 PhD student Minimum Stipend Rates at $2,737 per month ($32,844 per year). The graduate student will …</t>
  </si>
  <si>
    <t>Added base salary rate for graduate students FY20</t>
  </si>
  <si>
    <t>updated base per diem rate</t>
  </si>
  <si>
    <t>NIH Recommended Stipend Levels</t>
  </si>
  <si>
    <t>Notice Number: NOT-OD-18-175</t>
  </si>
  <si>
    <t>Career Level</t>
  </si>
  <si>
    <t>Monthly Stipend</t>
  </si>
  <si>
    <t>Freshmen/Sophomores</t>
  </si>
  <si>
    <t>Juniors/Seniors</t>
  </si>
  <si>
    <t>FY 2018</t>
  </si>
  <si>
    <t>Predoctoral</t>
  </si>
  <si>
    <t>Postdoctoral</t>
  </si>
  <si>
    <t>7 or More</t>
  </si>
  <si>
    <t>Added NIH recommended stipends to rate tables</t>
  </si>
  <si>
    <t>removed AHA from salary cap.</t>
  </si>
  <si>
    <t>Tuition: Support is requested to cover the cost of graduate student tuition each year for # years and is inflated #% each University fiscal year starting in September. Fiscal Year 2020's quarterly PI rate is $3,867. Total tuition requested in Budget Period # is $.</t>
  </si>
  <si>
    <t>FY 2020 TGS Rates</t>
  </si>
  <si>
    <t>Annual</t>
  </si>
  <si>
    <t>Full Tuition</t>
  </si>
  <si>
    <t>Adv. tuition</t>
  </si>
  <si>
    <t>PI rate</t>
  </si>
  <si>
    <t>Full RAS</t>
  </si>
  <si>
    <t>Adv. RAS</t>
  </si>
  <si>
    <t>Monthly</t>
  </si>
  <si>
    <t>Stipend</t>
  </si>
  <si>
    <t>Updated language and added new TGS rates</t>
  </si>
  <si>
    <t>Effective January 6, 2019 (Executive Level II)</t>
  </si>
  <si>
    <t>Notice Number: NOT-OD-19-099</t>
  </si>
  <si>
    <t>Per NOT-OD-19-099, increased EX2 cap to $192,300</t>
  </si>
  <si>
    <t>Appointment months</t>
  </si>
  <si>
    <t>Professor McCormick</t>
  </si>
  <si>
    <r>
      <t>Appointment Type
(</t>
    </r>
    <r>
      <rPr>
        <sz val="8"/>
        <color rgb="FF0070C0"/>
        <rFont val="Garamond"/>
        <family val="1"/>
      </rPr>
      <t>3</t>
    </r>
    <r>
      <rPr>
        <sz val="8"/>
        <rFont val="Garamond"/>
        <family val="1"/>
      </rPr>
      <t xml:space="preserve">, </t>
    </r>
    <r>
      <rPr>
        <sz val="8"/>
        <color rgb="FF0070C0"/>
        <rFont val="Garamond"/>
        <family val="1"/>
      </rPr>
      <t>9</t>
    </r>
    <r>
      <rPr>
        <sz val="8"/>
        <rFont val="Garamond"/>
        <family val="1"/>
      </rPr>
      <t xml:space="preserve">, </t>
    </r>
    <r>
      <rPr>
        <sz val="8"/>
        <color rgb="FFFF0000"/>
        <rFont val="Garamond"/>
        <family val="1"/>
      </rPr>
      <t>10</t>
    </r>
    <r>
      <rPr>
        <sz val="8"/>
        <rFont val="Garamond"/>
        <family val="1"/>
      </rPr>
      <t xml:space="preserve">, </t>
    </r>
    <r>
      <rPr>
        <sz val="8"/>
        <color rgb="FFFF0000"/>
        <rFont val="Garamond"/>
        <family val="1"/>
      </rPr>
      <t>11</t>
    </r>
    <r>
      <rPr>
        <sz val="8"/>
        <rFont val="Garamond"/>
        <family val="1"/>
      </rPr>
      <t xml:space="preserve">, </t>
    </r>
    <r>
      <rPr>
        <sz val="8"/>
        <color rgb="FFFF0000"/>
        <rFont val="Garamond"/>
        <family val="1"/>
      </rPr>
      <t>12</t>
    </r>
    <r>
      <rPr>
        <sz val="8"/>
        <rFont val="Garamond"/>
        <family val="1"/>
      </rPr>
      <t xml:space="preserve"> months)</t>
    </r>
  </si>
  <si>
    <t>Per Solicitation requirement, hourly rates approximations are provided. Northwestern University does not bill, pay, or track effort by the hour. Records are maintained by personnel survey reports using percentage of effort in accordance with 2 CFR Part 200.</t>
  </si>
  <si>
    <t>Updated Justification to include language for PAPPG 20-1</t>
  </si>
  <si>
    <t>Updated fringe benefit rates for FY2020; updated Justification fringe benefit rates blank/populate logic; added if/then logic for "Total NU Direct Costs and Subaward Direct Costs"</t>
  </si>
  <si>
    <t>Updated Fringe Benefits language</t>
  </si>
  <si>
    <t>Updated fringe calculations</t>
  </si>
  <si>
    <t>Updated to DHHS rate agreement 09/20/2019</t>
  </si>
  <si>
    <t>Updated non-federal rates</t>
  </si>
  <si>
    <t>- Use the filter to the right for additional rows for personnel, equipment, and/or subks.
- Use the +/- icon above to hide/unhide the cost-share columns.
- Enter information (names, amounts, justifications, etc.) in the white cells. These entries will drive the calculations of the Budget and the descriptions will drive the text for the Budget Justification. Most outyear calculations will auto-populate based on BP1 entries.
- Unhide Column T to the right for examples of justification entries.
- Appointment Type and Person-Months are required for salary calculations. Summer appointments should get their own row.
- Sponsor is required for NIH cap calculations. Some non-NIH sponsors who also use the NIH cap that we are aware of have been included to the best of our ability.
- F&amp;A types can be updated by selecting the proper cells to the left. Template calculates at blended rates (see 'Lists' tab).
- Subaward Calculator should be used for subaward budgets.
- Travel Calculator can be used for more exact travel calculations (lodging, M&amp;IE, etc.). 
- Appendices have more information such as boilerplate budget justification text, labor hour calculations, and facilities rates.</t>
  </si>
  <si>
    <t>Fixed predetermine/provisional F&amp;A language in Budget Justification</t>
  </si>
  <si>
    <t>Fixed Cumulative Budget not adding in extra non-key personnel in L41 and L42</t>
  </si>
  <si>
    <t>Updated GSA base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</si>
</sst>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0.000%"/>
    <numFmt numFmtId="165" formatCode="0."/>
    <numFmt numFmtId="166" formatCode="&quot;$&quot;#,##0"/>
    <numFmt numFmtId="167" formatCode="&quot;$&quot;#,##0.0"/>
    <numFmt numFmtId="168" formatCode="mmmm\ d\,\ yyyy"/>
    <numFmt numFmtId="169" formatCode="[$-409]mmmm\ d\,\ yyyy;@"/>
    <numFmt numFmtId="170" formatCode="0.0000"/>
    <numFmt numFmtId="171" formatCode="&quot;$&quot;#,##0.00"/>
    <numFmt numFmtId="172" formatCode="0\ &quot;Months&quot;"/>
    <numFmt numFmtId="173" formatCode="0;\-0;;@"/>
    <numFmt numFmtId="174" formatCode="&quot;$&quot;#,##0;\-0;;@"/>
    <numFmt numFmtId="175" formatCode="&quot;Budget Period&quot;\ 0"/>
    <numFmt numFmtId="176" formatCode="_(&quot;$&quot;* #,##0_);_(&quot;$&quot;* \(#,##0\);_(&quot;$&quot;* &quot;-&quot;??_);_(@_)"/>
  </numFmts>
  <fonts count="112">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Geneva"/>
      <family val="2"/>
    </font>
    <font>
      <sz val="10"/>
      <name val="Geneva"/>
      <family val="2"/>
    </font>
    <font>
      <sz val="10"/>
      <name val="Times"/>
      <family val="1"/>
    </font>
    <font>
      <sz val="10"/>
      <name val="Helv"/>
    </font>
    <font>
      <sz val="6"/>
      <name val="Geneva"/>
      <family val="2"/>
    </font>
    <font>
      <u/>
      <sz val="10"/>
      <color indexed="12"/>
      <name val="Geneva"/>
      <family val="2"/>
    </font>
    <font>
      <b/>
      <sz val="12"/>
      <name val="Garamond"/>
      <family val="1"/>
    </font>
    <font>
      <sz val="10"/>
      <name val="Garamond"/>
      <family val="1"/>
    </font>
    <font>
      <sz val="6"/>
      <name val="Garamond"/>
      <family val="1"/>
    </font>
    <font>
      <sz val="8"/>
      <name val="Garamond"/>
      <family val="1"/>
    </font>
    <font>
      <sz val="9"/>
      <name val="Garamond"/>
      <family val="1"/>
    </font>
    <font>
      <b/>
      <sz val="10"/>
      <name val="Garamond"/>
      <family val="1"/>
    </font>
    <font>
      <sz val="11"/>
      <name val="Garamond"/>
      <family val="1"/>
    </font>
    <font>
      <sz val="10"/>
      <name val="Arial"/>
      <family val="2"/>
    </font>
    <font>
      <b/>
      <sz val="10"/>
      <name val="Arial"/>
      <family val="2"/>
    </font>
    <font>
      <sz val="9"/>
      <name val="Arial"/>
      <family val="2"/>
    </font>
    <font>
      <sz val="9"/>
      <color indexed="20"/>
      <name val="Arial"/>
      <family val="2"/>
    </font>
    <font>
      <b/>
      <sz val="9"/>
      <name val="Arial"/>
      <family val="2"/>
    </font>
    <font>
      <sz val="8"/>
      <name val="Helv"/>
    </font>
    <font>
      <sz val="11"/>
      <name val="Arial"/>
      <family val="2"/>
    </font>
    <font>
      <b/>
      <sz val="11"/>
      <name val="Arial"/>
      <family val="2"/>
    </font>
    <font>
      <i/>
      <sz val="11"/>
      <name val="Arial"/>
      <family val="2"/>
    </font>
    <font>
      <b/>
      <sz val="12"/>
      <name val="Geneva"/>
      <family val="2"/>
    </font>
    <font>
      <b/>
      <u/>
      <sz val="10"/>
      <name val="Geneva"/>
      <family val="2"/>
    </font>
    <font>
      <b/>
      <sz val="8"/>
      <name val="Garamond"/>
      <family val="1"/>
    </font>
    <font>
      <sz val="9"/>
      <color indexed="8"/>
      <name val="Arial"/>
      <family val="2"/>
    </font>
    <font>
      <u/>
      <sz val="9"/>
      <color indexed="8"/>
      <name val="Arial"/>
      <family val="2"/>
    </font>
    <font>
      <sz val="8"/>
      <name val="Geneva"/>
      <family val="2"/>
    </font>
    <font>
      <sz val="12"/>
      <name val="Garamond"/>
      <family val="1"/>
    </font>
    <font>
      <b/>
      <sz val="1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name val="Geneva"/>
      <family val="2"/>
    </font>
    <font>
      <b/>
      <sz val="9"/>
      <color rgb="FFFF0000"/>
      <name val="Arial"/>
      <family val="2"/>
    </font>
    <font>
      <sz val="10"/>
      <color rgb="FFFF0000"/>
      <name val="Garamond"/>
      <family val="1"/>
    </font>
    <font>
      <u/>
      <sz val="11"/>
      <name val="Arial"/>
      <family val="2"/>
    </font>
    <font>
      <sz val="10"/>
      <color theme="0"/>
      <name val="Geneva"/>
      <family val="2"/>
    </font>
    <font>
      <b/>
      <sz val="10"/>
      <color rgb="FFFF0000"/>
      <name val="Geneva"/>
      <family val="2"/>
    </font>
    <font>
      <sz val="12"/>
      <color theme="0"/>
      <name val="Garamond"/>
      <family val="1"/>
    </font>
    <font>
      <b/>
      <sz val="6"/>
      <color rgb="FFFF0000"/>
      <name val="Garamond"/>
      <family val="1"/>
    </font>
    <font>
      <b/>
      <sz val="6"/>
      <color rgb="FF0070C0"/>
      <name val="Garamond"/>
      <family val="1"/>
    </font>
    <font>
      <b/>
      <sz val="10"/>
      <color rgb="FFFF0000"/>
      <name val="Garamond"/>
      <family val="1"/>
    </font>
    <font>
      <sz val="8"/>
      <color theme="0" tint="-4.9989318521683403E-2"/>
      <name val="Garamond"/>
      <family val="1"/>
    </font>
    <font>
      <b/>
      <sz val="8"/>
      <color rgb="FFFF0000"/>
      <name val="Garamond"/>
      <family val="1"/>
    </font>
    <font>
      <b/>
      <sz val="14"/>
      <name val="Garamond"/>
      <family val="1"/>
    </font>
    <font>
      <b/>
      <sz val="8"/>
      <color rgb="FFFF0000"/>
      <name val="Geneva"/>
      <family val="2"/>
    </font>
    <font>
      <sz val="11"/>
      <name val="Geneva"/>
      <family val="2"/>
    </font>
    <font>
      <u/>
      <sz val="11"/>
      <name val="Geneva"/>
      <family val="2"/>
    </font>
    <font>
      <sz val="8"/>
      <color rgb="FF0070C0"/>
      <name val="Garamond"/>
      <family val="1"/>
    </font>
    <font>
      <sz val="8"/>
      <color rgb="FFFF0000"/>
      <name val="Garamond"/>
      <family val="1"/>
    </font>
    <font>
      <b/>
      <sz val="6"/>
      <color rgb="FF7030A0"/>
      <name val="Garamond"/>
      <family val="1"/>
    </font>
    <font>
      <b/>
      <sz val="12"/>
      <color rgb="FFFF0000"/>
      <name val="Garamond"/>
      <family val="1"/>
    </font>
    <font>
      <sz val="12"/>
      <color rgb="FFFF0000"/>
      <name val="Garamond"/>
      <family val="1"/>
    </font>
    <font>
      <b/>
      <sz val="6"/>
      <name val="Garamond"/>
      <family val="1"/>
    </font>
    <font>
      <b/>
      <sz val="11"/>
      <color theme="1"/>
      <name val="Calibri"/>
      <family val="2"/>
      <scheme val="minor"/>
    </font>
    <font>
      <i/>
      <sz val="11"/>
      <color theme="1"/>
      <name val="Calibri"/>
      <family val="2"/>
      <scheme val="minor"/>
    </font>
    <font>
      <i/>
      <sz val="11"/>
      <name val="Calibri"/>
      <family val="2"/>
      <scheme val="minor"/>
    </font>
    <font>
      <b/>
      <sz val="11"/>
      <color theme="8"/>
      <name val="Calibri"/>
      <family val="2"/>
      <scheme val="minor"/>
    </font>
    <font>
      <b/>
      <i/>
      <sz val="11"/>
      <name val="Calibri"/>
      <family val="2"/>
      <scheme val="minor"/>
    </font>
    <font>
      <u/>
      <sz val="11"/>
      <color theme="10"/>
      <name val="Calibri"/>
      <family val="2"/>
      <scheme val="minor"/>
    </font>
    <font>
      <sz val="11"/>
      <name val="Calibri"/>
      <family val="2"/>
      <scheme val="minor"/>
    </font>
    <font>
      <b/>
      <sz val="24"/>
      <color rgb="FFFF0000"/>
      <name val="Garamond"/>
      <family val="1"/>
    </font>
    <font>
      <b/>
      <sz val="10"/>
      <name val="Geneva"/>
    </font>
    <font>
      <b/>
      <sz val="10"/>
      <color theme="0"/>
      <name val="Geneva"/>
    </font>
    <font>
      <sz val="11"/>
      <color theme="0"/>
      <name val="Garamond"/>
      <family val="1"/>
    </font>
    <font>
      <b/>
      <sz val="14"/>
      <name val="Arial"/>
      <family val="2"/>
    </font>
    <font>
      <b/>
      <sz val="10"/>
      <color rgb="FF0070C0"/>
      <name val="Garamond"/>
      <family val="1"/>
    </font>
    <font>
      <b/>
      <sz val="10"/>
      <color rgb="FFFF0000"/>
      <name val="Geneva"/>
    </font>
    <font>
      <b/>
      <sz val="16"/>
      <color rgb="FFFF0000"/>
      <name val="Garamond"/>
      <family val="1"/>
    </font>
    <font>
      <b/>
      <sz val="8"/>
      <color rgb="FF0070C0"/>
      <name val="Garamond"/>
      <family val="1"/>
    </font>
    <font>
      <sz val="11"/>
      <color theme="1"/>
      <name val="Times New Roman"/>
      <family val="1"/>
    </font>
    <font>
      <sz val="11"/>
      <color theme="1"/>
      <name val="Comic Sans MS"/>
      <family val="4"/>
    </font>
    <font>
      <b/>
      <sz val="11"/>
      <color theme="1"/>
      <name val="Times New Roman"/>
      <family val="1"/>
    </font>
    <font>
      <sz val="11"/>
      <name val="Times New Roman"/>
      <family val="1"/>
    </font>
    <font>
      <b/>
      <u/>
      <sz val="11"/>
      <color rgb="FF0070C0"/>
      <name val="Times New Roman"/>
      <family val="1"/>
    </font>
    <font>
      <b/>
      <sz val="24"/>
      <color theme="1"/>
      <name val="Times New Roman"/>
      <family val="1"/>
    </font>
    <font>
      <b/>
      <sz val="11"/>
      <color rgb="FFFF0000"/>
      <name val="Times New Roman"/>
      <family val="1"/>
    </font>
    <font>
      <sz val="10"/>
      <color theme="1"/>
      <name val="Times New Roman"/>
      <family val="1"/>
    </font>
    <font>
      <sz val="11"/>
      <color theme="0"/>
      <name val="Times New Roman"/>
      <family val="1"/>
    </font>
    <font>
      <u/>
      <sz val="11"/>
      <color theme="1"/>
      <name val="Comic Sans MS"/>
      <family val="4"/>
    </font>
    <font>
      <b/>
      <sz val="9"/>
      <name val="Garamond"/>
      <family val="1"/>
    </font>
    <font>
      <sz val="9"/>
      <color theme="1"/>
      <name val="Garamond"/>
      <family val="1"/>
    </font>
    <font>
      <b/>
      <sz val="11"/>
      <color theme="1"/>
      <name val="Garamond"/>
      <family val="1"/>
    </font>
    <font>
      <sz val="11"/>
      <name val="Geneva"/>
    </font>
    <font>
      <b/>
      <sz val="11"/>
      <name val="Geneva"/>
    </font>
    <font>
      <b/>
      <sz val="11"/>
      <name val="Geneva"/>
      <family val="2"/>
    </font>
    <font>
      <u/>
      <sz val="10"/>
      <color theme="10"/>
      <name val="Geneva"/>
    </font>
    <font>
      <u/>
      <sz val="11"/>
      <color theme="10"/>
      <name val="Arial"/>
      <family val="2"/>
    </font>
    <font>
      <sz val="10"/>
      <name val="Calibri"/>
      <family val="2"/>
    </font>
    <font>
      <sz val="8"/>
      <color theme="1"/>
      <name val="Garamond"/>
      <family val="1"/>
    </font>
    <font>
      <sz val="10"/>
      <color theme="0"/>
      <name val="Geneva"/>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indexed="65"/>
        <bgColor indexed="64"/>
      </patternFill>
    </fill>
    <fill>
      <patternFill patternType="solid">
        <fgColor theme="6" tint="0.79998168889431442"/>
        <bgColor indexed="64"/>
      </patternFill>
    </fill>
    <fill>
      <patternFill patternType="gray125">
        <bgColor theme="7" tint="0.39991454817346722"/>
      </patternFill>
    </fill>
  </fills>
  <borders count="1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bottom style="thin">
        <color rgb="FFFF0000"/>
      </bottom>
      <diagonal/>
    </border>
    <border>
      <left style="thin">
        <color theme="0" tint="-0.24994659260841701"/>
      </left>
      <right/>
      <top/>
      <bottom style="thin">
        <color rgb="FFFF0000"/>
      </bottom>
      <diagonal/>
    </border>
    <border>
      <left/>
      <right style="thin">
        <color theme="0" tint="-0.24994659260841701"/>
      </right>
      <top/>
      <bottom style="thin">
        <color rgb="FFFF0000"/>
      </bottom>
      <diagonal/>
    </border>
    <border>
      <left/>
      <right/>
      <top style="thin">
        <color rgb="FFFF0000"/>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theme="9" tint="-0.24994659260841701"/>
      </left>
      <right/>
      <top/>
      <bottom/>
      <diagonal/>
    </border>
    <border>
      <left/>
      <right style="thin">
        <color theme="9" tint="-0.24994659260841701"/>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top style="double">
        <color indexed="64"/>
      </top>
      <bottom style="thin">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double">
        <color indexed="64"/>
      </bottom>
      <diagonal/>
    </border>
  </borders>
  <cellStyleXfs count="54">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alignment vertical="top"/>
      <protection locked="0"/>
    </xf>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6" fillId="0" borderId="0"/>
    <xf numFmtId="0" fontId="35" fillId="0" borderId="0"/>
    <xf numFmtId="0" fontId="18" fillId="0" borderId="0"/>
    <xf numFmtId="0" fontId="18" fillId="0" borderId="0"/>
    <xf numFmtId="0" fontId="35" fillId="23" borderId="7" applyNumberFormat="0" applyFont="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4" fontId="53" fillId="0" borderId="0" applyFont="0" applyFill="0" applyBorder="0" applyAlignment="0" applyProtection="0"/>
    <xf numFmtId="9" fontId="53" fillId="0" borderId="0" applyFont="0" applyFill="0" applyBorder="0" applyAlignment="0" applyProtection="0"/>
    <xf numFmtId="0" fontId="4" fillId="0" borderId="0"/>
    <xf numFmtId="0" fontId="80" fillId="0" borderId="0" applyNumberFormat="0" applyFill="0" applyBorder="0" applyAlignment="0" applyProtection="0"/>
    <xf numFmtId="0" fontId="2" fillId="0" borderId="0"/>
    <xf numFmtId="44" fontId="6" fillId="0" borderId="0" applyFont="0" applyFill="0" applyBorder="0" applyAlignment="0" applyProtection="0"/>
    <xf numFmtId="0" fontId="107" fillId="0" borderId="0" applyNumberFormat="0" applyFill="0" applyBorder="0" applyAlignment="0" applyProtection="0"/>
  </cellStyleXfs>
  <cellXfs count="1132">
    <xf numFmtId="0" fontId="0" fillId="0" borderId="0" xfId="0"/>
    <xf numFmtId="0" fontId="7" fillId="0" borderId="0" xfId="0" applyFont="1"/>
    <xf numFmtId="0" fontId="8" fillId="0" borderId="0" xfId="0" applyFont="1"/>
    <xf numFmtId="164" fontId="0" fillId="0" borderId="0" xfId="0" applyNumberFormat="1"/>
    <xf numFmtId="0" fontId="7" fillId="0" borderId="0" xfId="0" applyFont="1" applyFill="1" applyBorder="1"/>
    <xf numFmtId="0" fontId="8" fillId="0" borderId="0" xfId="0" applyFont="1" applyFill="1" applyBorder="1"/>
    <xf numFmtId="0" fontId="0" fillId="0" borderId="0" xfId="0" applyBorder="1"/>
    <xf numFmtId="0" fontId="7" fillId="0" borderId="0" xfId="0" applyFont="1" applyFill="1" applyBorder="1" applyAlignment="1">
      <alignment wrapText="1"/>
    </xf>
    <xf numFmtId="0" fontId="8" fillId="0" borderId="0" xfId="0" applyFont="1" applyFill="1" applyBorder="1" applyAlignment="1">
      <alignment wrapText="1"/>
    </xf>
    <xf numFmtId="0" fontId="7" fillId="0" borderId="12" xfId="0" applyFont="1" applyBorder="1"/>
    <xf numFmtId="0" fontId="12" fillId="0" borderId="0" xfId="0" applyFont="1"/>
    <xf numFmtId="0" fontId="18" fillId="0" borderId="0" xfId="40"/>
    <xf numFmtId="0" fontId="19" fillId="24" borderId="22" xfId="40" applyFont="1" applyFill="1" applyBorder="1" applyAlignment="1">
      <alignment horizontal="right"/>
    </xf>
    <xf numFmtId="0" fontId="20" fillId="0" borderId="0" xfId="41" applyFont="1"/>
    <xf numFmtId="0" fontId="21" fillId="0" borderId="0" xfId="41" applyFont="1" applyAlignment="1">
      <alignment horizontal="center"/>
    </xf>
    <xf numFmtId="0" fontId="20" fillId="0" borderId="0" xfId="41" applyFont="1" applyAlignment="1">
      <alignment horizontal="center"/>
    </xf>
    <xf numFmtId="2" fontId="20" fillId="0" borderId="0" xfId="41" applyNumberFormat="1" applyFont="1"/>
    <xf numFmtId="0" fontId="18" fillId="0" borderId="0" xfId="41"/>
    <xf numFmtId="2" fontId="15" fillId="1" borderId="19" xfId="0" applyNumberFormat="1" applyFont="1" applyFill="1" applyBorder="1" applyAlignment="1">
      <alignment horizontal="right"/>
    </xf>
    <xf numFmtId="2" fontId="15" fillId="1" borderId="19" xfId="0" applyNumberFormat="1" applyFont="1" applyFill="1" applyBorder="1"/>
    <xf numFmtId="2" fontId="12" fillId="1" borderId="16" xfId="0" applyNumberFormat="1" applyFont="1" applyFill="1" applyBorder="1" applyAlignment="1">
      <alignment horizontal="right"/>
    </xf>
    <xf numFmtId="2" fontId="12" fillId="1" borderId="15" xfId="0" applyNumberFormat="1" applyFont="1" applyFill="1" applyBorder="1" applyAlignment="1">
      <alignment horizontal="right"/>
    </xf>
    <xf numFmtId="169" fontId="0" fillId="0" borderId="0" xfId="0" applyNumberFormat="1"/>
    <xf numFmtId="167" fontId="17" fillId="1" borderId="25" xfId="0" applyNumberFormat="1" applyFont="1" applyFill="1" applyBorder="1" applyAlignment="1" applyProtection="1">
      <alignment horizontal="left" indent="3"/>
    </xf>
    <xf numFmtId="5" fontId="17" fillId="1" borderId="27" xfId="0" applyNumberFormat="1" applyFont="1" applyFill="1" applyBorder="1" applyAlignment="1" applyProtection="1">
      <alignment horizontal="left" indent="3"/>
    </xf>
    <xf numFmtId="166" fontId="17" fillId="1" borderId="28" xfId="0" applyNumberFormat="1" applyFont="1" applyFill="1" applyBorder="1" applyAlignment="1" applyProtection="1">
      <alignment horizontal="left" indent="3"/>
    </xf>
    <xf numFmtId="5" fontId="17" fillId="1" borderId="29" xfId="0" applyNumberFormat="1" applyFont="1" applyFill="1" applyBorder="1" applyAlignment="1" applyProtection="1">
      <alignment horizontal="left" indent="3"/>
    </xf>
    <xf numFmtId="2" fontId="15" fillId="1" borderId="19" xfId="0" applyNumberFormat="1" applyFont="1" applyFill="1" applyBorder="1" applyAlignment="1" applyProtection="1">
      <alignment horizontal="right"/>
    </xf>
    <xf numFmtId="2" fontId="15" fillId="1" borderId="19" xfId="0" applyNumberFormat="1" applyFont="1" applyFill="1" applyBorder="1" applyProtection="1"/>
    <xf numFmtId="166" fontId="17" fillId="1" borderId="25" xfId="0" applyNumberFormat="1" applyFont="1" applyFill="1" applyBorder="1" applyAlignment="1" applyProtection="1">
      <alignment horizontal="left" indent="3"/>
    </xf>
    <xf numFmtId="166" fontId="0" fillId="0" borderId="0" xfId="0" applyNumberFormat="1"/>
    <xf numFmtId="2" fontId="12" fillId="1" borderId="16" xfId="0" applyNumberFormat="1" applyFont="1" applyFill="1" applyBorder="1" applyAlignment="1" applyProtection="1">
      <alignment horizontal="right"/>
    </xf>
    <xf numFmtId="2" fontId="12" fillId="1" borderId="15" xfId="0" applyNumberFormat="1" applyFont="1" applyFill="1" applyBorder="1" applyAlignment="1" applyProtection="1">
      <alignment horizontal="right"/>
    </xf>
    <xf numFmtId="166" fontId="17" fillId="1" borderId="19" xfId="0" applyNumberFormat="1" applyFont="1" applyFill="1" applyBorder="1" applyAlignment="1"/>
    <xf numFmtId="0" fontId="17" fillId="1" borderId="30" xfId="0" applyFont="1" applyFill="1" applyBorder="1" applyAlignment="1"/>
    <xf numFmtId="167" fontId="17" fillId="1" borderId="25" xfId="0" applyNumberFormat="1" applyFont="1" applyFill="1" applyBorder="1" applyAlignment="1">
      <alignment horizontal="center"/>
    </xf>
    <xf numFmtId="5" fontId="17" fillId="1" borderId="27" xfId="0" applyNumberFormat="1" applyFont="1" applyFill="1" applyBorder="1" applyAlignment="1">
      <alignment horizontal="center"/>
    </xf>
    <xf numFmtId="166" fontId="17" fillId="1" borderId="28" xfId="0" applyNumberFormat="1" applyFont="1" applyFill="1" applyBorder="1" applyAlignment="1">
      <alignment horizontal="center"/>
    </xf>
    <xf numFmtId="5" fontId="17" fillId="1" borderId="29" xfId="0" applyNumberFormat="1" applyFont="1" applyFill="1" applyBorder="1" applyAlignment="1">
      <alignment horizontal="center"/>
    </xf>
    <xf numFmtId="166" fontId="17" fillId="1" borderId="19" xfId="0" applyNumberFormat="1" applyFont="1" applyFill="1" applyBorder="1" applyAlignment="1" applyProtection="1"/>
    <xf numFmtId="0" fontId="0" fillId="0" borderId="0" xfId="0" applyAlignment="1">
      <alignment wrapText="1"/>
    </xf>
    <xf numFmtId="0" fontId="27" fillId="0" borderId="14" xfId="0" applyFont="1" applyBorder="1"/>
    <xf numFmtId="0" fontId="27" fillId="0" borderId="15" xfId="0" applyFont="1" applyBorder="1"/>
    <xf numFmtId="0" fontId="0" fillId="0" borderId="16" xfId="0" applyBorder="1"/>
    <xf numFmtId="0" fontId="28" fillId="0" borderId="0" xfId="0" applyFont="1"/>
    <xf numFmtId="0" fontId="28" fillId="0" borderId="12" xfId="0" applyFont="1" applyBorder="1"/>
    <xf numFmtId="0" fontId="0" fillId="0" borderId="0" xfId="0" applyAlignment="1">
      <alignment horizontal="left"/>
    </xf>
    <xf numFmtId="1" fontId="0" fillId="0" borderId="12" xfId="0" applyNumberFormat="1" applyBorder="1" applyAlignment="1">
      <alignment horizontal="left"/>
    </xf>
    <xf numFmtId="0" fontId="0" fillId="0" borderId="12" xfId="0" applyBorder="1"/>
    <xf numFmtId="0" fontId="0" fillId="0" borderId="12" xfId="0" applyBorder="1" applyAlignment="1">
      <alignment wrapText="1"/>
    </xf>
    <xf numFmtId="14" fontId="0" fillId="0" borderId="12" xfId="0" applyNumberFormat="1" applyBorder="1" applyAlignment="1">
      <alignment horizontal="left"/>
    </xf>
    <xf numFmtId="0" fontId="28" fillId="0" borderId="0" xfId="34" applyFont="1" applyAlignment="1" applyProtection="1">
      <alignment wrapText="1"/>
    </xf>
    <xf numFmtId="0" fontId="5" fillId="0" borderId="12" xfId="0" applyFont="1" applyBorder="1"/>
    <xf numFmtId="0" fontId="28" fillId="0" borderId="0" xfId="0" applyFont="1" applyAlignment="1">
      <alignment wrapText="1"/>
    </xf>
    <xf numFmtId="166" fontId="0" fillId="0" borderId="0" xfId="0" applyNumberFormat="1" applyFill="1"/>
    <xf numFmtId="0" fontId="0" fillId="0" borderId="0" xfId="34" applyFont="1" applyAlignment="1" applyProtection="1">
      <alignment wrapText="1"/>
    </xf>
    <xf numFmtId="0" fontId="26" fillId="0" borderId="0" xfId="0" applyFont="1" applyBorder="1" applyAlignment="1">
      <alignment horizontal="left"/>
    </xf>
    <xf numFmtId="0" fontId="24" fillId="0" borderId="0" xfId="0" applyFont="1" applyBorder="1" applyAlignment="1">
      <alignment horizontal="left" vertical="top"/>
    </xf>
    <xf numFmtId="0" fontId="0" fillId="26" borderId="0" xfId="0" applyFill="1"/>
    <xf numFmtId="169" fontId="0" fillId="0" borderId="0" xfId="0" applyNumberFormat="1" applyFill="1"/>
    <xf numFmtId="0" fontId="0" fillId="0" borderId="0" xfId="0" applyFill="1"/>
    <xf numFmtId="0" fontId="24" fillId="0" borderId="0" xfId="0" applyFont="1"/>
    <xf numFmtId="166" fontId="17" fillId="1" borderId="25" xfId="0" applyNumberFormat="1" applyFont="1" applyFill="1" applyBorder="1" applyAlignment="1" applyProtection="1">
      <alignment horizontal="left" vertical="center" indent="3"/>
    </xf>
    <xf numFmtId="166" fontId="17" fillId="1" borderId="27" xfId="0" applyNumberFormat="1" applyFont="1" applyFill="1" applyBorder="1" applyAlignment="1" applyProtection="1">
      <alignment horizontal="left" vertical="center" indent="3"/>
    </xf>
    <xf numFmtId="166" fontId="17" fillId="1" borderId="12" xfId="0" applyNumberFormat="1" applyFont="1" applyFill="1" applyBorder="1" applyAlignment="1" applyProtection="1">
      <alignment horizontal="left" vertical="center" indent="3"/>
    </xf>
    <xf numFmtId="166" fontId="17" fillId="1" borderId="11" xfId="0" applyNumberFormat="1" applyFont="1" applyFill="1" applyBorder="1" applyAlignment="1" applyProtection="1">
      <alignment horizontal="left" vertical="center" indent="3"/>
    </xf>
    <xf numFmtId="166" fontId="17" fillId="1" borderId="28" xfId="0" applyNumberFormat="1" applyFont="1" applyFill="1" applyBorder="1" applyAlignment="1" applyProtection="1">
      <alignment horizontal="left" vertical="center" indent="3"/>
    </xf>
    <xf numFmtId="166" fontId="17" fillId="1" borderId="29" xfId="0" applyNumberFormat="1" applyFont="1" applyFill="1" applyBorder="1" applyAlignment="1" applyProtection="1">
      <alignment horizontal="left" vertical="center" indent="3"/>
    </xf>
    <xf numFmtId="166" fontId="17" fillId="1" borderId="19" xfId="0" applyNumberFormat="1" applyFont="1" applyFill="1" applyBorder="1" applyAlignment="1" applyProtection="1">
      <alignment vertical="center"/>
    </xf>
    <xf numFmtId="166" fontId="17" fillId="1" borderId="30" xfId="0" applyNumberFormat="1" applyFont="1" applyFill="1" applyBorder="1" applyAlignment="1" applyProtection="1">
      <alignment vertical="center"/>
    </xf>
    <xf numFmtId="166" fontId="17" fillId="0" borderId="16" xfId="0" applyNumberFormat="1" applyFont="1" applyBorder="1" applyAlignment="1" applyProtection="1">
      <alignment vertical="center"/>
    </xf>
    <xf numFmtId="0" fontId="29" fillId="0" borderId="0" xfId="0" applyFont="1" applyFill="1" applyBorder="1" applyAlignment="1">
      <alignment wrapText="1"/>
    </xf>
    <xf numFmtId="0" fontId="8" fillId="0" borderId="0" xfId="0" applyFont="1" applyFill="1" applyBorder="1" applyAlignment="1"/>
    <xf numFmtId="0" fontId="33" fillId="0" borderId="0" xfId="0" applyFont="1"/>
    <xf numFmtId="0" fontId="17" fillId="0" borderId="0" xfId="0" applyFont="1"/>
    <xf numFmtId="0" fontId="17" fillId="0" borderId="0" xfId="0" applyFont="1" applyBorder="1"/>
    <xf numFmtId="0" fontId="17" fillId="27" borderId="22" xfId="0" applyFont="1" applyFill="1" applyBorder="1"/>
    <xf numFmtId="0" fontId="17" fillId="0" borderId="22" xfId="0" applyFont="1" applyFill="1" applyBorder="1"/>
    <xf numFmtId="0" fontId="17" fillId="0" borderId="24" xfId="0" applyFont="1" applyFill="1" applyBorder="1"/>
    <xf numFmtId="0" fontId="17" fillId="0" borderId="0" xfId="0" applyFont="1" applyFill="1" applyBorder="1"/>
    <xf numFmtId="166" fontId="17" fillId="0" borderId="0" xfId="0" applyNumberFormat="1" applyFont="1" applyFill="1" applyBorder="1"/>
    <xf numFmtId="3" fontId="17" fillId="0" borderId="0" xfId="0" applyNumberFormat="1" applyFont="1" applyFill="1" applyBorder="1"/>
    <xf numFmtId="0" fontId="34" fillId="27" borderId="22" xfId="0" applyFont="1" applyFill="1" applyBorder="1"/>
    <xf numFmtId="0" fontId="17" fillId="27" borderId="24" xfId="0" applyFont="1" applyFill="1" applyBorder="1"/>
    <xf numFmtId="0" fontId="33" fillId="0" borderId="0" xfId="0" applyFont="1" applyFill="1"/>
    <xf numFmtId="0" fontId="26" fillId="0" borderId="0" xfId="0" applyFont="1"/>
    <xf numFmtId="0" fontId="25" fillId="0" borderId="0" xfId="0" applyFont="1"/>
    <xf numFmtId="0" fontId="24" fillId="0" borderId="23" xfId="0" applyFont="1" applyBorder="1" applyAlignment="1">
      <alignment wrapText="1"/>
    </xf>
    <xf numFmtId="49" fontId="24" fillId="0" borderId="23" xfId="0" applyNumberFormat="1" applyFont="1" applyBorder="1"/>
    <xf numFmtId="0" fontId="24" fillId="0" borderId="23" xfId="0" applyFont="1" applyBorder="1" applyAlignment="1">
      <alignment horizontal="left" vertical="top"/>
    </xf>
    <xf numFmtId="0" fontId="24" fillId="0" borderId="23" xfId="0" applyFont="1" applyBorder="1"/>
    <xf numFmtId="0" fontId="17" fillId="0" borderId="18" xfId="0" applyFont="1" applyFill="1" applyBorder="1"/>
    <xf numFmtId="0" fontId="33" fillId="0" borderId="0" xfId="0" applyFont="1" applyBorder="1"/>
    <xf numFmtId="0" fontId="34" fillId="28" borderId="22" xfId="0" applyFont="1" applyFill="1" applyBorder="1"/>
    <xf numFmtId="166" fontId="0" fillId="29" borderId="0" xfId="0" applyNumberFormat="1" applyFill="1"/>
    <xf numFmtId="169" fontId="0" fillId="29" borderId="0" xfId="0" applyNumberFormat="1" applyFill="1"/>
    <xf numFmtId="0" fontId="0" fillId="29" borderId="0" xfId="0" applyFill="1"/>
    <xf numFmtId="0" fontId="9" fillId="0" borderId="0" xfId="0" applyFont="1" applyBorder="1"/>
    <xf numFmtId="10" fontId="0" fillId="0" borderId="0" xfId="0" applyNumberFormat="1" applyFill="1"/>
    <xf numFmtId="10" fontId="18" fillId="0" borderId="24" xfId="40" applyNumberFormat="1" applyFill="1" applyBorder="1"/>
    <xf numFmtId="169" fontId="6" fillId="29" borderId="0" xfId="0" applyNumberFormat="1" applyFont="1" applyFill="1"/>
    <xf numFmtId="0" fontId="18" fillId="26" borderId="0" xfId="40" applyFont="1" applyFill="1" applyAlignment="1">
      <alignment horizontal="center"/>
    </xf>
    <xf numFmtId="10" fontId="18" fillId="0" borderId="22" xfId="40" applyNumberFormat="1" applyFill="1" applyBorder="1"/>
    <xf numFmtId="10" fontId="18" fillId="0" borderId="0" xfId="40" applyNumberFormat="1" applyFill="1" applyBorder="1"/>
    <xf numFmtId="10" fontId="18" fillId="0" borderId="0" xfId="40" applyNumberFormat="1" applyFill="1"/>
    <xf numFmtId="10" fontId="18" fillId="29" borderId="22" xfId="40" applyNumberFormat="1" applyFill="1" applyBorder="1"/>
    <xf numFmtId="10" fontId="18" fillId="29" borderId="0" xfId="40" applyNumberFormat="1" applyFill="1" applyBorder="1"/>
    <xf numFmtId="10" fontId="18" fillId="29" borderId="0" xfId="40" applyNumberFormat="1" applyFill="1"/>
    <xf numFmtId="10" fontId="18" fillId="29" borderId="37" xfId="40" applyNumberFormat="1" applyFont="1" applyFill="1" applyBorder="1"/>
    <xf numFmtId="10" fontId="18" fillId="29" borderId="38" xfId="40" applyNumberFormat="1" applyFont="1" applyFill="1" applyBorder="1"/>
    <xf numFmtId="10" fontId="18" fillId="29" borderId="39" xfId="40" applyNumberFormat="1" applyFont="1" applyFill="1" applyBorder="1"/>
    <xf numFmtId="10" fontId="18" fillId="29" borderId="40" xfId="40" applyNumberFormat="1" applyFill="1" applyBorder="1"/>
    <xf numFmtId="10" fontId="18" fillId="29" borderId="41" xfId="40" applyNumberFormat="1" applyFill="1" applyBorder="1"/>
    <xf numFmtId="2" fontId="0" fillId="0" borderId="0" xfId="0" applyNumberFormat="1" applyFill="1"/>
    <xf numFmtId="2" fontId="0" fillId="29" borderId="0" xfId="0" applyNumberFormat="1" applyFill="1"/>
    <xf numFmtId="2" fontId="18" fillId="0" borderId="0" xfId="40" applyNumberFormat="1" applyFill="1"/>
    <xf numFmtId="2" fontId="6" fillId="29" borderId="0" xfId="0" applyNumberFormat="1" applyFont="1" applyFill="1"/>
    <xf numFmtId="2" fontId="6" fillId="0" borderId="0" xfId="0" applyNumberFormat="1" applyFont="1" applyFill="1"/>
    <xf numFmtId="0" fontId="22" fillId="25" borderId="36" xfId="41" applyFont="1" applyFill="1" applyBorder="1" applyProtection="1">
      <protection locked="0"/>
    </xf>
    <xf numFmtId="0" fontId="20" fillId="0" borderId="23" xfId="41" applyFont="1" applyBorder="1"/>
    <xf numFmtId="2" fontId="22" fillId="31" borderId="36" xfId="41" applyNumberFormat="1" applyFont="1" applyFill="1" applyBorder="1" applyProtection="1">
      <protection locked="0"/>
    </xf>
    <xf numFmtId="2" fontId="22" fillId="30" borderId="36" xfId="41" applyNumberFormat="1" applyFont="1" applyFill="1" applyBorder="1" applyProtection="1">
      <protection locked="0"/>
    </xf>
    <xf numFmtId="0" fontId="54" fillId="0" borderId="0" xfId="41" applyFont="1"/>
    <xf numFmtId="2" fontId="15" fillId="1" borderId="22" xfId="0" applyNumberFormat="1" applyFont="1" applyFill="1" applyBorder="1"/>
    <xf numFmtId="10" fontId="24" fillId="0" borderId="0" xfId="48" applyNumberFormat="1" applyFont="1"/>
    <xf numFmtId="166" fontId="18" fillId="1" borderId="0" xfId="0" applyNumberFormat="1" applyFont="1" applyFill="1" applyBorder="1" applyAlignment="1" applyProtection="1">
      <alignment vertical="center"/>
    </xf>
    <xf numFmtId="2" fontId="12" fillId="1" borderId="42" xfId="0" applyNumberFormat="1" applyFont="1" applyFill="1" applyBorder="1" applyAlignment="1">
      <alignment horizontal="right"/>
    </xf>
    <xf numFmtId="0" fontId="8" fillId="1" borderId="0" xfId="0" applyFont="1" applyFill="1" applyBorder="1" applyAlignment="1">
      <alignment wrapText="1"/>
    </xf>
    <xf numFmtId="2" fontId="12" fillId="1" borderId="43" xfId="0" applyNumberFormat="1" applyFont="1" applyFill="1" applyBorder="1" applyAlignment="1">
      <alignment horizontal="right"/>
    </xf>
    <xf numFmtId="2" fontId="12" fillId="1" borderId="0" xfId="0" applyNumberFormat="1" applyFont="1" applyFill="1" applyBorder="1" applyAlignment="1">
      <alignment horizontal="right"/>
    </xf>
    <xf numFmtId="170" fontId="8" fillId="1" borderId="0" xfId="0" applyNumberFormat="1" applyFont="1" applyFill="1" applyBorder="1" applyAlignment="1">
      <alignment wrapText="1"/>
    </xf>
    <xf numFmtId="0" fontId="6" fillId="0" borderId="0" xfId="0" applyFont="1"/>
    <xf numFmtId="0" fontId="6" fillId="0" borderId="0" xfId="34" applyFont="1" applyAlignment="1" applyProtection="1">
      <alignment horizontal="left" wrapText="1"/>
    </xf>
    <xf numFmtId="0" fontId="6" fillId="0" borderId="0" xfId="0" applyFont="1" applyAlignment="1">
      <alignment wrapText="1"/>
    </xf>
    <xf numFmtId="0" fontId="0" fillId="0" borderId="0" xfId="0" applyAlignment="1"/>
    <xf numFmtId="0" fontId="59" fillId="0" borderId="0" xfId="0" applyFont="1"/>
    <xf numFmtId="0" fontId="57" fillId="0" borderId="0" xfId="0" applyFont="1" applyFill="1" applyBorder="1"/>
    <xf numFmtId="5" fontId="0" fillId="0" borderId="0" xfId="0" applyNumberFormat="1" applyBorder="1"/>
    <xf numFmtId="0" fontId="7" fillId="0" borderId="0" xfId="0" applyFont="1" applyBorder="1"/>
    <xf numFmtId="0" fontId="58" fillId="0" borderId="51" xfId="0" applyFont="1" applyBorder="1" applyAlignment="1">
      <alignment horizontal="left" vertical="center"/>
    </xf>
    <xf numFmtId="0" fontId="58" fillId="0" borderId="51" xfId="0" applyFont="1" applyBorder="1"/>
    <xf numFmtId="2" fontId="20" fillId="32" borderId="0" xfId="41" applyNumberFormat="1" applyFont="1" applyFill="1"/>
    <xf numFmtId="0" fontId="20" fillId="32" borderId="0" xfId="41" applyFont="1" applyFill="1"/>
    <xf numFmtId="2" fontId="20" fillId="29" borderId="0" xfId="41" applyNumberFormat="1" applyFont="1" applyFill="1"/>
    <xf numFmtId="0" fontId="20" fillId="29" borderId="0" xfId="41" applyFont="1" applyFill="1"/>
    <xf numFmtId="0" fontId="30" fillId="29" borderId="0" xfId="41" applyFont="1" applyFill="1"/>
    <xf numFmtId="0" fontId="31" fillId="29" borderId="0" xfId="41" applyFont="1" applyFill="1"/>
    <xf numFmtId="0" fontId="30" fillId="29" borderId="23" xfId="41" applyFont="1" applyFill="1" applyBorder="1" applyAlignment="1">
      <alignment horizontal="left"/>
    </xf>
    <xf numFmtId="0" fontId="30" fillId="29" borderId="0" xfId="41" applyFont="1" applyFill="1" applyAlignment="1">
      <alignment horizontal="center"/>
    </xf>
    <xf numFmtId="0" fontId="30" fillId="29" borderId="14" xfId="41" applyFont="1" applyFill="1" applyBorder="1" applyAlignment="1">
      <alignment horizontal="center"/>
    </xf>
    <xf numFmtId="0" fontId="30" fillId="29" borderId="0" xfId="41" applyFont="1" applyFill="1" applyBorder="1" applyAlignment="1">
      <alignment horizontal="center"/>
    </xf>
    <xf numFmtId="2" fontId="20" fillId="32" borderId="23" xfId="41" applyNumberFormat="1" applyFont="1" applyFill="1" applyBorder="1"/>
    <xf numFmtId="0" fontId="20" fillId="32" borderId="23" xfId="41" applyFont="1" applyFill="1" applyBorder="1"/>
    <xf numFmtId="164" fontId="0" fillId="0" borderId="0" xfId="0" applyNumberFormat="1" applyBorder="1"/>
    <xf numFmtId="2" fontId="22" fillId="35" borderId="23" xfId="41" applyNumberFormat="1" applyFont="1" applyFill="1" applyBorder="1"/>
    <xf numFmtId="1" fontId="22" fillId="36" borderId="23" xfId="48" applyNumberFormat="1" applyFont="1" applyFill="1" applyBorder="1"/>
    <xf numFmtId="2" fontId="22" fillId="37" borderId="23" xfId="41" applyNumberFormat="1" applyFont="1" applyFill="1" applyBorder="1"/>
    <xf numFmtId="0" fontId="22" fillId="37" borderId="0" xfId="41" applyFont="1" applyFill="1"/>
    <xf numFmtId="0" fontId="22" fillId="37" borderId="23" xfId="41" applyFont="1" applyFill="1" applyBorder="1"/>
    <xf numFmtId="171" fontId="20" fillId="37" borderId="0" xfId="0" applyNumberFormat="1" applyFont="1" applyFill="1" applyBorder="1" applyAlignment="1" applyProtection="1">
      <alignment vertical="center"/>
      <protection locked="0"/>
    </xf>
    <xf numFmtId="171" fontId="20" fillId="37" borderId="23" xfId="0" applyNumberFormat="1" applyFont="1" applyFill="1" applyBorder="1" applyAlignment="1" applyProtection="1">
      <alignment vertical="center"/>
      <protection locked="0"/>
    </xf>
    <xf numFmtId="0" fontId="20" fillId="29" borderId="23" xfId="41" applyFont="1" applyFill="1" applyBorder="1"/>
    <xf numFmtId="166" fontId="17" fillId="32" borderId="18" xfId="0" applyNumberFormat="1" applyFont="1" applyFill="1" applyBorder="1" applyAlignment="1" applyProtection="1">
      <alignment vertical="center"/>
      <protection locked="0"/>
    </xf>
    <xf numFmtId="166" fontId="17" fillId="32" borderId="22" xfId="0" applyNumberFormat="1" applyFont="1" applyFill="1" applyBorder="1" applyAlignment="1" applyProtection="1">
      <alignment vertical="center"/>
    </xf>
    <xf numFmtId="166" fontId="17" fillId="32" borderId="18" xfId="0" applyNumberFormat="1" applyFont="1" applyFill="1" applyBorder="1" applyAlignment="1" applyProtection="1">
      <alignment vertical="center"/>
    </xf>
    <xf numFmtId="0" fontId="13" fillId="32" borderId="12" xfId="0" applyFont="1" applyFill="1" applyBorder="1"/>
    <xf numFmtId="0" fontId="13" fillId="32" borderId="0" xfId="0" applyFont="1" applyFill="1"/>
    <xf numFmtId="0" fontId="13" fillId="32" borderId="0" xfId="0" applyFont="1" applyFill="1" applyAlignment="1">
      <alignment horizontal="right"/>
    </xf>
    <xf numFmtId="0" fontId="8" fillId="32" borderId="0" xfId="0" applyFont="1" applyFill="1" applyBorder="1"/>
    <xf numFmtId="0" fontId="13" fillId="32" borderId="14" xfId="0" applyFont="1" applyFill="1" applyBorder="1" applyAlignment="1">
      <alignment horizontal="right"/>
    </xf>
    <xf numFmtId="0" fontId="13" fillId="32" borderId="18" xfId="0" applyFont="1" applyFill="1" applyBorder="1"/>
    <xf numFmtId="0" fontId="13" fillId="32" borderId="19" xfId="0" applyFont="1" applyFill="1" applyBorder="1"/>
    <xf numFmtId="0" fontId="13" fillId="32" borderId="19" xfId="0" applyFont="1" applyFill="1" applyBorder="1" applyAlignment="1">
      <alignment horizontal="right"/>
    </xf>
    <xf numFmtId="6" fontId="13" fillId="32" borderId="19" xfId="0" applyNumberFormat="1" applyFont="1" applyFill="1" applyBorder="1"/>
    <xf numFmtId="0" fontId="13" fillId="32" borderId="19" xfId="0" applyFont="1" applyFill="1" applyBorder="1" applyAlignment="1">
      <alignment horizontal="left"/>
    </xf>
    <xf numFmtId="0" fontId="13" fillId="32" borderId="14" xfId="0" applyFont="1" applyFill="1" applyBorder="1" applyAlignment="1">
      <alignment horizontal="left"/>
    </xf>
    <xf numFmtId="0" fontId="13" fillId="32" borderId="15" xfId="0" applyFont="1" applyFill="1" applyBorder="1"/>
    <xf numFmtId="0" fontId="13" fillId="32" borderId="14" xfId="0" applyFont="1" applyFill="1" applyBorder="1"/>
    <xf numFmtId="0" fontId="13" fillId="32" borderId="13" xfId="0" applyFont="1" applyFill="1" applyBorder="1" applyAlignment="1">
      <alignment horizontal="right"/>
    </xf>
    <xf numFmtId="0" fontId="13" fillId="32" borderId="0" xfId="0" applyFont="1" applyFill="1" applyBorder="1"/>
    <xf numFmtId="0" fontId="13" fillId="32" borderId="0" xfId="0" applyFont="1" applyFill="1" applyBorder="1" applyAlignment="1">
      <alignment horizontal="left"/>
    </xf>
    <xf numFmtId="0" fontId="13" fillId="32" borderId="13" xfId="0" applyFont="1" applyFill="1" applyBorder="1" applyAlignment="1">
      <alignment horizontal="left"/>
    </xf>
    <xf numFmtId="6" fontId="13" fillId="32" borderId="0" xfId="0" applyNumberFormat="1" applyFont="1" applyFill="1"/>
    <xf numFmtId="0" fontId="13" fillId="32" borderId="14" xfId="0" applyFont="1" applyFill="1" applyBorder="1" applyAlignment="1" applyProtection="1">
      <protection locked="0"/>
    </xf>
    <xf numFmtId="0" fontId="13" fillId="32" borderId="17" xfId="0" applyFont="1" applyFill="1" applyBorder="1" applyAlignment="1" applyProtection="1">
      <protection locked="0"/>
    </xf>
    <xf numFmtId="0" fontId="14" fillId="32" borderId="12" xfId="0" applyFont="1" applyFill="1" applyBorder="1" applyProtection="1">
      <protection locked="0"/>
    </xf>
    <xf numFmtId="0" fontId="13" fillId="32" borderId="16" xfId="0" applyFont="1" applyFill="1" applyBorder="1" applyAlignment="1">
      <alignment horizontal="left"/>
    </xf>
    <xf numFmtId="0" fontId="13" fillId="32" borderId="13" xfId="0" applyFont="1" applyFill="1" applyBorder="1"/>
    <xf numFmtId="0" fontId="13" fillId="32" borderId="13" xfId="0" applyFont="1" applyFill="1" applyBorder="1" applyAlignment="1">
      <alignment horizontal="center"/>
    </xf>
    <xf numFmtId="6" fontId="13" fillId="32" borderId="13" xfId="0" applyNumberFormat="1" applyFont="1" applyFill="1" applyBorder="1"/>
    <xf numFmtId="0" fontId="14" fillId="32" borderId="13" xfId="0" quotePrefix="1" applyFont="1" applyFill="1" applyBorder="1" applyAlignment="1">
      <alignment horizontal="left"/>
    </xf>
    <xf numFmtId="10" fontId="14" fillId="32" borderId="13" xfId="0" applyNumberFormat="1" applyFont="1" applyFill="1" applyBorder="1" applyAlignment="1">
      <alignment horizontal="left"/>
    </xf>
    <xf numFmtId="10" fontId="14" fillId="32" borderId="13" xfId="0" applyNumberFormat="1" applyFont="1" applyFill="1" applyBorder="1"/>
    <xf numFmtId="0" fontId="13" fillId="32" borderId="13" xfId="0" applyFont="1" applyFill="1" applyBorder="1" applyAlignment="1"/>
    <xf numFmtId="0" fontId="15" fillId="32" borderId="18" xfId="0" applyFont="1" applyFill="1" applyBorder="1" applyAlignment="1">
      <alignment horizontal="center"/>
    </xf>
    <xf numFmtId="0" fontId="15" fillId="32" borderId="22" xfId="0" applyFont="1" applyFill="1" applyBorder="1" applyAlignment="1">
      <alignment horizontal="center"/>
    </xf>
    <xf numFmtId="0" fontId="14" fillId="32" borderId="15" xfId="0" applyFont="1" applyFill="1" applyBorder="1"/>
    <xf numFmtId="10" fontId="60" fillId="32" borderId="21" xfId="0" applyNumberFormat="1" applyFont="1" applyFill="1" applyBorder="1" applyAlignment="1">
      <alignment horizontal="center"/>
    </xf>
    <xf numFmtId="0" fontId="61" fillId="32" borderId="21" xfId="0" applyFont="1" applyFill="1" applyBorder="1" applyAlignment="1">
      <alignment horizontal="center"/>
    </xf>
    <xf numFmtId="166" fontId="12" fillId="1" borderId="16" xfId="0" applyNumberFormat="1" applyFont="1" applyFill="1" applyBorder="1" applyAlignment="1" applyProtection="1">
      <alignment vertical="center"/>
    </xf>
    <xf numFmtId="168" fontId="8" fillId="1" borderId="0" xfId="0" applyNumberFormat="1" applyFont="1" applyFill="1" applyBorder="1" applyAlignment="1">
      <alignment wrapText="1"/>
    </xf>
    <xf numFmtId="0" fontId="12" fillId="1" borderId="13" xfId="0" applyFont="1" applyFill="1" applyBorder="1" applyAlignment="1"/>
    <xf numFmtId="0" fontId="14" fillId="32" borderId="14" xfId="0" applyFont="1" applyFill="1" applyBorder="1"/>
    <xf numFmtId="0" fontId="14" fillId="32" borderId="16" xfId="0" applyFont="1" applyFill="1" applyBorder="1"/>
    <xf numFmtId="0" fontId="14" fillId="32" borderId="13" xfId="0" applyFont="1" applyFill="1" applyBorder="1"/>
    <xf numFmtId="0" fontId="14" fillId="32" borderId="13" xfId="0" applyFont="1" applyFill="1" applyBorder="1" applyAlignment="1">
      <alignment horizontal="right"/>
    </xf>
    <xf numFmtId="0" fontId="14" fillId="32" borderId="13" xfId="0" applyFont="1" applyFill="1" applyBorder="1" applyAlignment="1">
      <alignment horizontal="left"/>
    </xf>
    <xf numFmtId="0" fontId="14" fillId="32" borderId="12" xfId="0" applyFont="1" applyFill="1" applyBorder="1"/>
    <xf numFmtId="165" fontId="14" fillId="32" borderId="16" xfId="0" applyNumberFormat="1" applyFont="1" applyFill="1" applyBorder="1" applyAlignment="1">
      <alignment horizontal="left"/>
    </xf>
    <xf numFmtId="0" fontId="14" fillId="32" borderId="16" xfId="0" applyFont="1" applyFill="1" applyBorder="1" applyAlignment="1">
      <alignment horizontal="left"/>
    </xf>
    <xf numFmtId="0" fontId="14" fillId="32" borderId="19" xfId="0" applyFont="1" applyFill="1" applyBorder="1"/>
    <xf numFmtId="0" fontId="14" fillId="32" borderId="14" xfId="0" applyFont="1" applyFill="1" applyBorder="1" applyAlignment="1" applyProtection="1">
      <protection locked="0"/>
    </xf>
    <xf numFmtId="0" fontId="14" fillId="32" borderId="18" xfId="0" applyFont="1" applyFill="1" applyBorder="1"/>
    <xf numFmtId="0" fontId="14" fillId="32" borderId="19" xfId="0" applyFont="1" applyFill="1" applyBorder="1" applyAlignment="1">
      <alignment horizontal="left"/>
    </xf>
    <xf numFmtId="0" fontId="23" fillId="32" borderId="0" xfId="0" applyFont="1" applyFill="1" applyBorder="1"/>
    <xf numFmtId="0" fontId="14" fillId="32" borderId="0" xfId="0" applyFont="1" applyFill="1" applyBorder="1"/>
    <xf numFmtId="0" fontId="14" fillId="32" borderId="14" xfId="0" applyFont="1" applyFill="1" applyBorder="1" applyAlignment="1">
      <alignment horizontal="left"/>
    </xf>
    <xf numFmtId="6" fontId="14" fillId="32" borderId="19" xfId="0" applyNumberFormat="1" applyFont="1" applyFill="1" applyBorder="1"/>
    <xf numFmtId="165" fontId="14" fillId="32" borderId="19" xfId="0" applyNumberFormat="1" applyFont="1" applyFill="1" applyBorder="1"/>
    <xf numFmtId="166" fontId="16" fillId="29" borderId="22" xfId="0" applyNumberFormat="1" applyFont="1" applyFill="1" applyBorder="1" applyAlignment="1" applyProtection="1">
      <alignment horizontal="center"/>
    </xf>
    <xf numFmtId="2" fontId="12" fillId="33" borderId="22" xfId="0" applyNumberFormat="1" applyFont="1" applyFill="1" applyBorder="1" applyProtection="1">
      <protection locked="0"/>
    </xf>
    <xf numFmtId="2" fontId="12" fillId="38" borderId="22" xfId="0" applyNumberFormat="1" applyFont="1" applyFill="1" applyBorder="1" applyProtection="1">
      <protection locked="0"/>
    </xf>
    <xf numFmtId="2" fontId="12" fillId="33" borderId="22" xfId="0" applyNumberFormat="1" applyFont="1" applyFill="1" applyBorder="1" applyAlignment="1" applyProtection="1">
      <alignment horizontal="right"/>
      <protection locked="0"/>
    </xf>
    <xf numFmtId="2" fontId="12" fillId="1" borderId="22" xfId="0" applyNumberFormat="1" applyFont="1" applyFill="1" applyBorder="1"/>
    <xf numFmtId="2" fontId="12" fillId="32" borderId="22" xfId="0" applyNumberFormat="1" applyFont="1" applyFill="1" applyBorder="1" applyAlignment="1" applyProtection="1">
      <alignment horizontal="right"/>
    </xf>
    <xf numFmtId="2" fontId="12" fillId="1" borderId="19" xfId="0" applyNumberFormat="1" applyFont="1" applyFill="1" applyBorder="1" applyAlignment="1" applyProtection="1">
      <alignment horizontal="right"/>
    </xf>
    <xf numFmtId="2" fontId="12" fillId="1" borderId="19" xfId="0" applyNumberFormat="1" applyFont="1" applyFill="1" applyBorder="1" applyProtection="1"/>
    <xf numFmtId="0" fontId="12" fillId="32" borderId="24" xfId="0" applyFont="1" applyFill="1" applyBorder="1" applyAlignment="1" applyProtection="1">
      <alignment horizontal="center"/>
    </xf>
    <xf numFmtId="0" fontId="12" fillId="32" borderId="22" xfId="0" applyFont="1" applyFill="1" applyBorder="1" applyAlignment="1" applyProtection="1">
      <alignment horizontal="center"/>
    </xf>
    <xf numFmtId="166" fontId="17" fillId="0" borderId="22" xfId="0" applyNumberFormat="1" applyFont="1" applyBorder="1" applyAlignment="1" applyProtection="1">
      <alignment horizontal="center" vertical="center"/>
    </xf>
    <xf numFmtId="166" fontId="62" fillId="33" borderId="22" xfId="0" applyNumberFormat="1" applyFont="1" applyFill="1" applyBorder="1" applyAlignment="1" applyProtection="1">
      <alignment horizontal="center"/>
    </xf>
    <xf numFmtId="0" fontId="14" fillId="32" borderId="13" xfId="0" applyFont="1" applyFill="1" applyBorder="1" applyAlignment="1">
      <alignment horizontal="left"/>
    </xf>
    <xf numFmtId="0" fontId="55" fillId="32" borderId="22" xfId="0" applyFont="1" applyFill="1" applyBorder="1" applyAlignment="1">
      <alignment horizontal="right"/>
    </xf>
    <xf numFmtId="0" fontId="13" fillId="32" borderId="0" xfId="0" applyFont="1" applyFill="1" applyBorder="1" applyAlignment="1">
      <alignment horizontal="right"/>
    </xf>
    <xf numFmtId="0" fontId="33" fillId="0" borderId="0" xfId="0" applyFont="1" applyBorder="1" applyAlignment="1">
      <alignment vertical="top" wrapText="1"/>
    </xf>
    <xf numFmtId="0" fontId="66" fillId="0" borderId="0" xfId="0" applyFont="1" applyAlignment="1">
      <alignment horizontal="center" vertical="center" wrapText="1"/>
    </xf>
    <xf numFmtId="0" fontId="66" fillId="0" borderId="0" xfId="0" applyFont="1" applyAlignment="1">
      <alignment horizontal="left" vertical="center" wrapText="1"/>
    </xf>
    <xf numFmtId="0" fontId="67" fillId="0" borderId="0" xfId="0" applyFont="1" applyAlignment="1">
      <alignment horizontal="center" wrapText="1"/>
    </xf>
    <xf numFmtId="0" fontId="68" fillId="0" borderId="0" xfId="0" applyFont="1" applyAlignment="1">
      <alignment horizontal="left" wrapText="1"/>
    </xf>
    <xf numFmtId="0" fontId="14" fillId="32" borderId="19" xfId="0" applyFont="1" applyFill="1" applyBorder="1" applyAlignment="1">
      <alignment horizontal="left"/>
    </xf>
    <xf numFmtId="0" fontId="14" fillId="32" borderId="13" xfId="0" applyFont="1" applyFill="1" applyBorder="1" applyAlignment="1">
      <alignment horizontal="left"/>
    </xf>
    <xf numFmtId="165" fontId="14" fillId="32" borderId="19" xfId="0" applyNumberFormat="1" applyFont="1" applyFill="1" applyBorder="1" applyAlignment="1">
      <alignment horizontal="right"/>
    </xf>
    <xf numFmtId="0" fontId="14" fillId="32" borderId="14" xfId="0" applyFont="1" applyFill="1" applyBorder="1" applyAlignment="1">
      <alignment horizontal="left"/>
    </xf>
    <xf numFmtId="0" fontId="12" fillId="32" borderId="15" xfId="0" applyFont="1" applyFill="1" applyBorder="1"/>
    <xf numFmtId="0" fontId="12" fillId="32" borderId="14" xfId="0" applyFont="1" applyFill="1" applyBorder="1"/>
    <xf numFmtId="164" fontId="12" fillId="32" borderId="14" xfId="0" applyNumberFormat="1" applyFont="1" applyFill="1" applyBorder="1"/>
    <xf numFmtId="0" fontId="16" fillId="32" borderId="14" xfId="0" applyFont="1" applyFill="1" applyBorder="1" applyAlignment="1">
      <alignment horizontal="center"/>
    </xf>
    <xf numFmtId="5" fontId="12" fillId="32" borderId="17" xfId="0" applyNumberFormat="1" applyFont="1" applyFill="1" applyBorder="1"/>
    <xf numFmtId="0" fontId="14" fillId="32" borderId="13" xfId="0" applyFont="1" applyFill="1" applyBorder="1" applyAlignment="1"/>
    <xf numFmtId="2" fontId="12" fillId="33" borderId="22" xfId="0" applyNumberFormat="1" applyFont="1" applyFill="1" applyBorder="1" applyAlignment="1" applyProtection="1">
      <alignment horizontal="right"/>
    </xf>
    <xf numFmtId="2" fontId="12" fillId="38" borderId="22" xfId="0" applyNumberFormat="1" applyFont="1" applyFill="1" applyBorder="1" applyAlignment="1" applyProtection="1">
      <alignment horizontal="right"/>
    </xf>
    <xf numFmtId="0" fontId="14" fillId="32" borderId="13" xfId="0" applyFont="1" applyFill="1" applyBorder="1" applyAlignment="1" applyProtection="1">
      <alignment horizontal="left"/>
    </xf>
    <xf numFmtId="0" fontId="14" fillId="32" borderId="16" xfId="0" applyFont="1" applyFill="1" applyBorder="1" applyAlignment="1" applyProtection="1">
      <alignment horizontal="left"/>
    </xf>
    <xf numFmtId="0" fontId="13" fillId="32" borderId="19" xfId="0" applyFont="1" applyFill="1" applyBorder="1" applyAlignment="1" applyProtection="1">
      <alignment horizontal="right"/>
    </xf>
    <xf numFmtId="166" fontId="17" fillId="32" borderId="16" xfId="0" applyNumberFormat="1" applyFont="1" applyFill="1" applyBorder="1" applyAlignment="1" applyProtection="1">
      <alignment vertical="center"/>
    </xf>
    <xf numFmtId="166" fontId="17" fillId="32" borderId="24" xfId="0" applyNumberFormat="1" applyFont="1" applyFill="1" applyBorder="1" applyAlignment="1" applyProtection="1">
      <alignment vertical="center"/>
    </xf>
    <xf numFmtId="165" fontId="14" fillId="32" borderId="18" xfId="0" applyNumberFormat="1" applyFont="1" applyFill="1" applyBorder="1" applyAlignment="1">
      <alignment horizontal="left"/>
    </xf>
    <xf numFmtId="165" fontId="14" fillId="32" borderId="16" xfId="0" applyNumberFormat="1" applyFont="1" applyFill="1" applyBorder="1" applyAlignment="1" applyProtection="1">
      <alignment horizontal="left"/>
    </xf>
    <xf numFmtId="0" fontId="17" fillId="32" borderId="22" xfId="0" applyFont="1" applyFill="1" applyBorder="1" applyAlignment="1">
      <alignment horizontal="center" vertical="center"/>
    </xf>
    <xf numFmtId="166" fontId="17" fillId="0" borderId="22" xfId="0" applyNumberFormat="1" applyFont="1" applyFill="1" applyBorder="1" applyAlignment="1" applyProtection="1">
      <alignment horizontal="center" vertical="center"/>
    </xf>
    <xf numFmtId="0" fontId="24" fillId="0" borderId="0" xfId="0" applyFont="1" applyAlignment="1">
      <alignment horizontal="left" wrapText="1"/>
    </xf>
    <xf numFmtId="0" fontId="24" fillId="0" borderId="0" xfId="0" applyFont="1" applyAlignment="1">
      <alignment horizontal="center" wrapText="1"/>
    </xf>
    <xf numFmtId="0" fontId="56" fillId="0" borderId="0" xfId="0" applyFont="1" applyAlignment="1">
      <alignment horizontal="left" wrapText="1"/>
    </xf>
    <xf numFmtId="0" fontId="24" fillId="0" borderId="0" xfId="0" applyFont="1" applyAlignment="1">
      <alignment horizontal="left"/>
    </xf>
    <xf numFmtId="0" fontId="66" fillId="0" borderId="0" xfId="0" applyFont="1" applyAlignment="1">
      <alignment horizontal="center" vertical="center" wrapText="1"/>
    </xf>
    <xf numFmtId="2" fontId="14" fillId="32" borderId="13" xfId="0" applyNumberFormat="1" applyFont="1" applyFill="1" applyBorder="1" applyAlignment="1" applyProtection="1">
      <alignment horizontal="left"/>
    </xf>
    <xf numFmtId="0" fontId="24" fillId="0" borderId="0" xfId="0" applyFont="1" applyAlignment="1">
      <alignment horizontal="left" wrapText="1"/>
    </xf>
    <xf numFmtId="0" fontId="24" fillId="0" borderId="0" xfId="0" applyFont="1" applyAlignment="1">
      <alignment horizontal="left" wrapText="1"/>
    </xf>
    <xf numFmtId="172" fontId="12" fillId="32" borderId="24" xfId="0" applyNumberFormat="1" applyFont="1" applyFill="1" applyBorder="1" applyAlignment="1" applyProtection="1">
      <alignment horizontal="left" indent="1"/>
    </xf>
    <xf numFmtId="0" fontId="24" fillId="0" borderId="0" xfId="0" applyFont="1" applyAlignment="1">
      <alignment horizontal="left" wrapText="1"/>
    </xf>
    <xf numFmtId="172" fontId="12" fillId="0" borderId="24" xfId="0" applyNumberFormat="1" applyFont="1" applyBorder="1" applyAlignment="1" applyProtection="1">
      <alignment horizontal="center"/>
    </xf>
    <xf numFmtId="165" fontId="14" fillId="32" borderId="19" xfId="0" applyNumberFormat="1" applyFont="1" applyFill="1" applyBorder="1" applyAlignment="1">
      <alignment horizontal="right"/>
    </xf>
    <xf numFmtId="2" fontId="12" fillId="0" borderId="0" xfId="0" applyNumberFormat="1" applyFont="1" applyFill="1" applyBorder="1" applyAlignment="1">
      <alignment horizontal="right"/>
    </xf>
    <xf numFmtId="0" fontId="14" fillId="32" borderId="16" xfId="0" applyFont="1" applyFill="1" applyBorder="1" applyAlignment="1"/>
    <xf numFmtId="2" fontId="12" fillId="1" borderId="30" xfId="0" applyNumberFormat="1" applyFont="1" applyFill="1" applyBorder="1" applyAlignment="1"/>
    <xf numFmtId="165" fontId="14" fillId="32" borderId="14" xfId="0" applyNumberFormat="1" applyFont="1" applyFill="1" applyBorder="1" applyAlignment="1">
      <alignment horizontal="right"/>
    </xf>
    <xf numFmtId="2" fontId="12" fillId="39" borderId="22" xfId="0" applyNumberFormat="1" applyFont="1" applyFill="1" applyBorder="1" applyAlignment="1" applyProtection="1">
      <alignment vertical="center"/>
    </xf>
    <xf numFmtId="2" fontId="12" fillId="39" borderId="16" xfId="0" applyNumberFormat="1" applyFont="1" applyFill="1" applyBorder="1" applyAlignment="1" applyProtection="1">
      <alignment vertical="center"/>
    </xf>
    <xf numFmtId="10" fontId="71" fillId="32" borderId="21" xfId="0" applyNumberFormat="1" applyFont="1" applyFill="1" applyBorder="1" applyAlignment="1">
      <alignment horizontal="center"/>
    </xf>
    <xf numFmtId="166" fontId="17" fillId="0" borderId="0" xfId="0" applyNumberFormat="1" applyFont="1" applyFill="1" applyBorder="1" applyAlignment="1" applyProtection="1">
      <alignment horizontal="left" vertical="center" indent="3"/>
    </xf>
    <xf numFmtId="2" fontId="12" fillId="0" borderId="43" xfId="0" applyNumberFormat="1" applyFont="1" applyFill="1" applyBorder="1" applyAlignment="1">
      <alignment horizontal="right"/>
    </xf>
    <xf numFmtId="0" fontId="16" fillId="0" borderId="0" xfId="0" applyFont="1" applyFill="1" applyBorder="1" applyAlignment="1">
      <alignment wrapText="1"/>
    </xf>
    <xf numFmtId="166" fontId="12" fillId="0" borderId="0" xfId="0" applyNumberFormat="1" applyFont="1" applyFill="1" applyBorder="1" applyAlignment="1">
      <alignment horizontal="left" wrapText="1"/>
    </xf>
    <xf numFmtId="167" fontId="17" fillId="0" borderId="0" xfId="0" applyNumberFormat="1" applyFont="1" applyFill="1" applyBorder="1" applyAlignment="1">
      <alignment horizontal="center"/>
    </xf>
    <xf numFmtId="0" fontId="17" fillId="0" borderId="0" xfId="0" applyFont="1" applyFill="1" applyBorder="1" applyAlignment="1">
      <alignment horizontal="center"/>
    </xf>
    <xf numFmtId="0" fontId="12" fillId="32" borderId="13" xfId="0" applyFont="1" applyFill="1" applyBorder="1" applyAlignment="1">
      <alignment horizontal="right"/>
    </xf>
    <xf numFmtId="0" fontId="8" fillId="32" borderId="13" xfId="0" applyFont="1" applyFill="1" applyBorder="1"/>
    <xf numFmtId="0" fontId="13" fillId="32" borderId="20" xfId="0" applyFont="1" applyFill="1" applyBorder="1" applyProtection="1">
      <protection locked="0"/>
    </xf>
    <xf numFmtId="0" fontId="13" fillId="32" borderId="11" xfId="0" applyFont="1" applyFill="1" applyBorder="1" applyProtection="1">
      <protection locked="0"/>
    </xf>
    <xf numFmtId="0" fontId="33" fillId="0" borderId="0" xfId="0" applyFont="1" applyFill="1" applyBorder="1"/>
    <xf numFmtId="166" fontId="34" fillId="0" borderId="0" xfId="0" applyNumberFormat="1" applyFont="1" applyFill="1" applyBorder="1"/>
    <xf numFmtId="0" fontId="17" fillId="27" borderId="16" xfId="0" applyFont="1" applyFill="1" applyBorder="1"/>
    <xf numFmtId="0" fontId="17" fillId="27" borderId="18" xfId="0" applyFont="1" applyFill="1" applyBorder="1"/>
    <xf numFmtId="0" fontId="34" fillId="27" borderId="18" xfId="0" applyFont="1" applyFill="1" applyBorder="1"/>
    <xf numFmtId="0" fontId="17" fillId="27" borderId="43" xfId="0" applyFont="1" applyFill="1" applyBorder="1"/>
    <xf numFmtId="0" fontId="34" fillId="0" borderId="18" xfId="0" applyFont="1" applyFill="1" applyBorder="1"/>
    <xf numFmtId="0" fontId="34" fillId="40" borderId="18" xfId="0" applyFont="1" applyFill="1" applyBorder="1"/>
    <xf numFmtId="2" fontId="12" fillId="1" borderId="70" xfId="0" applyNumberFormat="1" applyFont="1" applyFill="1" applyBorder="1" applyAlignment="1">
      <alignment horizontal="right"/>
    </xf>
    <xf numFmtId="2" fontId="12" fillId="1" borderId="71" xfId="0" applyNumberFormat="1" applyFont="1" applyFill="1" applyBorder="1" applyAlignment="1">
      <alignment horizontal="right"/>
    </xf>
    <xf numFmtId="5" fontId="63" fillId="32" borderId="30" xfId="47" applyNumberFormat="1" applyFont="1" applyFill="1" applyBorder="1" applyAlignment="1"/>
    <xf numFmtId="0" fontId="34" fillId="0" borderId="52" xfId="0" applyFont="1" applyBorder="1" applyAlignment="1">
      <alignment horizontal="center"/>
    </xf>
    <xf numFmtId="0" fontId="34" fillId="39" borderId="53" xfId="0" applyFont="1" applyFill="1" applyBorder="1" applyAlignment="1">
      <alignment horizontal="center"/>
    </xf>
    <xf numFmtId="164" fontId="14" fillId="0" borderId="0" xfId="0" applyNumberFormat="1" applyFont="1" applyFill="1" applyBorder="1"/>
    <xf numFmtId="164" fontId="32" fillId="0" borderId="0" xfId="0" applyNumberFormat="1" applyFont="1" applyFill="1" applyBorder="1"/>
    <xf numFmtId="164" fontId="0" fillId="0" borderId="0" xfId="0" applyNumberFormat="1" applyFill="1" applyBorder="1"/>
    <xf numFmtId="0" fontId="13" fillId="0" borderId="0" xfId="0" applyFont="1" applyFill="1" applyBorder="1" applyAlignment="1">
      <alignment horizontal="right"/>
    </xf>
    <xf numFmtId="0" fontId="9" fillId="0" borderId="0" xfId="0" applyFont="1" applyFill="1" applyBorder="1"/>
    <xf numFmtId="0" fontId="0" fillId="0" borderId="0" xfId="0" applyFill="1" applyBorder="1"/>
    <xf numFmtId="5" fontId="0" fillId="0" borderId="0" xfId="0" applyNumberFormat="1" applyFill="1" applyBorder="1"/>
    <xf numFmtId="164" fontId="0" fillId="0" borderId="0" xfId="0" applyNumberFormat="1" applyFill="1"/>
    <xf numFmtId="0" fontId="14" fillId="0" borderId="0" xfId="0" applyFont="1" applyFill="1" applyBorder="1"/>
    <xf numFmtId="0" fontId="13" fillId="0" borderId="0" xfId="0" applyFont="1" applyFill="1" applyBorder="1"/>
    <xf numFmtId="0" fontId="13" fillId="0" borderId="0" xfId="0" applyFont="1" applyFill="1" applyBorder="1" applyAlignment="1" applyProtection="1">
      <alignment horizontal="right"/>
    </xf>
    <xf numFmtId="6" fontId="13" fillId="0" borderId="0" xfId="0" applyNumberFormat="1" applyFont="1" applyFill="1" applyBorder="1"/>
    <xf numFmtId="0" fontId="12" fillId="0" borderId="0" xfId="0" applyFont="1" applyFill="1"/>
    <xf numFmtId="0" fontId="29" fillId="32" borderId="13" xfId="0" applyFont="1" applyFill="1" applyBorder="1"/>
    <xf numFmtId="0" fontId="29" fillId="32" borderId="13" xfId="0" applyFont="1" applyFill="1" applyBorder="1" applyAlignment="1">
      <alignment horizontal="left"/>
    </xf>
    <xf numFmtId="0" fontId="29" fillId="32" borderId="19" xfId="0" applyFont="1" applyFill="1" applyBorder="1"/>
    <xf numFmtId="0" fontId="29" fillId="32" borderId="19" xfId="0" applyFont="1" applyFill="1" applyBorder="1" applyAlignment="1">
      <alignment horizontal="left"/>
    </xf>
    <xf numFmtId="0" fontId="74" fillId="32" borderId="0" xfId="0" applyFont="1" applyFill="1"/>
    <xf numFmtId="0" fontId="74" fillId="32" borderId="0" xfId="0" applyFont="1" applyFill="1" applyAlignment="1">
      <alignment horizontal="right"/>
    </xf>
    <xf numFmtId="0" fontId="74" fillId="32" borderId="0" xfId="0" applyFont="1" applyFill="1" applyBorder="1"/>
    <xf numFmtId="0" fontId="74" fillId="32" borderId="0" xfId="0" applyFont="1" applyFill="1" applyBorder="1" applyAlignment="1">
      <alignment horizontal="left"/>
    </xf>
    <xf numFmtId="0" fontId="4" fillId="0" borderId="0" xfId="49" applyFill="1" applyBorder="1" applyAlignment="1">
      <alignment horizontal="center"/>
    </xf>
    <xf numFmtId="0" fontId="4" fillId="0" borderId="0" xfId="49"/>
    <xf numFmtId="173" fontId="4" fillId="0" borderId="0" xfId="49" applyNumberFormat="1" applyFill="1" applyBorder="1" applyAlignment="1">
      <alignment horizontal="center"/>
    </xf>
    <xf numFmtId="0" fontId="4" fillId="0" borderId="43" xfId="49" applyBorder="1" applyAlignment="1">
      <alignment horizontal="right"/>
    </xf>
    <xf numFmtId="0" fontId="4" fillId="0" borderId="0" xfId="49" applyBorder="1" applyAlignment="1">
      <alignment horizontal="right"/>
    </xf>
    <xf numFmtId="173" fontId="77" fillId="0" borderId="54" xfId="49" applyNumberFormat="1" applyFont="1" applyBorder="1"/>
    <xf numFmtId="173" fontId="75" fillId="0" borderId="0" xfId="49" applyNumberFormat="1" applyFont="1" applyBorder="1" applyAlignment="1">
      <alignment horizontal="center"/>
    </xf>
    <xf numFmtId="173" fontId="78" fillId="0" borderId="0" xfId="49" applyNumberFormat="1" applyFont="1" applyFill="1" applyBorder="1"/>
    <xf numFmtId="173" fontId="79" fillId="0" borderId="0" xfId="49" applyNumberFormat="1" applyFont="1" applyBorder="1"/>
    <xf numFmtId="0" fontId="4" fillId="0" borderId="46" xfId="49" applyBorder="1" applyAlignment="1">
      <alignment horizontal="right"/>
    </xf>
    <xf numFmtId="0" fontId="4" fillId="0" borderId="0" xfId="49" applyBorder="1" applyAlignment="1">
      <alignment vertical="top"/>
    </xf>
    <xf numFmtId="0" fontId="4" fillId="0" borderId="0" xfId="49" applyBorder="1" applyAlignment="1">
      <alignment horizontal="center"/>
    </xf>
    <xf numFmtId="174" fontId="4" fillId="0" borderId="0" xfId="49" applyNumberFormat="1" applyBorder="1"/>
    <xf numFmtId="174" fontId="4" fillId="0" borderId="0" xfId="49" applyNumberFormat="1" applyFill="1" applyBorder="1"/>
    <xf numFmtId="0" fontId="75" fillId="0" borderId="21" xfId="49" applyFont="1" applyBorder="1" applyAlignment="1">
      <alignment horizontal="center"/>
    </xf>
    <xf numFmtId="0" fontId="75" fillId="0" borderId="57" xfId="49" applyFont="1" applyBorder="1" applyAlignment="1">
      <alignment horizontal="center"/>
    </xf>
    <xf numFmtId="174" fontId="4" fillId="29" borderId="80" xfId="49" applyNumberFormat="1" applyFill="1" applyBorder="1"/>
    <xf numFmtId="174" fontId="4" fillId="0" borderId="80" xfId="49" applyNumberFormat="1" applyFill="1" applyBorder="1"/>
    <xf numFmtId="0" fontId="75" fillId="0" borderId="62" xfId="49" applyFont="1" applyBorder="1" applyAlignment="1">
      <alignment horizontal="right"/>
    </xf>
    <xf numFmtId="173" fontId="77" fillId="0" borderId="30" xfId="49" applyNumberFormat="1" applyFont="1" applyBorder="1" applyAlignment="1">
      <alignment horizontal="center"/>
    </xf>
    <xf numFmtId="174" fontId="75" fillId="0" borderId="22" xfId="49" applyNumberFormat="1" applyFont="1" applyBorder="1" applyAlignment="1">
      <alignment horizontal="right"/>
    </xf>
    <xf numFmtId="174" fontId="75" fillId="0" borderId="67" xfId="49" applyNumberFormat="1" applyFont="1" applyBorder="1" applyAlignment="1">
      <alignment horizontal="right"/>
    </xf>
    <xf numFmtId="174" fontId="4" fillId="0" borderId="81" xfId="49" applyNumberFormat="1" applyBorder="1"/>
    <xf numFmtId="174" fontId="4" fillId="29" borderId="81" xfId="49" applyNumberFormat="1" applyFill="1" applyBorder="1"/>
    <xf numFmtId="0" fontId="75" fillId="29" borderId="62" xfId="49" applyFont="1" applyFill="1" applyBorder="1" applyAlignment="1">
      <alignment horizontal="right"/>
    </xf>
    <xf numFmtId="173" fontId="77" fillId="29" borderId="30" xfId="49" applyNumberFormat="1" applyFont="1" applyFill="1" applyBorder="1" applyAlignment="1">
      <alignment horizontal="center"/>
    </xf>
    <xf numFmtId="174" fontId="75" fillId="29" borderId="22" xfId="49" applyNumberFormat="1" applyFont="1" applyFill="1" applyBorder="1" applyAlignment="1">
      <alignment horizontal="right"/>
    </xf>
    <xf numFmtId="174" fontId="75" fillId="29" borderId="67" xfId="49" applyNumberFormat="1" applyFont="1" applyFill="1" applyBorder="1" applyAlignment="1">
      <alignment horizontal="right"/>
    </xf>
    <xf numFmtId="174" fontId="75" fillId="0" borderId="82" xfId="49" applyNumberFormat="1" applyFont="1" applyBorder="1"/>
    <xf numFmtId="174" fontId="75" fillId="0" borderId="0" xfId="49" applyNumberFormat="1" applyFont="1" applyBorder="1"/>
    <xf numFmtId="0" fontId="75" fillId="0" borderId="83" xfId="49" applyFont="1" applyBorder="1" applyAlignment="1">
      <alignment horizontal="right"/>
    </xf>
    <xf numFmtId="174" fontId="75" fillId="0" borderId="84" xfId="49" applyNumberFormat="1" applyFont="1" applyBorder="1" applyAlignment="1">
      <alignment horizontal="right"/>
    </xf>
    <xf numFmtId="174" fontId="75" fillId="0" borderId="79" xfId="49" applyNumberFormat="1" applyFont="1" applyBorder="1" applyAlignment="1">
      <alignment horizontal="right"/>
    </xf>
    <xf numFmtId="0" fontId="4" fillId="0" borderId="46" xfId="49" applyBorder="1" applyAlignment="1"/>
    <xf numFmtId="0" fontId="4" fillId="0" borderId="23" xfId="49" applyBorder="1" applyAlignment="1"/>
    <xf numFmtId="0" fontId="4" fillId="0" borderId="55" xfId="49" applyBorder="1" applyAlignment="1"/>
    <xf numFmtId="174" fontId="75" fillId="0" borderId="85" xfId="49" applyNumberFormat="1" applyFont="1" applyBorder="1" applyAlignment="1">
      <alignment horizontal="right"/>
    </xf>
    <xf numFmtId="174" fontId="75" fillId="0" borderId="47" xfId="49" applyNumberFormat="1" applyFont="1" applyBorder="1" applyAlignment="1">
      <alignment horizontal="right"/>
    </xf>
    <xf numFmtId="0" fontId="4" fillId="0" borderId="0" xfId="49" applyFill="1"/>
    <xf numFmtId="0" fontId="75" fillId="0" borderId="74" xfId="49" applyFont="1" applyFill="1" applyBorder="1" applyAlignment="1">
      <alignment horizontal="center"/>
    </xf>
    <xf numFmtId="0" fontId="76" fillId="0" borderId="43" xfId="49" applyFont="1" applyBorder="1"/>
    <xf numFmtId="166" fontId="76" fillId="0" borderId="0" xfId="49" applyNumberFormat="1" applyFont="1" applyBorder="1"/>
    <xf numFmtId="166" fontId="76" fillId="0" borderId="54" xfId="49" applyNumberFormat="1" applyFont="1" applyBorder="1"/>
    <xf numFmtId="0" fontId="76" fillId="0" borderId="0" xfId="49" applyFont="1" applyBorder="1" applyAlignment="1"/>
    <xf numFmtId="0" fontId="76" fillId="0" borderId="0" xfId="49" applyFont="1" applyFill="1" applyBorder="1" applyAlignment="1"/>
    <xf numFmtId="166" fontId="76" fillId="0" borderId="0" xfId="49" applyNumberFormat="1" applyFont="1" applyFill="1" applyBorder="1" applyAlignment="1"/>
    <xf numFmtId="166" fontId="76" fillId="0" borderId="0" xfId="49" applyNumberFormat="1" applyFont="1" applyFill="1" applyBorder="1"/>
    <xf numFmtId="0" fontId="76" fillId="0" borderId="43" xfId="49" applyFont="1" applyFill="1" applyBorder="1"/>
    <xf numFmtId="0" fontId="4" fillId="0" borderId="0" xfId="49" applyFill="1" applyBorder="1"/>
    <xf numFmtId="0" fontId="76" fillId="0" borderId="46" xfId="49" applyFont="1" applyBorder="1"/>
    <xf numFmtId="0" fontId="76" fillId="0" borderId="23" xfId="49" applyFont="1" applyFill="1" applyBorder="1" applyAlignment="1"/>
    <xf numFmtId="166" fontId="76" fillId="0" borderId="23" xfId="49" applyNumberFormat="1" applyFont="1" applyFill="1" applyBorder="1" applyAlignment="1"/>
    <xf numFmtId="166" fontId="76" fillId="0" borderId="23" xfId="49" applyNumberFormat="1" applyFont="1" applyBorder="1"/>
    <xf numFmtId="166" fontId="76" fillId="0" borderId="47" xfId="49" applyNumberFormat="1" applyFont="1" applyBorder="1"/>
    <xf numFmtId="0" fontId="4" fillId="0" borderId="0" xfId="49" applyAlignment="1"/>
    <xf numFmtId="0" fontId="4" fillId="0" borderId="43" xfId="49" applyBorder="1"/>
    <xf numFmtId="0" fontId="4" fillId="0" borderId="46" xfId="49" applyBorder="1"/>
    <xf numFmtId="0" fontId="4" fillId="0" borderId="0" xfId="49" applyBorder="1"/>
    <xf numFmtId="166" fontId="4" fillId="0" borderId="0" xfId="49" applyNumberFormat="1"/>
    <xf numFmtId="0" fontId="76" fillId="0" borderId="47" xfId="49" applyFont="1" applyBorder="1" applyAlignment="1">
      <alignment vertical="top" wrapText="1"/>
    </xf>
    <xf numFmtId="9" fontId="77" fillId="0" borderId="54" xfId="49" applyNumberFormat="1" applyFont="1" applyBorder="1"/>
    <xf numFmtId="0" fontId="81" fillId="0" borderId="0" xfId="0" applyFont="1" applyBorder="1"/>
    <xf numFmtId="9" fontId="81" fillId="0" borderId="0" xfId="0" applyNumberFormat="1" applyFont="1" applyBorder="1"/>
    <xf numFmtId="166" fontId="81" fillId="0" borderId="0" xfId="0" applyNumberFormat="1" applyFont="1" applyBorder="1"/>
    <xf numFmtId="166" fontId="12" fillId="1" borderId="0" xfId="0" applyNumberFormat="1" applyFont="1" applyFill="1" applyBorder="1" applyAlignment="1" applyProtection="1">
      <alignment vertical="center"/>
    </xf>
    <xf numFmtId="2" fontId="12" fillId="1" borderId="13" xfId="0" applyNumberFormat="1" applyFont="1" applyFill="1" applyBorder="1" applyAlignment="1">
      <alignment horizontal="right"/>
    </xf>
    <xf numFmtId="166" fontId="17" fillId="0" borderId="0" xfId="0" applyNumberFormat="1" applyFont="1" applyBorder="1" applyAlignment="1" applyProtection="1">
      <alignment horizontal="center" vertical="center"/>
    </xf>
    <xf numFmtId="166" fontId="17" fillId="0" borderId="0" xfId="0" applyNumberFormat="1" applyFont="1" applyBorder="1" applyAlignment="1" applyProtection="1">
      <alignment vertical="center"/>
    </xf>
    <xf numFmtId="166" fontId="16" fillId="0" borderId="0" xfId="0" applyNumberFormat="1" applyFont="1" applyFill="1" applyBorder="1" applyAlignment="1" applyProtection="1">
      <alignment horizontal="center"/>
    </xf>
    <xf numFmtId="0" fontId="64" fillId="32" borderId="17" xfId="0" applyFont="1" applyFill="1" applyBorder="1" applyAlignment="1" applyProtection="1"/>
    <xf numFmtId="0" fontId="13" fillId="32" borderId="16" xfId="0" applyFont="1" applyFill="1" applyBorder="1"/>
    <xf numFmtId="0" fontId="13" fillId="32" borderId="20" xfId="0" applyFont="1" applyFill="1" applyBorder="1" applyAlignment="1">
      <alignment horizontal="left"/>
    </xf>
    <xf numFmtId="0" fontId="13" fillId="32" borderId="11" xfId="0" applyFont="1" applyFill="1" applyBorder="1" applyAlignment="1">
      <alignment horizontal="left"/>
    </xf>
    <xf numFmtId="0" fontId="83" fillId="0" borderId="0" xfId="0" applyFont="1"/>
    <xf numFmtId="166" fontId="12" fillId="0" borderId="0" xfId="0" applyNumberFormat="1" applyFont="1" applyFill="1" applyBorder="1" applyAlignment="1" applyProtection="1">
      <alignment horizontal="center"/>
    </xf>
    <xf numFmtId="165" fontId="14" fillId="32" borderId="12" xfId="0" applyNumberFormat="1" applyFont="1" applyFill="1" applyBorder="1" applyAlignment="1">
      <alignment horizontal="left"/>
    </xf>
    <xf numFmtId="0" fontId="63" fillId="32" borderId="14" xfId="0" applyFont="1" applyFill="1" applyBorder="1" applyAlignment="1" applyProtection="1"/>
    <xf numFmtId="0" fontId="24" fillId="0" borderId="0" xfId="0" applyFont="1" applyAlignment="1">
      <alignment horizontal="left"/>
    </xf>
    <xf numFmtId="0" fontId="18" fillId="0" borderId="22" xfId="0" applyFont="1" applyFill="1" applyBorder="1" applyAlignment="1">
      <alignment horizontal="center" vertical="center"/>
    </xf>
    <xf numFmtId="0" fontId="0" fillId="0" borderId="0" xfId="0" applyFont="1" applyFill="1"/>
    <xf numFmtId="0" fontId="6" fillId="29" borderId="0" xfId="0" applyFont="1" applyFill="1"/>
    <xf numFmtId="0" fontId="5" fillId="29" borderId="0" xfId="0" applyFont="1" applyFill="1"/>
    <xf numFmtId="10" fontId="18" fillId="29" borderId="86" xfId="40" applyNumberFormat="1" applyFill="1" applyBorder="1"/>
    <xf numFmtId="10" fontId="18" fillId="29" borderId="87" xfId="40" applyNumberFormat="1" applyFill="1" applyBorder="1"/>
    <xf numFmtId="10" fontId="18" fillId="29" borderId="88" xfId="40" applyNumberFormat="1" applyFill="1" applyBorder="1"/>
    <xf numFmtId="10" fontId="18" fillId="0" borderId="89" xfId="40" applyNumberFormat="1" applyFill="1" applyBorder="1"/>
    <xf numFmtId="10" fontId="18" fillId="0" borderId="90" xfId="40" applyNumberFormat="1" applyFill="1" applyBorder="1"/>
    <xf numFmtId="10" fontId="18" fillId="0" borderId="91" xfId="40" applyNumberFormat="1" applyFill="1" applyBorder="1"/>
    <xf numFmtId="10" fontId="18" fillId="0" borderId="92" xfId="40" applyNumberFormat="1" applyFill="1" applyBorder="1"/>
    <xf numFmtId="10" fontId="18" fillId="0" borderId="93" xfId="40" applyNumberFormat="1" applyFill="1" applyBorder="1"/>
    <xf numFmtId="10" fontId="18" fillId="0" borderId="86" xfId="40" applyNumberFormat="1" applyFill="1" applyBorder="1"/>
    <xf numFmtId="10" fontId="18" fillId="0" borderId="94" xfId="40" applyNumberFormat="1" applyFill="1" applyBorder="1"/>
    <xf numFmtId="10" fontId="18" fillId="0" borderId="95" xfId="40" applyNumberFormat="1" applyFill="1" applyBorder="1"/>
    <xf numFmtId="10" fontId="18" fillId="29" borderId="96" xfId="40" applyNumberFormat="1" applyFill="1" applyBorder="1"/>
    <xf numFmtId="10" fontId="18" fillId="29" borderId="97" xfId="40" applyNumberFormat="1" applyFill="1" applyBorder="1"/>
    <xf numFmtId="10" fontId="18" fillId="0" borderId="96" xfId="40" applyNumberFormat="1" applyFill="1" applyBorder="1"/>
    <xf numFmtId="10" fontId="18" fillId="0" borderId="97" xfId="40" applyNumberFormat="1" applyFill="1" applyBorder="1"/>
    <xf numFmtId="2" fontId="0" fillId="29" borderId="0" xfId="0" applyNumberFormat="1" applyFont="1" applyFill="1"/>
    <xf numFmtId="10" fontId="0" fillId="29" borderId="0" xfId="0" applyNumberFormat="1" applyFill="1"/>
    <xf numFmtId="166" fontId="12" fillId="0" borderId="0" xfId="0" applyNumberFormat="1" applyFont="1" applyFill="1" applyBorder="1" applyAlignment="1">
      <alignment horizontal="right"/>
    </xf>
    <xf numFmtId="0" fontId="17" fillId="1" borderId="19" xfId="0" applyFont="1" applyFill="1" applyBorder="1" applyAlignment="1"/>
    <xf numFmtId="166" fontId="17" fillId="1" borderId="19" xfId="0" applyNumberFormat="1" applyFont="1" applyFill="1" applyBorder="1" applyAlignment="1">
      <alignment vertical="center"/>
    </xf>
    <xf numFmtId="2" fontId="12" fillId="1" borderId="0" xfId="0" applyNumberFormat="1" applyFont="1" applyFill="1" applyBorder="1" applyAlignment="1"/>
    <xf numFmtId="0" fontId="14" fillId="0" borderId="12" xfId="0" applyFont="1" applyFill="1" applyBorder="1"/>
    <xf numFmtId="166" fontId="17" fillId="0" borderId="0" xfId="0" applyNumberFormat="1" applyFont="1" applyFill="1" applyBorder="1" applyAlignment="1" applyProtection="1">
      <alignment horizontal="center" vertical="center"/>
    </xf>
    <xf numFmtId="0" fontId="17" fillId="32" borderId="22" xfId="0" applyFont="1" applyFill="1" applyBorder="1" applyAlignment="1">
      <alignment horizontal="center" vertical="center" wrapText="1"/>
    </xf>
    <xf numFmtId="0" fontId="14" fillId="32" borderId="19" xfId="0" applyFont="1" applyFill="1" applyBorder="1" applyAlignment="1">
      <alignment horizontal="left"/>
    </xf>
    <xf numFmtId="10" fontId="33" fillId="0" borderId="0" xfId="0" applyNumberFormat="1" applyFont="1"/>
    <xf numFmtId="10" fontId="12" fillId="1" borderId="70" xfId="0" applyNumberFormat="1" applyFont="1" applyFill="1" applyBorder="1" applyAlignment="1">
      <alignment horizontal="right"/>
    </xf>
    <xf numFmtId="10" fontId="34" fillId="40" borderId="68" xfId="0" applyNumberFormat="1" applyFont="1" applyFill="1" applyBorder="1"/>
    <xf numFmtId="10" fontId="12" fillId="1" borderId="71" xfId="0" applyNumberFormat="1" applyFont="1" applyFill="1" applyBorder="1" applyAlignment="1">
      <alignment horizontal="right"/>
    </xf>
    <xf numFmtId="0" fontId="17" fillId="32" borderId="21" xfId="0" applyFont="1" applyFill="1" applyBorder="1" applyAlignment="1">
      <alignment horizontal="center" vertical="center"/>
    </xf>
    <xf numFmtId="0" fontId="17" fillId="32" borderId="15" xfId="0" applyFont="1" applyFill="1" applyBorder="1" applyAlignment="1">
      <alignment horizontal="center" vertical="center"/>
    </xf>
    <xf numFmtId="0" fontId="17" fillId="39" borderId="22" xfId="0" applyFont="1" applyFill="1" applyBorder="1" applyAlignment="1">
      <alignment horizontal="center" vertical="center"/>
    </xf>
    <xf numFmtId="0" fontId="17" fillId="39" borderId="18" xfId="0" applyFont="1" applyFill="1" applyBorder="1" applyAlignment="1">
      <alignment horizontal="center" vertical="center"/>
    </xf>
    <xf numFmtId="0" fontId="23" fillId="32" borderId="19" xfId="0" applyFont="1" applyFill="1" applyBorder="1"/>
    <xf numFmtId="0" fontId="13" fillId="32" borderId="98" xfId="0" applyFont="1" applyFill="1" applyBorder="1" applyAlignment="1">
      <alignment horizontal="right"/>
    </xf>
    <xf numFmtId="0" fontId="14" fillId="32" borderId="19" xfId="0" quotePrefix="1" applyFont="1" applyFill="1" applyBorder="1" applyAlignment="1">
      <alignment horizontal="right"/>
    </xf>
    <xf numFmtId="169" fontId="0" fillId="0" borderId="0" xfId="0" applyNumberFormat="1" applyFill="1" applyBorder="1"/>
    <xf numFmtId="166" fontId="0" fillId="0" borderId="0" xfId="0" applyNumberFormat="1" applyFill="1" applyBorder="1"/>
    <xf numFmtId="2" fontId="0" fillId="0" borderId="0" xfId="0" applyNumberFormat="1" applyFill="1" applyBorder="1"/>
    <xf numFmtId="10" fontId="0" fillId="0" borderId="0" xfId="0" applyNumberFormat="1" applyFill="1" applyBorder="1"/>
    <xf numFmtId="0" fontId="12" fillId="1" borderId="0" xfId="0" applyFont="1" applyFill="1" applyBorder="1" applyAlignment="1"/>
    <xf numFmtId="166" fontId="62" fillId="33" borderId="30" xfId="0" applyNumberFormat="1" applyFont="1" applyFill="1" applyBorder="1" applyAlignment="1" applyProtection="1">
      <alignment horizontal="center"/>
    </xf>
    <xf numFmtId="0" fontId="55" fillId="32" borderId="30" xfId="0" applyFont="1" applyFill="1" applyBorder="1" applyAlignment="1">
      <alignment horizontal="right"/>
    </xf>
    <xf numFmtId="0" fontId="14" fillId="32" borderId="12" xfId="0" applyFont="1" applyFill="1" applyBorder="1" applyAlignment="1"/>
    <xf numFmtId="0" fontId="14" fillId="32" borderId="0" xfId="0" applyFont="1" applyFill="1" applyBorder="1" applyAlignment="1"/>
    <xf numFmtId="0" fontId="12" fillId="32" borderId="0" xfId="0" applyFont="1" applyFill="1" applyBorder="1" applyAlignment="1">
      <alignment horizontal="right"/>
    </xf>
    <xf numFmtId="5" fontId="17" fillId="1" borderId="99" xfId="0" applyNumberFormat="1" applyFont="1" applyFill="1" applyBorder="1" applyAlignment="1">
      <alignment horizontal="center"/>
    </xf>
    <xf numFmtId="5" fontId="63" fillId="32" borderId="14" xfId="47" applyNumberFormat="1" applyFont="1" applyFill="1" applyBorder="1" applyAlignment="1"/>
    <xf numFmtId="166" fontId="17" fillId="1" borderId="0" xfId="0" applyNumberFormat="1" applyFont="1" applyFill="1" applyBorder="1" applyAlignment="1" applyProtection="1">
      <alignment horizontal="left" vertical="center" indent="3"/>
    </xf>
    <xf numFmtId="166" fontId="17" fillId="1" borderId="55" xfId="0" applyNumberFormat="1" applyFont="1" applyFill="1" applyBorder="1" applyAlignment="1" applyProtection="1">
      <alignment horizontal="left" vertical="center" indent="3"/>
    </xf>
    <xf numFmtId="0" fontId="14" fillId="32" borderId="14" xfId="0" applyFont="1" applyFill="1" applyBorder="1" applyAlignment="1">
      <alignment horizontal="center" wrapText="1"/>
    </xf>
    <xf numFmtId="0" fontId="14" fillId="32" borderId="0" xfId="0" applyFont="1" applyFill="1" applyBorder="1" applyAlignment="1">
      <alignment horizontal="center" wrapText="1"/>
    </xf>
    <xf numFmtId="0" fontId="13" fillId="32" borderId="17" xfId="0" applyFont="1" applyFill="1" applyBorder="1" applyAlignment="1">
      <alignment horizontal="left"/>
    </xf>
    <xf numFmtId="167" fontId="17" fillId="0" borderId="0" xfId="0" applyNumberFormat="1" applyFont="1" applyFill="1" applyBorder="1" applyAlignment="1">
      <alignment horizontal="center"/>
    </xf>
    <xf numFmtId="168" fontId="65" fillId="0" borderId="0" xfId="0" applyNumberFormat="1" applyFont="1" applyFill="1" applyBorder="1" applyAlignment="1">
      <alignment horizontal="center" vertical="center" wrapText="1"/>
    </xf>
    <xf numFmtId="0" fontId="14" fillId="0" borderId="13" xfId="0" applyNumberFormat="1" applyFont="1" applyFill="1" applyBorder="1" applyAlignment="1" applyProtection="1">
      <alignment horizontal="center"/>
    </xf>
    <xf numFmtId="0" fontId="14" fillId="0" borderId="13" xfId="0" applyNumberFormat="1" applyFont="1" applyBorder="1" applyAlignment="1" applyProtection="1">
      <alignment horizontal="center"/>
      <protection locked="0"/>
    </xf>
    <xf numFmtId="0" fontId="14" fillId="0" borderId="13" xfId="0" applyNumberFormat="1" applyFont="1" applyBorder="1" applyAlignment="1" applyProtection="1">
      <alignment horizontal="center"/>
    </xf>
    <xf numFmtId="166" fontId="17" fillId="0" borderId="0" xfId="0" applyNumberFormat="1" applyFont="1" applyBorder="1" applyAlignment="1" applyProtection="1">
      <alignment horizontal="left" vertical="center" indent="3"/>
      <protection locked="0"/>
    </xf>
    <xf numFmtId="166" fontId="17" fillId="0" borderId="0" xfId="0" applyNumberFormat="1" applyFont="1" applyFill="1" applyBorder="1" applyAlignment="1">
      <alignment horizontal="left" vertical="center" indent="3"/>
    </xf>
    <xf numFmtId="10" fontId="17" fillId="0" borderId="0" xfId="0" applyNumberFormat="1" applyFont="1" applyFill="1" applyBorder="1" applyAlignment="1">
      <alignment horizontal="left" vertical="center" indent="3"/>
    </xf>
    <xf numFmtId="0" fontId="6" fillId="0" borderId="0" xfId="0" applyFont="1" applyFill="1" applyBorder="1" applyAlignment="1">
      <alignment horizontal="center" vertical="center"/>
    </xf>
    <xf numFmtId="0" fontId="12" fillId="0" borderId="0" xfId="0" applyFont="1" applyFill="1" applyBorder="1" applyAlignment="1">
      <alignment horizontal="center" wrapText="1"/>
    </xf>
    <xf numFmtId="0" fontId="15" fillId="0" borderId="0" xfId="0" applyFont="1" applyFill="1" applyBorder="1" applyAlignment="1">
      <alignment horizontal="center"/>
    </xf>
    <xf numFmtId="166" fontId="17" fillId="0" borderId="0" xfId="0" applyNumberFormat="1" applyFont="1" applyFill="1" applyBorder="1" applyAlignment="1" applyProtection="1">
      <alignment vertical="center"/>
    </xf>
    <xf numFmtId="0" fontId="17" fillId="0" borderId="0" xfId="0" applyFont="1" applyFill="1" applyBorder="1" applyAlignment="1"/>
    <xf numFmtId="5" fontId="17" fillId="0" borderId="0" xfId="0" applyNumberFormat="1" applyFont="1" applyFill="1" applyBorder="1" applyAlignment="1">
      <alignment horizontal="center"/>
    </xf>
    <xf numFmtId="166" fontId="17" fillId="0" borderId="0" xfId="0" applyNumberFormat="1" applyFont="1" applyFill="1" applyBorder="1" applyAlignment="1" applyProtection="1">
      <alignment horizontal="left" vertical="center" indent="3"/>
      <protection locked="0"/>
    </xf>
    <xf numFmtId="2" fontId="12" fillId="0" borderId="0" xfId="0" applyNumberFormat="1" applyFont="1" applyFill="1" applyBorder="1" applyAlignment="1">
      <alignment vertical="top" wrapText="1"/>
    </xf>
    <xf numFmtId="0" fontId="12" fillId="32" borderId="22" xfId="0" applyFont="1" applyFill="1" applyBorder="1" applyAlignment="1">
      <alignment horizontal="center" vertical="center" wrapText="1"/>
    </xf>
    <xf numFmtId="0" fontId="17" fillId="32" borderId="22" xfId="0" applyFont="1" applyFill="1" applyBorder="1" applyAlignment="1">
      <alignment horizontal="center" vertical="center" wrapText="1"/>
    </xf>
    <xf numFmtId="0" fontId="17" fillId="39" borderId="22" xfId="0" applyFont="1" applyFill="1" applyBorder="1" applyAlignment="1">
      <alignment horizontal="center" vertical="center" wrapText="1"/>
    </xf>
    <xf numFmtId="0" fontId="24" fillId="0" borderId="0" xfId="0" applyFont="1" applyAlignment="1">
      <alignment horizontal="right"/>
    </xf>
    <xf numFmtId="6" fontId="24" fillId="0" borderId="0" xfId="0" applyNumberFormat="1" applyFont="1" applyBorder="1" applyAlignment="1">
      <alignment wrapText="1"/>
    </xf>
    <xf numFmtId="6" fontId="24" fillId="0" borderId="0" xfId="0" applyNumberFormat="1" applyFont="1" applyBorder="1" applyAlignment="1">
      <alignment horizontal="left"/>
    </xf>
    <xf numFmtId="0" fontId="24" fillId="0" borderId="0" xfId="0" applyFont="1" applyBorder="1" applyAlignment="1">
      <alignment horizontal="left"/>
    </xf>
    <xf numFmtId="42" fontId="17" fillId="0" borderId="61" xfId="0" applyNumberFormat="1" applyFont="1" applyFill="1" applyBorder="1"/>
    <xf numFmtId="42" fontId="17" fillId="39" borderId="57" xfId="0" applyNumberFormat="1" applyFont="1" applyFill="1" applyBorder="1"/>
    <xf numFmtId="42" fontId="17" fillId="0" borderId="0" xfId="0" applyNumberFormat="1" applyFont="1" applyFill="1" applyBorder="1"/>
    <xf numFmtId="42" fontId="17" fillId="0" borderId="62" xfId="0" applyNumberFormat="1" applyFont="1" applyFill="1" applyBorder="1"/>
    <xf numFmtId="42" fontId="17" fillId="39" borderId="59" xfId="0" applyNumberFormat="1" applyFont="1" applyFill="1" applyBorder="1"/>
    <xf numFmtId="42" fontId="17" fillId="27" borderId="63" xfId="0" applyNumberFormat="1" applyFont="1" applyFill="1" applyBorder="1"/>
    <xf numFmtId="42" fontId="17" fillId="40" borderId="59" xfId="0" applyNumberFormat="1" applyFont="1" applyFill="1" applyBorder="1"/>
    <xf numFmtId="42" fontId="17" fillId="27" borderId="64" xfId="0" applyNumberFormat="1" applyFont="1" applyFill="1" applyBorder="1"/>
    <xf numFmtId="42" fontId="17" fillId="40" borderId="65" xfId="0" applyNumberFormat="1" applyFont="1" applyFill="1" applyBorder="1"/>
    <xf numFmtId="42" fontId="17" fillId="0" borderId="66" xfId="0" applyNumberFormat="1" applyFont="1" applyFill="1" applyBorder="1"/>
    <xf numFmtId="42" fontId="17" fillId="39" borderId="58" xfId="0" applyNumberFormat="1" applyFont="1" applyFill="1" applyBorder="1"/>
    <xf numFmtId="42" fontId="17" fillId="0" borderId="63" xfId="0" applyNumberFormat="1" applyFont="1" applyFill="1" applyBorder="1"/>
    <xf numFmtId="42" fontId="34" fillId="27" borderId="62" xfId="0" applyNumberFormat="1" applyFont="1" applyFill="1" applyBorder="1"/>
    <xf numFmtId="42" fontId="34" fillId="40" borderId="59" xfId="0" applyNumberFormat="1" applyFont="1" applyFill="1" applyBorder="1"/>
    <xf numFmtId="42" fontId="34" fillId="0" borderId="0" xfId="0" applyNumberFormat="1" applyFont="1" applyFill="1" applyBorder="1"/>
    <xf numFmtId="42" fontId="17" fillId="27" borderId="60" xfId="0" applyNumberFormat="1" applyFont="1" applyFill="1" applyBorder="1"/>
    <xf numFmtId="42" fontId="34" fillId="27" borderId="64" xfId="0" applyNumberFormat="1" applyFont="1" applyFill="1" applyBorder="1"/>
    <xf numFmtId="42" fontId="34" fillId="40" borderId="65" xfId="0" applyNumberFormat="1" applyFont="1" applyFill="1" applyBorder="1"/>
    <xf numFmtId="42" fontId="17" fillId="0" borderId="64" xfId="0" applyNumberFormat="1" applyFont="1" applyFill="1" applyBorder="1"/>
    <xf numFmtId="42" fontId="17" fillId="39" borderId="65" xfId="0" applyNumberFormat="1" applyFont="1" applyFill="1" applyBorder="1"/>
    <xf numFmtId="42" fontId="33" fillId="0" borderId="0" xfId="0" applyNumberFormat="1" applyFont="1"/>
    <xf numFmtId="42" fontId="34" fillId="0" borderId="64" xfId="0" applyNumberFormat="1" applyFont="1" applyFill="1" applyBorder="1"/>
    <xf numFmtId="42" fontId="34" fillId="39" borderId="65" xfId="0" applyNumberFormat="1" applyFont="1" applyFill="1" applyBorder="1"/>
    <xf numFmtId="42" fontId="34" fillId="40" borderId="58" xfId="0" applyNumberFormat="1" applyFont="1" applyFill="1" applyBorder="1"/>
    <xf numFmtId="42" fontId="12" fillId="1" borderId="69" xfId="0" applyNumberFormat="1" applyFont="1" applyFill="1" applyBorder="1" applyAlignment="1">
      <alignment horizontal="right"/>
    </xf>
    <xf numFmtId="42" fontId="34" fillId="40" borderId="56" xfId="0" applyNumberFormat="1" applyFont="1" applyFill="1" applyBorder="1"/>
    <xf numFmtId="42" fontId="12" fillId="1" borderId="70" xfId="0" applyNumberFormat="1" applyFont="1" applyFill="1" applyBorder="1" applyAlignment="1">
      <alignment horizontal="right"/>
    </xf>
    <xf numFmtId="42" fontId="17" fillId="0" borderId="22" xfId="0" applyNumberFormat="1" applyFont="1" applyFill="1" applyBorder="1"/>
    <xf numFmtId="42" fontId="17" fillId="0" borderId="18" xfId="0" applyNumberFormat="1" applyFont="1" applyFill="1" applyBorder="1"/>
    <xf numFmtId="42" fontId="17" fillId="27" borderId="24" xfId="0" applyNumberFormat="1" applyFont="1" applyFill="1" applyBorder="1"/>
    <xf numFmtId="42" fontId="17" fillId="27" borderId="16" xfId="0" applyNumberFormat="1" applyFont="1" applyFill="1" applyBorder="1"/>
    <xf numFmtId="42" fontId="17" fillId="27" borderId="22" xfId="0" applyNumberFormat="1" applyFont="1" applyFill="1" applyBorder="1"/>
    <xf numFmtId="42" fontId="17" fillId="27" borderId="18" xfId="0" applyNumberFormat="1" applyFont="1" applyFill="1" applyBorder="1"/>
    <xf numFmtId="42" fontId="17" fillId="0" borderId="24" xfId="0" applyNumberFormat="1" applyFont="1" applyFill="1" applyBorder="1"/>
    <xf numFmtId="42" fontId="17" fillId="0" borderId="16" xfId="0" applyNumberFormat="1" applyFont="1" applyFill="1" applyBorder="1"/>
    <xf numFmtId="42" fontId="34" fillId="27" borderId="22" xfId="0" applyNumberFormat="1" applyFont="1" applyFill="1" applyBorder="1"/>
    <xf numFmtId="42" fontId="34" fillId="27" borderId="18" xfId="0" applyNumberFormat="1" applyFont="1" applyFill="1" applyBorder="1"/>
    <xf numFmtId="42" fontId="17" fillId="27" borderId="10" xfId="0" applyNumberFormat="1" applyFont="1" applyFill="1" applyBorder="1"/>
    <xf numFmtId="42" fontId="17" fillId="27" borderId="12" xfId="0" applyNumberFormat="1" applyFont="1" applyFill="1" applyBorder="1"/>
    <xf numFmtId="42" fontId="34" fillId="28" borderId="22" xfId="0" applyNumberFormat="1" applyFont="1" applyFill="1" applyBorder="1"/>
    <xf numFmtId="42" fontId="17" fillId="0" borderId="19" xfId="0" applyNumberFormat="1" applyFont="1" applyFill="1" applyBorder="1"/>
    <xf numFmtId="0" fontId="11" fillId="0" borderId="44" xfId="0" applyFont="1" applyBorder="1" applyAlignment="1">
      <alignment horizontal="center" wrapText="1"/>
    </xf>
    <xf numFmtId="0" fontId="11" fillId="0" borderId="46" xfId="0" applyFont="1" applyBorder="1" applyAlignment="1">
      <alignment horizontal="center" wrapText="1"/>
    </xf>
    <xf numFmtId="0" fontId="11" fillId="0" borderId="69" xfId="0" applyFont="1" applyBorder="1" applyAlignment="1">
      <alignment horizontal="center" wrapText="1"/>
    </xf>
    <xf numFmtId="0" fontId="11" fillId="0" borderId="71" xfId="0" applyFont="1" applyBorder="1" applyAlignment="1">
      <alignment horizontal="center" wrapText="1"/>
    </xf>
    <xf numFmtId="0" fontId="14" fillId="32" borderId="19" xfId="0" applyFont="1" applyFill="1" applyBorder="1" applyAlignment="1">
      <alignment horizontal="left"/>
    </xf>
    <xf numFmtId="0" fontId="14" fillId="32" borderId="14" xfId="0" applyFont="1" applyFill="1" applyBorder="1" applyAlignment="1">
      <alignment horizontal="left"/>
    </xf>
    <xf numFmtId="0" fontId="24"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center" wrapText="1"/>
    </xf>
    <xf numFmtId="0" fontId="56" fillId="0" borderId="0" xfId="0" applyFont="1" applyAlignment="1">
      <alignment horizontal="left" wrapText="1"/>
    </xf>
    <xf numFmtId="0" fontId="24" fillId="0" borderId="0" xfId="0" applyFont="1" applyAlignment="1">
      <alignment horizontal="left" wrapText="1"/>
    </xf>
    <xf numFmtId="0" fontId="66" fillId="0" borderId="0" xfId="0" applyFont="1" applyAlignment="1">
      <alignment horizontal="center" vertical="center" wrapText="1"/>
    </xf>
    <xf numFmtId="172" fontId="12" fillId="32" borderId="24" xfId="0" applyNumberFormat="1" applyFont="1" applyFill="1" applyBorder="1" applyAlignment="1" applyProtection="1">
      <alignment horizontal="center"/>
    </xf>
    <xf numFmtId="0" fontId="76" fillId="42" borderId="43" xfId="49" applyFont="1" applyFill="1" applyBorder="1"/>
    <xf numFmtId="0" fontId="76" fillId="42" borderId="76" xfId="49" applyFont="1" applyFill="1" applyBorder="1" applyAlignment="1"/>
    <xf numFmtId="166" fontId="76" fillId="42" borderId="0" xfId="49" applyNumberFormat="1" applyFont="1" applyFill="1" applyBorder="1"/>
    <xf numFmtId="166" fontId="76" fillId="42" borderId="54" xfId="49" applyNumberFormat="1" applyFont="1" applyFill="1" applyBorder="1"/>
    <xf numFmtId="173" fontId="77" fillId="0" borderId="100" xfId="49" applyNumberFormat="1" applyFont="1" applyBorder="1" applyAlignment="1">
      <alignment horizontal="center"/>
    </xf>
    <xf numFmtId="168" fontId="65" fillId="0" borderId="0" xfId="0" applyNumberFormat="1" applyFont="1" applyFill="1" applyBorder="1" applyAlignment="1">
      <alignment horizontal="center" vertical="center" wrapText="1"/>
    </xf>
    <xf numFmtId="0" fontId="58" fillId="0" borderId="51" xfId="0" applyFont="1" applyBorder="1" applyAlignment="1">
      <alignment horizontal="center" vertical="center"/>
    </xf>
    <xf numFmtId="0" fontId="11" fillId="0" borderId="22" xfId="0" applyFont="1" applyBorder="1" applyAlignment="1">
      <alignment horizontal="center" vertical="center" wrapText="1" shrinkToFit="1"/>
    </xf>
    <xf numFmtId="9" fontId="33" fillId="0" borderId="22" xfId="0" applyNumberFormat="1" applyFont="1" applyBorder="1" applyAlignment="1">
      <alignment horizontal="center" vertical="center"/>
    </xf>
    <xf numFmtId="0" fontId="33" fillId="0" borderId="19" xfId="0" applyFont="1" applyBorder="1" applyAlignment="1">
      <alignment vertical="center"/>
    </xf>
    <xf numFmtId="0" fontId="33" fillId="0" borderId="30" xfId="0" applyFont="1" applyBorder="1" applyAlignment="1">
      <alignment vertical="center"/>
    </xf>
    <xf numFmtId="0" fontId="82" fillId="1" borderId="13" xfId="0" applyFont="1" applyFill="1" applyBorder="1" applyAlignment="1">
      <alignment vertical="top" wrapText="1"/>
    </xf>
    <xf numFmtId="0" fontId="82" fillId="1" borderId="0" xfId="0" applyFont="1" applyFill="1" applyBorder="1" applyAlignment="1">
      <alignment vertical="top" wrapText="1"/>
    </xf>
    <xf numFmtId="0" fontId="2" fillId="0" borderId="0" xfId="51" applyAlignment="1">
      <alignment vertical="center"/>
    </xf>
    <xf numFmtId="0" fontId="2" fillId="0" borderId="0" xfId="51" applyFont="1" applyAlignment="1">
      <alignment vertical="center" wrapText="1"/>
    </xf>
    <xf numFmtId="0" fontId="2" fillId="0" borderId="0" xfId="51" applyAlignment="1">
      <alignment horizontal="center" vertical="center"/>
    </xf>
    <xf numFmtId="0" fontId="91" fillId="0" borderId="0" xfId="51" applyFont="1" applyAlignment="1">
      <alignment vertical="center" wrapText="1"/>
    </xf>
    <xf numFmtId="0" fontId="94" fillId="0" borderId="0" xfId="50" applyFont="1" applyAlignment="1">
      <alignment vertical="center" wrapText="1"/>
    </xf>
    <xf numFmtId="0" fontId="97" fillId="0" borderId="0" xfId="51" applyFont="1" applyAlignment="1">
      <alignment vertical="center"/>
    </xf>
    <xf numFmtId="0" fontId="99" fillId="0" borderId="0" xfId="51" applyFont="1" applyAlignment="1">
      <alignment vertical="center"/>
    </xf>
    <xf numFmtId="0" fontId="94" fillId="0" borderId="0" xfId="51" applyFont="1" applyAlignment="1">
      <alignment vertical="center"/>
    </xf>
    <xf numFmtId="0" fontId="93" fillId="0" borderId="0" xfId="51" applyFont="1" applyBorder="1" applyAlignment="1">
      <alignment vertical="center" wrapText="1"/>
    </xf>
    <xf numFmtId="0" fontId="91" fillId="0" borderId="0" xfId="51" applyFont="1" applyBorder="1" applyAlignment="1">
      <alignment vertical="center" wrapText="1"/>
    </xf>
    <xf numFmtId="0" fontId="98" fillId="0" borderId="0" xfId="51" applyFont="1" applyBorder="1" applyAlignment="1">
      <alignment vertical="center"/>
    </xf>
    <xf numFmtId="0" fontId="92" fillId="0" borderId="22" xfId="51" applyFont="1" applyBorder="1" applyAlignment="1">
      <alignment vertical="center" wrapText="1"/>
    </xf>
    <xf numFmtId="0" fontId="92" fillId="0" borderId="22" xfId="51" applyFont="1" applyBorder="1" applyAlignment="1">
      <alignment vertical="center"/>
    </xf>
    <xf numFmtId="0" fontId="76" fillId="0" borderId="23" xfId="49" applyFont="1" applyBorder="1" applyAlignment="1"/>
    <xf numFmtId="166" fontId="17" fillId="32" borderId="0" xfId="0" applyNumberFormat="1" applyFont="1" applyFill="1" applyBorder="1" applyAlignment="1">
      <alignment horizontal="left"/>
    </xf>
    <xf numFmtId="0" fontId="12" fillId="32" borderId="22" xfId="0" applyFont="1" applyFill="1" applyBorder="1" applyAlignment="1">
      <alignment horizontal="center" vertical="center" wrapText="1"/>
    </xf>
    <xf numFmtId="0" fontId="12" fillId="32" borderId="3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75" fillId="0" borderId="72" xfId="49" applyFont="1" applyBorder="1" applyAlignment="1">
      <alignment horizontal="center"/>
    </xf>
    <xf numFmtId="0" fontId="75" fillId="0" borderId="73" xfId="49" applyFont="1" applyBorder="1" applyAlignment="1">
      <alignment horizontal="center"/>
    </xf>
    <xf numFmtId="0" fontId="4" fillId="0" borderId="78" xfId="49" applyBorder="1" applyAlignment="1">
      <alignment horizontal="right"/>
    </xf>
    <xf numFmtId="0" fontId="4" fillId="0" borderId="78" xfId="49" applyBorder="1" applyAlignment="1"/>
    <xf numFmtId="0" fontId="75" fillId="0" borderId="73" xfId="49" applyFont="1" applyFill="1" applyBorder="1" applyAlignment="1">
      <alignment horizontal="center"/>
    </xf>
    <xf numFmtId="0" fontId="4" fillId="0" borderId="23" xfId="49" applyBorder="1"/>
    <xf numFmtId="174" fontId="4" fillId="29" borderId="101" xfId="49" applyNumberFormat="1" applyFill="1" applyBorder="1"/>
    <xf numFmtId="174" fontId="4" fillId="0" borderId="102" xfId="49" applyNumberFormat="1" applyBorder="1"/>
    <xf numFmtId="174" fontId="4" fillId="0" borderId="101" xfId="49" applyNumberFormat="1" applyFill="1" applyBorder="1"/>
    <xf numFmtId="174" fontId="4" fillId="29" borderId="102" xfId="49" applyNumberFormat="1" applyFill="1" applyBorder="1"/>
    <xf numFmtId="173" fontId="81" fillId="0" borderId="105" xfId="49" applyNumberFormat="1" applyFont="1" applyBorder="1" applyAlignment="1">
      <alignment horizontal="center"/>
    </xf>
    <xf numFmtId="174" fontId="4" fillId="0" borderId="106" xfId="49" applyNumberFormat="1" applyBorder="1"/>
    <xf numFmtId="174" fontId="4" fillId="0" borderId="107" xfId="49" applyNumberFormat="1" applyBorder="1"/>
    <xf numFmtId="0" fontId="75" fillId="0" borderId="115" xfId="49" applyFont="1" applyBorder="1" applyAlignment="1"/>
    <xf numFmtId="0" fontId="1" fillId="0" borderId="14" xfId="49" applyFont="1" applyBorder="1" applyAlignment="1">
      <alignment horizontal="right"/>
    </xf>
    <xf numFmtId="173" fontId="81" fillId="0" borderId="118" xfId="49" applyNumberFormat="1" applyFont="1" applyBorder="1" applyAlignment="1">
      <alignment horizontal="center"/>
    </xf>
    <xf numFmtId="173" fontId="81" fillId="0" borderId="108" xfId="49" applyNumberFormat="1" applyFont="1" applyBorder="1" applyAlignment="1">
      <alignment horizontal="center"/>
    </xf>
    <xf numFmtId="174" fontId="4" fillId="29" borderId="106" xfId="49" applyNumberFormat="1" applyFill="1" applyBorder="1"/>
    <xf numFmtId="174" fontId="4" fillId="29" borderId="107" xfId="49" applyNumberFormat="1" applyFill="1" applyBorder="1"/>
    <xf numFmtId="0" fontId="24" fillId="0" borderId="0" xfId="0" applyFont="1" applyAlignment="1">
      <alignment horizontal="left" wrapText="1"/>
    </xf>
    <xf numFmtId="2" fontId="0" fillId="0" borderId="0" xfId="0" applyNumberFormat="1" applyFont="1" applyFill="1"/>
    <xf numFmtId="167" fontId="17" fillId="0" borderId="0" xfId="0" applyNumberFormat="1" applyFont="1" applyFill="1" applyBorder="1" applyAlignment="1">
      <alignment horizontal="center"/>
    </xf>
    <xf numFmtId="0" fontId="101" fillId="29" borderId="22" xfId="0" applyFont="1" applyFill="1" applyBorder="1"/>
    <xf numFmtId="0" fontId="101" fillId="0" borderId="22" xfId="0" applyFont="1" applyFill="1" applyBorder="1" applyAlignment="1">
      <alignment horizontal="left"/>
    </xf>
    <xf numFmtId="0" fontId="15" fillId="0" borderId="0" xfId="0" applyFont="1" applyFill="1"/>
    <xf numFmtId="166" fontId="17" fillId="32" borderId="22" xfId="0" applyNumberFormat="1" applyFont="1" applyFill="1" applyBorder="1" applyAlignment="1" applyProtection="1">
      <alignment horizontal="center"/>
    </xf>
    <xf numFmtId="42" fontId="17" fillId="40" borderId="57" xfId="0" applyNumberFormat="1" applyFont="1" applyFill="1" applyBorder="1"/>
    <xf numFmtId="0" fontId="17" fillId="27" borderId="21" xfId="0" applyFont="1" applyFill="1" applyBorder="1"/>
    <xf numFmtId="42" fontId="34" fillId="43" borderId="59" xfId="0" applyNumberFormat="1" applyFont="1" applyFill="1" applyBorder="1"/>
    <xf numFmtId="0" fontId="17" fillId="0" borderId="18" xfId="0" applyFont="1" applyFill="1" applyBorder="1" applyAlignment="1">
      <alignment horizontal="left"/>
    </xf>
    <xf numFmtId="0" fontId="12" fillId="0" borderId="0" xfId="0" applyFont="1" applyFill="1" applyBorder="1"/>
    <xf numFmtId="0" fontId="101" fillId="0" borderId="19" xfId="0" applyFont="1" applyFill="1" applyBorder="1"/>
    <xf numFmtId="0" fontId="101" fillId="0" borderId="19" xfId="0" applyFont="1" applyFill="1" applyBorder="1" applyAlignment="1">
      <alignment horizontal="left"/>
    </xf>
    <xf numFmtId="166" fontId="15" fillId="0" borderId="19" xfId="0" applyNumberFormat="1" applyFont="1" applyFill="1" applyBorder="1" applyAlignment="1" applyProtection="1">
      <alignment horizontal="center" vertical="center"/>
      <protection locked="0"/>
    </xf>
    <xf numFmtId="0" fontId="12" fillId="0" borderId="0" xfId="0" applyFont="1" applyBorder="1"/>
    <xf numFmtId="0" fontId="12" fillId="0" borderId="0" xfId="0" applyFont="1" applyAlignment="1">
      <alignment horizontal="right"/>
    </xf>
    <xf numFmtId="0" fontId="101" fillId="0" borderId="14" xfId="0" applyFont="1" applyFill="1" applyBorder="1" applyAlignment="1">
      <alignment horizontal="center"/>
    </xf>
    <xf numFmtId="42" fontId="34" fillId="40" borderId="119" xfId="0" applyNumberFormat="1" applyFont="1" applyFill="1" applyBorder="1"/>
    <xf numFmtId="10" fontId="34" fillId="40" borderId="119" xfId="0" applyNumberFormat="1" applyFont="1" applyFill="1" applyBorder="1"/>
    <xf numFmtId="42" fontId="34" fillId="40" borderId="120" xfId="0" applyNumberFormat="1" applyFont="1" applyFill="1" applyBorder="1"/>
    <xf numFmtId="0" fontId="101" fillId="29" borderId="84" xfId="0" applyFont="1" applyFill="1" applyBorder="1"/>
    <xf numFmtId="0" fontId="101" fillId="0" borderId="84" xfId="0" applyFont="1" applyFill="1" applyBorder="1" applyAlignment="1">
      <alignment horizontal="left"/>
    </xf>
    <xf numFmtId="0" fontId="12" fillId="0" borderId="104" xfId="0" applyFont="1" applyBorder="1"/>
    <xf numFmtId="0" fontId="12" fillId="0" borderId="104" xfId="0" applyFont="1" applyBorder="1" applyAlignment="1">
      <alignment horizontal="right"/>
    </xf>
    <xf numFmtId="0" fontId="12" fillId="0" borderId="104" xfId="0" applyFont="1" applyFill="1" applyBorder="1"/>
    <xf numFmtId="166" fontId="17" fillId="0" borderId="35" xfId="0" applyNumberFormat="1" applyFont="1" applyFill="1" applyBorder="1" applyAlignment="1" applyProtection="1">
      <alignment horizontal="left" vertical="center" indent="3"/>
    </xf>
    <xf numFmtId="10" fontId="17" fillId="32" borderId="13" xfId="0" applyNumberFormat="1" applyFont="1" applyFill="1" applyBorder="1" applyAlignment="1" applyProtection="1">
      <alignment horizontal="left"/>
    </xf>
    <xf numFmtId="166" fontId="17" fillId="32" borderId="14" xfId="0" applyNumberFormat="1" applyFont="1" applyFill="1" applyBorder="1" applyAlignment="1">
      <alignment horizontal="left"/>
    </xf>
    <xf numFmtId="0" fontId="24" fillId="0" borderId="0" xfId="0" applyFont="1" applyAlignment="1">
      <alignment horizontal="left" wrapText="1"/>
    </xf>
    <xf numFmtId="0" fontId="24" fillId="0" borderId="0" xfId="0" applyFont="1" applyAlignment="1">
      <alignment horizontal="center" wrapText="1"/>
    </xf>
    <xf numFmtId="0" fontId="24" fillId="0" borderId="0" xfId="0" applyFont="1" applyAlignment="1"/>
    <xf numFmtId="0" fontId="24" fillId="0" borderId="0" xfId="0" applyFont="1" applyAlignment="1">
      <alignment wrapText="1"/>
    </xf>
    <xf numFmtId="0" fontId="25" fillId="0" borderId="0" xfId="0" applyFont="1" applyAlignment="1"/>
    <xf numFmtId="0" fontId="25" fillId="0" borderId="0" xfId="0" applyFont="1" applyBorder="1" applyAlignment="1">
      <alignment horizontal="left"/>
    </xf>
    <xf numFmtId="0" fontId="24" fillId="0" borderId="0" xfId="0" applyFont="1" applyBorder="1" applyAlignment="1">
      <alignment wrapText="1"/>
    </xf>
    <xf numFmtId="0" fontId="24" fillId="0" borderId="0" xfId="0" applyFont="1" applyBorder="1" applyAlignment="1"/>
    <xf numFmtId="0" fontId="26" fillId="0" borderId="0" xfId="0" applyFont="1" applyBorder="1" applyAlignment="1">
      <alignment wrapText="1"/>
    </xf>
    <xf numFmtId="0" fontId="25" fillId="0" borderId="0" xfId="0" applyFont="1" applyBorder="1" applyAlignment="1">
      <alignment wrapText="1"/>
    </xf>
    <xf numFmtId="0" fontId="24" fillId="0" borderId="0" xfId="0" applyFont="1" applyBorder="1" applyAlignment="1">
      <alignment horizontal="left" wrapText="1"/>
    </xf>
    <xf numFmtId="0" fontId="26" fillId="0" borderId="26" xfId="0" applyFont="1" applyBorder="1" applyAlignment="1"/>
    <xf numFmtId="0" fontId="104" fillId="0" borderId="0" xfId="0" applyFont="1"/>
    <xf numFmtId="44" fontId="24" fillId="0" borderId="0" xfId="52" applyFont="1"/>
    <xf numFmtId="44" fontId="25" fillId="0" borderId="0" xfId="52" applyFont="1"/>
    <xf numFmtId="0" fontId="105" fillId="0" borderId="0" xfId="0" applyFont="1"/>
    <xf numFmtId="0" fontId="52" fillId="0" borderId="0" xfId="39" applyFont="1" applyAlignment="1">
      <alignment horizontal="right"/>
    </xf>
    <xf numFmtId="8" fontId="24" fillId="0" borderId="0" xfId="0" applyNumberFormat="1" applyFont="1" applyBorder="1" applyAlignment="1">
      <alignment wrapText="1"/>
    </xf>
    <xf numFmtId="0" fontId="104" fillId="0" borderId="0" xfId="0" applyFont="1" applyBorder="1" applyAlignment="1"/>
    <xf numFmtId="0" fontId="104" fillId="0" borderId="23" xfId="0" applyFont="1" applyBorder="1"/>
    <xf numFmtId="44" fontId="24" fillId="0" borderId="0" xfId="52" applyFont="1" applyAlignment="1"/>
    <xf numFmtId="0" fontId="106" fillId="0" borderId="0" xfId="0" applyFont="1" applyAlignment="1"/>
    <xf numFmtId="0" fontId="24" fillId="0" borderId="26" xfId="0" applyFont="1" applyBorder="1" applyAlignment="1"/>
    <xf numFmtId="44" fontId="24" fillId="0" borderId="0" xfId="52" applyFont="1" applyBorder="1" applyAlignment="1">
      <alignment wrapText="1"/>
    </xf>
    <xf numFmtId="0" fontId="108" fillId="0" borderId="0" xfId="53" applyFont="1"/>
    <xf numFmtId="44" fontId="24" fillId="0" borderId="0" xfId="52" applyFont="1" applyBorder="1" applyAlignment="1">
      <alignment horizontal="left"/>
    </xf>
    <xf numFmtId="44" fontId="104" fillId="0" borderId="0" xfId="52" applyFont="1"/>
    <xf numFmtId="44" fontId="24" fillId="0" borderId="23" xfId="52" applyFont="1" applyBorder="1"/>
    <xf numFmtId="44" fontId="104" fillId="0" borderId="23" xfId="52" applyFont="1" applyBorder="1"/>
    <xf numFmtId="44" fontId="24" fillId="0" borderId="0" xfId="52" applyFont="1" applyBorder="1" applyAlignment="1">
      <alignment horizontal="left" vertical="top"/>
    </xf>
    <xf numFmtId="44" fontId="24" fillId="0" borderId="0" xfId="52" applyFont="1" applyBorder="1" applyAlignment="1"/>
    <xf numFmtId="44" fontId="24" fillId="0" borderId="0" xfId="52" applyFont="1" applyAlignment="1">
      <alignment wrapText="1"/>
    </xf>
    <xf numFmtId="0" fontId="25" fillId="0" borderId="0" xfId="0" applyFont="1" applyBorder="1" applyAlignment="1"/>
    <xf numFmtId="0" fontId="24" fillId="0" borderId="0" xfId="0" applyFont="1" applyBorder="1" applyAlignment="1">
      <alignment horizontal="left" wrapText="1" indent="1"/>
    </xf>
    <xf numFmtId="176" fontId="24" fillId="0" borderId="0" xfId="52" applyNumberFormat="1" applyFont="1"/>
    <xf numFmtId="176" fontId="24" fillId="0" borderId="0" xfId="52" applyNumberFormat="1" applyFont="1" applyBorder="1" applyAlignment="1">
      <alignment horizontal="left" wrapText="1"/>
    </xf>
    <xf numFmtId="176" fontId="24" fillId="0" borderId="0" xfId="52" applyNumberFormat="1" applyFont="1" applyBorder="1" applyAlignment="1">
      <alignment horizontal="left"/>
    </xf>
    <xf numFmtId="176" fontId="24" fillId="0" borderId="0" xfId="52" applyNumberFormat="1" applyFont="1" applyBorder="1" applyAlignment="1">
      <alignment wrapText="1"/>
    </xf>
    <xf numFmtId="0" fontId="25" fillId="0" borderId="0" xfId="0" applyFont="1" applyBorder="1" applyAlignment="1">
      <alignment horizontal="left" wrapText="1"/>
    </xf>
    <xf numFmtId="0" fontId="25" fillId="0" borderId="0" xfId="0" applyNumberFormat="1" applyFont="1" applyBorder="1" applyAlignment="1">
      <alignment horizontal="left"/>
    </xf>
    <xf numFmtId="6" fontId="104" fillId="0" borderId="0" xfId="0" applyNumberFormat="1" applyFont="1"/>
    <xf numFmtId="0" fontId="26" fillId="0" borderId="13" xfId="0" applyFont="1" applyBorder="1" applyAlignment="1">
      <alignment wrapText="1"/>
    </xf>
    <xf numFmtId="0" fontId="24" fillId="0" borderId="13" xfId="0" applyFont="1" applyBorder="1"/>
    <xf numFmtId="14" fontId="0" fillId="0" borderId="0" xfId="0" applyNumberFormat="1"/>
    <xf numFmtId="0" fontId="109" fillId="0" borderId="0" xfId="0" applyFont="1" applyAlignment="1">
      <alignment horizontal="center"/>
    </xf>
    <xf numFmtId="14" fontId="14" fillId="32" borderId="15" xfId="0" applyNumberFormat="1" applyFont="1" applyFill="1" applyBorder="1" applyAlignment="1"/>
    <xf numFmtId="0" fontId="14" fillId="32" borderId="14" xfId="0" applyFont="1" applyFill="1" applyBorder="1" applyAlignment="1"/>
    <xf numFmtId="0" fontId="14" fillId="32" borderId="17" xfId="0" applyFont="1" applyFill="1" applyBorder="1" applyAlignment="1"/>
    <xf numFmtId="14" fontId="110" fillId="32" borderId="14" xfId="0" applyNumberFormat="1" applyFont="1" applyFill="1" applyBorder="1" applyAlignment="1">
      <alignment horizontal="center"/>
    </xf>
    <xf numFmtId="14" fontId="14" fillId="32" borderId="14" xfId="0" applyNumberFormat="1" applyFont="1" applyFill="1" applyBorder="1" applyAlignment="1">
      <alignment horizontal="center"/>
    </xf>
    <xf numFmtId="14" fontId="111" fillId="0" borderId="0" xfId="0" applyNumberFormat="1" applyFont="1"/>
    <xf numFmtId="2" fontId="111" fillId="0" borderId="0" xfId="0" applyNumberFormat="1" applyFont="1"/>
    <xf numFmtId="0" fontId="24" fillId="0" borderId="0" xfId="0" applyFont="1" applyAlignment="1">
      <alignment horizontal="left"/>
    </xf>
    <xf numFmtId="2" fontId="7" fillId="0" borderId="0" xfId="0" applyNumberFormat="1" applyFont="1"/>
    <xf numFmtId="0" fontId="17" fillId="29" borderId="18" xfId="0" applyFont="1" applyFill="1" applyBorder="1"/>
    <xf numFmtId="0" fontId="34" fillId="29" borderId="18" xfId="0" applyFont="1" applyFill="1" applyBorder="1"/>
    <xf numFmtId="42" fontId="34" fillId="29" borderId="66" xfId="0" applyNumberFormat="1" applyFont="1" applyFill="1" applyBorder="1"/>
    <xf numFmtId="0" fontId="17" fillId="29" borderId="19" xfId="0" applyFont="1" applyFill="1" applyBorder="1"/>
    <xf numFmtId="42" fontId="34" fillId="29" borderId="62" xfId="0" applyNumberFormat="1" applyFont="1" applyFill="1" applyBorder="1"/>
    <xf numFmtId="0" fontId="17" fillId="29" borderId="43" xfId="0" applyFont="1" applyFill="1" applyBorder="1"/>
    <xf numFmtId="42" fontId="17" fillId="29" borderId="60" xfId="0" applyNumberFormat="1" applyFont="1" applyFill="1" applyBorder="1"/>
    <xf numFmtId="42" fontId="17" fillId="29" borderId="62" xfId="0" applyNumberFormat="1" applyFont="1" applyFill="1" applyBorder="1"/>
    <xf numFmtId="42" fontId="34" fillId="29" borderId="64" xfId="0" applyNumberFormat="1" applyFont="1" applyFill="1" applyBorder="1"/>
    <xf numFmtId="42" fontId="34" fillId="29" borderId="119" xfId="0" applyNumberFormat="1" applyFont="1" applyFill="1" applyBorder="1"/>
    <xf numFmtId="0" fontId="24" fillId="0" borderId="0" xfId="0" applyFont="1" applyAlignment="1">
      <alignment horizontal="left"/>
    </xf>
    <xf numFmtId="6" fontId="24" fillId="0" borderId="0" xfId="0" applyNumberFormat="1" applyFont="1"/>
    <xf numFmtId="0" fontId="24" fillId="0" borderId="14" xfId="0" applyFont="1" applyBorder="1" applyAlignment="1">
      <alignment horizontal="center"/>
    </xf>
    <xf numFmtId="0" fontId="24" fillId="0" borderId="14" xfId="0" applyFont="1" applyBorder="1"/>
    <xf numFmtId="2" fontId="83" fillId="29" borderId="0" xfId="0" applyNumberFormat="1" applyFont="1" applyFill="1"/>
    <xf numFmtId="0" fontId="24" fillId="0" borderId="0" xfId="0" applyFont="1" applyAlignment="1">
      <alignment horizontal="left"/>
    </xf>
    <xf numFmtId="0" fontId="111" fillId="0" borderId="0" xfId="0" applyFont="1"/>
    <xf numFmtId="2" fontId="0" fillId="0" borderId="0" xfId="0" applyNumberFormat="1"/>
    <xf numFmtId="0" fontId="24"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left"/>
    </xf>
    <xf numFmtId="10" fontId="0" fillId="0" borderId="0" xfId="0" applyNumberFormat="1"/>
    <xf numFmtId="0" fontId="111" fillId="0" borderId="0" xfId="0" applyFont="1" applyAlignment="1">
      <alignment horizontal="right"/>
    </xf>
    <xf numFmtId="0" fontId="24" fillId="0" borderId="0" xfId="0" applyFont="1" applyAlignment="1">
      <alignment horizontal="left" wrapText="1"/>
    </xf>
    <xf numFmtId="0" fontId="12" fillId="32" borderId="22" xfId="0" applyFont="1" applyFill="1" applyBorder="1" applyAlignment="1">
      <alignment horizontal="center" vertical="center" wrapText="1"/>
    </xf>
    <xf numFmtId="0" fontId="17" fillId="32" borderId="22" xfId="0" applyFont="1" applyFill="1" applyBorder="1" applyAlignment="1">
      <alignment horizontal="center" vertical="center" wrapText="1"/>
    </xf>
    <xf numFmtId="0" fontId="12" fillId="32" borderId="24" xfId="0" applyFont="1" applyFill="1" applyBorder="1" applyAlignment="1">
      <alignment horizontal="center" vertical="center" wrapText="1"/>
    </xf>
    <xf numFmtId="0" fontId="12" fillId="32" borderId="21" xfId="0" applyFont="1" applyFill="1" applyBorder="1" applyAlignment="1">
      <alignment horizontal="center" vertical="center" wrapText="1"/>
    </xf>
    <xf numFmtId="0" fontId="11" fillId="0" borderId="18" xfId="0" applyFont="1" applyBorder="1" applyAlignment="1">
      <alignment horizontal="center" wrapText="1"/>
    </xf>
    <xf numFmtId="0" fontId="11" fillId="0" borderId="30" xfId="0" applyFont="1" applyBorder="1" applyAlignment="1">
      <alignment horizontal="center" wrapText="1"/>
    </xf>
    <xf numFmtId="9" fontId="33" fillId="0" borderId="18" xfId="0" applyNumberFormat="1" applyFont="1" applyBorder="1" applyAlignment="1">
      <alignment horizontal="center" vertical="center"/>
    </xf>
    <xf numFmtId="9" fontId="33" fillId="0" borderId="19" xfId="0" applyNumberFormat="1" applyFont="1" applyBorder="1" applyAlignment="1">
      <alignment horizontal="center" vertical="center"/>
    </xf>
    <xf numFmtId="9" fontId="33" fillId="0" borderId="30" xfId="0" applyNumberFormat="1" applyFont="1" applyBorder="1" applyAlignment="1">
      <alignment horizontal="center" vertical="center"/>
    </xf>
    <xf numFmtId="0" fontId="17" fillId="32" borderId="16" xfId="0" applyFont="1" applyFill="1" applyBorder="1" applyAlignment="1">
      <alignment horizontal="center" vertical="center" wrapText="1"/>
    </xf>
    <xf numFmtId="0" fontId="17" fillId="32" borderId="13" xfId="0" applyFont="1" applyFill="1" applyBorder="1" applyAlignment="1">
      <alignment horizontal="center" vertical="center" wrapText="1"/>
    </xf>
    <xf numFmtId="0" fontId="17" fillId="32" borderId="20" xfId="0" applyFont="1" applyFill="1" applyBorder="1" applyAlignment="1">
      <alignment horizontal="center" vertical="center" wrapText="1"/>
    </xf>
    <xf numFmtId="0" fontId="17" fillId="32" borderId="15" xfId="0" applyFont="1" applyFill="1" applyBorder="1" applyAlignment="1">
      <alignment horizontal="center" vertical="center" wrapText="1"/>
    </xf>
    <xf numFmtId="0" fontId="17" fillId="32" borderId="14" xfId="0" applyFont="1" applyFill="1" applyBorder="1" applyAlignment="1">
      <alignment horizontal="center" vertical="center" wrapText="1"/>
    </xf>
    <xf numFmtId="0" fontId="17" fillId="32" borderId="17" xfId="0" applyFont="1" applyFill="1" applyBorder="1" applyAlignment="1">
      <alignment horizontal="center" vertical="center" wrapText="1"/>
    </xf>
    <xf numFmtId="0" fontId="33" fillId="32" borderId="22" xfId="0" applyFont="1" applyFill="1" applyBorder="1" applyAlignment="1">
      <alignment horizontal="center" vertical="center"/>
    </xf>
    <xf numFmtId="0" fontId="11" fillId="27" borderId="18" xfId="0" applyFont="1" applyFill="1" applyBorder="1" applyAlignment="1">
      <alignment horizontal="center" vertical="center" wrapText="1"/>
    </xf>
    <xf numFmtId="0" fontId="11" fillId="27" borderId="19" xfId="0" applyFont="1" applyFill="1" applyBorder="1" applyAlignment="1">
      <alignment horizontal="center" vertical="center" wrapText="1"/>
    </xf>
    <xf numFmtId="0" fontId="11" fillId="27" borderId="30" xfId="0" applyFont="1" applyFill="1" applyBorder="1" applyAlignment="1">
      <alignment horizontal="center" vertical="center" wrapText="1"/>
    </xf>
    <xf numFmtId="0" fontId="72" fillId="0" borderId="13" xfId="0" applyFont="1" applyBorder="1" applyAlignment="1">
      <alignment horizont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xf>
    <xf numFmtId="1" fontId="11" fillId="0" borderId="18" xfId="0" applyNumberFormat="1" applyFont="1" applyBorder="1" applyAlignment="1">
      <alignment horizontal="center" vertical="center"/>
    </xf>
    <xf numFmtId="1" fontId="11" fillId="0" borderId="30" xfId="0" applyNumberFormat="1" applyFont="1" applyBorder="1" applyAlignment="1">
      <alignment horizontal="center" vertical="center"/>
    </xf>
    <xf numFmtId="0" fontId="34" fillId="0" borderId="31" xfId="0" applyFont="1" applyBorder="1" applyAlignment="1">
      <alignment horizontal="center" vertical="top" wrapText="1"/>
    </xf>
    <xf numFmtId="0" fontId="34" fillId="0" borderId="35" xfId="0" applyFont="1" applyBorder="1" applyAlignment="1">
      <alignment horizontal="center" vertical="top" wrapText="1"/>
    </xf>
    <xf numFmtId="0" fontId="34" fillId="0" borderId="32" xfId="0" applyFont="1" applyBorder="1" applyAlignment="1">
      <alignment horizontal="center" vertical="top" wrapText="1"/>
    </xf>
    <xf numFmtId="0" fontId="17" fillId="39" borderId="22"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7" fillId="39" borderId="13" xfId="0" applyFont="1" applyFill="1" applyBorder="1" applyAlignment="1">
      <alignment horizontal="center" vertical="center" wrapText="1"/>
    </xf>
    <xf numFmtId="0" fontId="17" fillId="39" borderId="20" xfId="0" applyFont="1" applyFill="1" applyBorder="1" applyAlignment="1">
      <alignment horizontal="center" vertical="center" wrapText="1"/>
    </xf>
    <xf numFmtId="0" fontId="17" fillId="39" borderId="15"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17" fillId="39" borderId="17" xfId="0" applyFont="1" applyFill="1" applyBorder="1" applyAlignment="1">
      <alignment horizontal="center" vertical="center" wrapText="1"/>
    </xf>
    <xf numFmtId="0" fontId="17" fillId="32" borderId="24" xfId="0" applyFont="1" applyFill="1" applyBorder="1" applyAlignment="1">
      <alignment horizontal="center" vertical="center" wrapText="1"/>
    </xf>
    <xf numFmtId="0" fontId="17" fillId="32" borderId="21" xfId="0" applyFont="1" applyFill="1" applyBorder="1" applyAlignment="1">
      <alignment horizontal="center" vertical="center" wrapText="1"/>
    </xf>
    <xf numFmtId="0" fontId="33" fillId="0" borderId="22" xfId="0" applyFont="1" applyBorder="1" applyAlignment="1">
      <alignment horizontal="center" vertical="center"/>
    </xf>
    <xf numFmtId="0" fontId="33" fillId="0" borderId="0" xfId="0" applyFont="1" applyBorder="1" applyAlignment="1">
      <alignment horizontal="center"/>
    </xf>
    <xf numFmtId="0" fontId="33" fillId="0" borderId="14" xfId="0" applyFont="1" applyBorder="1" applyAlignment="1">
      <alignment horizontal="center"/>
    </xf>
    <xf numFmtId="0" fontId="33" fillId="32" borderId="22" xfId="0" applyFont="1" applyFill="1" applyBorder="1" applyAlignment="1">
      <alignment horizontal="center" vertical="center" wrapText="1"/>
    </xf>
    <xf numFmtId="0" fontId="11" fillId="0" borderId="31" xfId="0" applyFont="1" applyBorder="1" applyAlignment="1">
      <alignment horizontal="center"/>
    </xf>
    <xf numFmtId="0" fontId="11" fillId="0" borderId="32" xfId="0" applyFont="1" applyBorder="1" applyAlignment="1">
      <alignment horizontal="center"/>
    </xf>
    <xf numFmtId="0" fontId="11" fillId="32" borderId="31" xfId="0" applyFont="1" applyFill="1" applyBorder="1" applyAlignment="1">
      <alignment horizontal="center" vertical="center"/>
    </xf>
    <xf numFmtId="0" fontId="11" fillId="32" borderId="35" xfId="0" applyFont="1" applyFill="1" applyBorder="1" applyAlignment="1">
      <alignment horizontal="center" vertical="center"/>
    </xf>
    <xf numFmtId="0" fontId="11" fillId="32" borderId="32" xfId="0" applyFont="1" applyFill="1" applyBorder="1" applyAlignment="1">
      <alignment horizontal="center" vertical="center"/>
    </xf>
    <xf numFmtId="0" fontId="33" fillId="32" borderId="15" xfId="0" applyFont="1" applyFill="1" applyBorder="1" applyAlignment="1">
      <alignment horizontal="center" vertical="center"/>
    </xf>
    <xf numFmtId="0" fontId="33" fillId="32" borderId="14" xfId="0" applyFont="1" applyFill="1" applyBorder="1" applyAlignment="1">
      <alignment horizontal="center" vertical="center"/>
    </xf>
    <xf numFmtId="0" fontId="33" fillId="32" borderId="17" xfId="0" applyFont="1" applyFill="1" applyBorder="1" applyAlignment="1">
      <alignment horizontal="center" vertical="center"/>
    </xf>
    <xf numFmtId="0" fontId="34" fillId="27" borderId="18"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34" fillId="27" borderId="30" xfId="0" applyFont="1" applyFill="1" applyBorder="1" applyAlignment="1">
      <alignment horizontal="center" vertical="center" wrapText="1"/>
    </xf>
    <xf numFmtId="1" fontId="11" fillId="0" borderId="22" xfId="0" applyNumberFormat="1" applyFont="1" applyBorder="1" applyAlignment="1">
      <alignment horizontal="center" vertical="center"/>
    </xf>
    <xf numFmtId="0" fontId="73" fillId="0" borderId="13" xfId="0" applyFont="1" applyBorder="1" applyAlignment="1">
      <alignment horizontal="center"/>
    </xf>
    <xf numFmtId="0" fontId="34" fillId="0" borderId="44"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47" xfId="0" applyFont="1" applyBorder="1" applyAlignment="1">
      <alignment horizontal="center" vertical="center" wrapText="1"/>
    </xf>
    <xf numFmtId="0" fontId="11" fillId="0" borderId="44" xfId="0" applyFont="1" applyBorder="1" applyAlignment="1">
      <alignment horizontal="center"/>
    </xf>
    <xf numFmtId="0" fontId="11" fillId="0" borderId="45" xfId="0" applyFont="1" applyBorder="1" applyAlignment="1">
      <alignment horizontal="center"/>
    </xf>
    <xf numFmtId="0" fontId="17" fillId="39" borderId="22" xfId="0" applyFont="1" applyFill="1" applyBorder="1" applyAlignment="1">
      <alignment horizontal="center" vertical="center"/>
    </xf>
    <xf numFmtId="0" fontId="11" fillId="39" borderId="31" xfId="0" applyFont="1" applyFill="1" applyBorder="1" applyAlignment="1">
      <alignment horizontal="center" vertical="center"/>
    </xf>
    <xf numFmtId="0" fontId="11" fillId="39" borderId="35" xfId="0" applyFont="1" applyFill="1" applyBorder="1" applyAlignment="1">
      <alignment horizontal="center" vertical="center"/>
    </xf>
    <xf numFmtId="0" fontId="11" fillId="39" borderId="32" xfId="0" applyFont="1" applyFill="1" applyBorder="1" applyAlignment="1">
      <alignment horizontal="center" vertical="center"/>
    </xf>
    <xf numFmtId="0" fontId="33" fillId="39" borderId="22" xfId="0" applyFont="1" applyFill="1" applyBorder="1" applyAlignment="1">
      <alignment horizontal="center" vertical="center"/>
    </xf>
    <xf numFmtId="0" fontId="11" fillId="0" borderId="46" xfId="0" applyFont="1" applyBorder="1" applyAlignment="1">
      <alignment horizontal="center"/>
    </xf>
    <xf numFmtId="0" fontId="11" fillId="0" borderId="47" xfId="0" applyFont="1" applyBorder="1" applyAlignment="1">
      <alignment horizontal="center"/>
    </xf>
    <xf numFmtId="0" fontId="11" fillId="0" borderId="22" xfId="0" applyFont="1" applyBorder="1" applyAlignment="1">
      <alignment horizontal="center" vertical="center" wrapText="1"/>
    </xf>
    <xf numFmtId="0" fontId="11" fillId="0" borderId="22" xfId="0" applyFont="1" applyBorder="1" applyAlignment="1">
      <alignment horizontal="center" vertical="center" wrapText="1" shrinkToFit="1"/>
    </xf>
    <xf numFmtId="166" fontId="17" fillId="0" borderId="22" xfId="0" applyNumberFormat="1" applyFont="1" applyFill="1" applyBorder="1" applyAlignment="1" applyProtection="1">
      <alignment horizontal="left" vertical="center"/>
    </xf>
    <xf numFmtId="0" fontId="12" fillId="32" borderId="48" xfId="0" applyFont="1" applyFill="1" applyBorder="1" applyAlignment="1" applyProtection="1">
      <alignment horizontal="center"/>
      <protection locked="0"/>
    </xf>
    <xf numFmtId="0" fontId="12" fillId="32" borderId="49" xfId="0" applyFont="1" applyFill="1" applyBorder="1" applyAlignment="1" applyProtection="1">
      <alignment horizontal="center"/>
      <protection locked="0"/>
    </xf>
    <xf numFmtId="0" fontId="12" fillId="32" borderId="50" xfId="0" applyFont="1" applyFill="1" applyBorder="1" applyAlignment="1" applyProtection="1">
      <alignment horizontal="center"/>
      <protection locked="0"/>
    </xf>
    <xf numFmtId="166" fontId="17" fillId="32" borderId="18" xfId="0" applyNumberFormat="1" applyFont="1" applyFill="1" applyBorder="1" applyAlignment="1" applyProtection="1">
      <alignment horizontal="left" vertical="center" indent="3"/>
    </xf>
    <xf numFmtId="166" fontId="17" fillId="32" borderId="30" xfId="0" applyNumberFormat="1" applyFont="1" applyFill="1" applyBorder="1" applyAlignment="1" applyProtection="1">
      <alignment horizontal="left" vertical="center" indent="3"/>
    </xf>
    <xf numFmtId="0" fontId="12" fillId="0" borderId="48" xfId="0" applyFont="1" applyBorder="1" applyAlignment="1" applyProtection="1">
      <alignment horizontal="left"/>
      <protection locked="0"/>
    </xf>
    <xf numFmtId="0" fontId="12" fillId="0" borderId="49" xfId="0" applyFont="1" applyBorder="1" applyAlignment="1" applyProtection="1">
      <alignment horizontal="left"/>
      <protection locked="0"/>
    </xf>
    <xf numFmtId="0" fontId="12" fillId="0" borderId="50" xfId="0" applyFont="1" applyBorder="1" applyAlignment="1" applyProtection="1">
      <alignment horizontal="left"/>
      <protection locked="0"/>
    </xf>
    <xf numFmtId="166" fontId="17" fillId="0" borderId="18" xfId="0" applyNumberFormat="1" applyFont="1" applyBorder="1" applyAlignment="1" applyProtection="1">
      <alignment horizontal="left" vertical="center" indent="3"/>
      <protection locked="0"/>
    </xf>
    <xf numFmtId="166" fontId="17" fillId="0" borderId="30" xfId="0" applyNumberFormat="1" applyFont="1" applyBorder="1" applyAlignment="1" applyProtection="1">
      <alignment horizontal="left" vertical="center" indent="3"/>
      <protection locked="0"/>
    </xf>
    <xf numFmtId="0" fontId="14" fillId="32" borderId="19" xfId="0" applyFont="1" applyFill="1" applyBorder="1" applyAlignment="1">
      <alignment horizontal="center"/>
    </xf>
    <xf numFmtId="0" fontId="14" fillId="32" borderId="67" xfId="0" applyFont="1" applyFill="1" applyBorder="1" applyAlignment="1">
      <alignment horizontal="center"/>
    </xf>
    <xf numFmtId="0" fontId="14" fillId="32" borderId="19" xfId="0" applyFont="1" applyFill="1" applyBorder="1" applyAlignment="1">
      <alignment horizontal="left"/>
    </xf>
    <xf numFmtId="0" fontId="12" fillId="0" borderId="19" xfId="0" applyFont="1" applyFill="1" applyBorder="1" applyAlignment="1" applyProtection="1">
      <alignment horizontal="left"/>
    </xf>
    <xf numFmtId="166" fontId="17" fillId="32" borderId="18" xfId="0" applyNumberFormat="1" applyFont="1" applyFill="1" applyBorder="1" applyAlignment="1" applyProtection="1">
      <alignment horizontal="left" vertical="center" indent="3"/>
      <protection locked="0"/>
    </xf>
    <xf numFmtId="166" fontId="17" fillId="32" borderId="19" xfId="0" applyNumberFormat="1" applyFont="1" applyFill="1" applyBorder="1" applyAlignment="1" applyProtection="1">
      <alignment horizontal="left" vertical="center" indent="3"/>
      <protection locked="0"/>
    </xf>
    <xf numFmtId="166" fontId="17" fillId="0" borderId="18" xfId="0" applyNumberFormat="1" applyFont="1" applyFill="1" applyBorder="1" applyAlignment="1" applyProtection="1">
      <alignment horizontal="left" vertical="center"/>
    </xf>
    <xf numFmtId="166" fontId="17" fillId="0" borderId="30" xfId="0" applyNumberFormat="1" applyFont="1" applyFill="1" applyBorder="1" applyAlignment="1" applyProtection="1">
      <alignment horizontal="left" vertical="center"/>
    </xf>
    <xf numFmtId="0" fontId="12" fillId="32" borderId="0" xfId="0" applyFont="1" applyFill="1" applyBorder="1" applyAlignment="1">
      <alignment horizontal="right"/>
    </xf>
    <xf numFmtId="0" fontId="14" fillId="32" borderId="12" xfId="0" applyFont="1" applyFill="1" applyBorder="1" applyAlignment="1">
      <alignment horizontal="left"/>
    </xf>
    <xf numFmtId="0" fontId="14" fillId="32" borderId="0" xfId="0" applyFont="1" applyFill="1" applyBorder="1" applyAlignment="1">
      <alignment horizontal="left"/>
    </xf>
    <xf numFmtId="0" fontId="14" fillId="32" borderId="20"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16" xfId="0" applyFont="1" applyFill="1" applyBorder="1" applyAlignment="1">
      <alignment horizontal="center"/>
    </xf>
    <xf numFmtId="0" fontId="14" fillId="32" borderId="13" xfId="0" applyFont="1" applyFill="1" applyBorder="1" applyAlignment="1">
      <alignment horizontal="center"/>
    </xf>
    <xf numFmtId="0" fontId="14" fillId="32" borderId="20" xfId="0" applyFont="1" applyFill="1" applyBorder="1" applyAlignment="1">
      <alignment horizontal="center"/>
    </xf>
    <xf numFmtId="168" fontId="14" fillId="0" borderId="0" xfId="0" quotePrefix="1" applyNumberFormat="1" applyFont="1" applyFill="1" applyBorder="1" applyAlignment="1">
      <alignment horizontal="left" vertical="top" wrapText="1"/>
    </xf>
    <xf numFmtId="168" fontId="14" fillId="0" borderId="0" xfId="0" applyNumberFormat="1" applyFont="1" applyFill="1" applyBorder="1" applyAlignment="1">
      <alignment horizontal="left" vertical="top" wrapText="1"/>
    </xf>
    <xf numFmtId="168" fontId="14" fillId="0" borderId="12" xfId="0" applyNumberFormat="1" applyFont="1" applyFill="1" applyBorder="1" applyAlignment="1">
      <alignment horizontal="left" vertical="top" wrapText="1"/>
    </xf>
    <xf numFmtId="168" fontId="14" fillId="0" borderId="15" xfId="0" applyNumberFormat="1" applyFont="1" applyFill="1" applyBorder="1" applyAlignment="1">
      <alignment horizontal="left" vertical="top" wrapText="1"/>
    </xf>
    <xf numFmtId="168" fontId="14" fillId="0" borderId="14" xfId="0" applyNumberFormat="1" applyFont="1" applyFill="1" applyBorder="1" applyAlignment="1">
      <alignment horizontal="left" vertical="top" wrapText="1"/>
    </xf>
    <xf numFmtId="0" fontId="12" fillId="32" borderId="16" xfId="0" applyFont="1" applyFill="1" applyBorder="1" applyAlignment="1">
      <alignment horizontal="center" wrapText="1"/>
    </xf>
    <xf numFmtId="0" fontId="12" fillId="32" borderId="20" xfId="0" applyFont="1" applyFill="1" applyBorder="1" applyAlignment="1">
      <alignment horizontal="center" wrapText="1"/>
    </xf>
    <xf numFmtId="0" fontId="12" fillId="32" borderId="15" xfId="0" applyFont="1" applyFill="1" applyBorder="1" applyAlignment="1">
      <alignment horizontal="center" wrapText="1"/>
    </xf>
    <xf numFmtId="0" fontId="12" fillId="32" borderId="17" xfId="0" applyFont="1" applyFill="1" applyBorder="1" applyAlignment="1">
      <alignment horizontal="center" wrapText="1"/>
    </xf>
    <xf numFmtId="0" fontId="14" fillId="0" borderId="14" xfId="0" applyFont="1" applyBorder="1" applyAlignment="1" applyProtection="1">
      <alignment horizontal="center"/>
      <protection locked="0"/>
    </xf>
    <xf numFmtId="10" fontId="12" fillId="34" borderId="18" xfId="0" applyNumberFormat="1" applyFont="1" applyFill="1" applyBorder="1" applyAlignment="1">
      <alignment horizontal="center" wrapText="1"/>
    </xf>
    <xf numFmtId="10" fontId="12" fillId="34" borderId="30" xfId="0" applyNumberFormat="1" applyFont="1" applyFill="1" applyBorder="1" applyAlignment="1">
      <alignment horizontal="center"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4" fillId="32" borderId="15" xfId="0" applyFont="1" applyFill="1" applyBorder="1" applyAlignment="1" applyProtection="1">
      <alignment horizontal="left"/>
    </xf>
    <xf numFmtId="0" fontId="14" fillId="32" borderId="14" xfId="0" applyFont="1" applyFill="1" applyBorder="1" applyAlignment="1" applyProtection="1">
      <alignment horizontal="left"/>
    </xf>
    <xf numFmtId="0" fontId="14" fillId="32" borderId="15" xfId="0" applyFont="1" applyFill="1" applyBorder="1" applyAlignment="1" applyProtection="1">
      <alignment horizontal="left"/>
      <protection locked="0"/>
    </xf>
    <xf numFmtId="0" fontId="14" fillId="32" borderId="14" xfId="0" applyFont="1" applyFill="1" applyBorder="1" applyAlignment="1" applyProtection="1">
      <alignment horizontal="left"/>
      <protection locked="0"/>
    </xf>
    <xf numFmtId="175" fontId="11" fillId="32" borderId="12" xfId="0" applyNumberFormat="1" applyFont="1" applyFill="1" applyBorder="1" applyAlignment="1">
      <alignment horizontal="center" vertical="center"/>
    </xf>
    <xf numFmtId="175" fontId="11" fillId="32" borderId="0" xfId="0" applyNumberFormat="1" applyFont="1" applyFill="1" applyBorder="1" applyAlignment="1">
      <alignment horizontal="center" vertical="center"/>
    </xf>
    <xf numFmtId="175" fontId="11" fillId="32" borderId="11" xfId="0" applyNumberFormat="1" applyFont="1" applyFill="1" applyBorder="1" applyAlignment="1">
      <alignment horizontal="center" vertical="center"/>
    </xf>
    <xf numFmtId="0" fontId="11" fillId="0" borderId="16"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6" fillId="29" borderId="16" xfId="0" applyFont="1" applyFill="1" applyBorder="1" applyAlignment="1">
      <alignment horizontal="center" vertical="center" wrapText="1"/>
    </xf>
    <xf numFmtId="0" fontId="16" fillId="29" borderId="20" xfId="0" applyFont="1" applyFill="1" applyBorder="1" applyAlignment="1">
      <alignment horizontal="center" vertical="center" wrapText="1"/>
    </xf>
    <xf numFmtId="168" fontId="16" fillId="29" borderId="15" xfId="0" applyNumberFormat="1" applyFont="1" applyFill="1" applyBorder="1" applyAlignment="1">
      <alignment horizontal="center" vertical="center" wrapText="1"/>
    </xf>
    <xf numFmtId="168" fontId="16" fillId="29" borderId="17" xfId="0" applyNumberFormat="1" applyFont="1" applyFill="1" applyBorder="1" applyAlignment="1">
      <alignment horizontal="center" vertical="center" wrapText="1"/>
    </xf>
    <xf numFmtId="1" fontId="12" fillId="0" borderId="18" xfId="0" applyNumberFormat="1" applyFont="1" applyFill="1" applyBorder="1" applyAlignment="1">
      <alignment horizontal="center" vertical="center"/>
    </xf>
    <xf numFmtId="1" fontId="12" fillId="0" borderId="30" xfId="0" applyNumberFormat="1" applyFont="1" applyFill="1" applyBorder="1" applyAlignment="1">
      <alignment horizontal="center" vertical="center"/>
    </xf>
    <xf numFmtId="168" fontId="16" fillId="29" borderId="12" xfId="0" applyNumberFormat="1" applyFont="1" applyFill="1" applyBorder="1" applyAlignment="1">
      <alignment horizontal="center" vertical="center" wrapText="1"/>
    </xf>
    <xf numFmtId="168" fontId="16" fillId="29" borderId="11" xfId="0" applyNumberFormat="1" applyFont="1" applyFill="1" applyBorder="1" applyAlignment="1">
      <alignment horizontal="center" vertical="center" wrapText="1"/>
    </xf>
    <xf numFmtId="169" fontId="12" fillId="0" borderId="16" xfId="0" applyNumberFormat="1" applyFont="1" applyBorder="1" applyAlignment="1" applyProtection="1">
      <alignment horizontal="center" vertical="center"/>
      <protection locked="0"/>
    </xf>
    <xf numFmtId="169" fontId="0" fillId="0" borderId="20" xfId="0" applyNumberFormat="1" applyBorder="1" applyAlignment="1" applyProtection="1">
      <alignment horizontal="center" vertical="center"/>
      <protection locked="0"/>
    </xf>
    <xf numFmtId="169" fontId="12" fillId="0" borderId="15" xfId="0" applyNumberFormat="1" applyFont="1" applyBorder="1" applyAlignment="1" applyProtection="1">
      <alignment horizontal="center" vertical="center"/>
      <protection locked="0"/>
    </xf>
    <xf numFmtId="169" fontId="0" fillId="0" borderId="17" xfId="0" applyNumberFormat="1" applyBorder="1" applyAlignment="1" applyProtection="1">
      <alignment horizontal="center" vertical="center"/>
      <protection locked="0"/>
    </xf>
    <xf numFmtId="169" fontId="12" fillId="32" borderId="16" xfId="0" applyNumberFormat="1" applyFont="1" applyFill="1" applyBorder="1" applyAlignment="1" applyProtection="1">
      <alignment horizontal="center" vertical="center"/>
    </xf>
    <xf numFmtId="0" fontId="0" fillId="32" borderId="20" xfId="0" applyFill="1" applyBorder="1" applyAlignment="1" applyProtection="1">
      <alignment vertical="center"/>
    </xf>
    <xf numFmtId="0" fontId="0" fillId="32" borderId="15" xfId="0" applyFill="1" applyBorder="1" applyAlignment="1" applyProtection="1">
      <alignment vertical="center"/>
    </xf>
    <xf numFmtId="0" fontId="0" fillId="32" borderId="17" xfId="0" applyFill="1" applyBorder="1" applyAlignment="1" applyProtection="1">
      <alignment vertical="center"/>
    </xf>
    <xf numFmtId="0" fontId="12" fillId="32" borderId="13" xfId="0" applyFont="1" applyFill="1" applyBorder="1" applyAlignment="1">
      <alignment horizontal="right" vertical="center"/>
    </xf>
    <xf numFmtId="0" fontId="12" fillId="32" borderId="20" xfId="0" applyFont="1" applyFill="1" applyBorder="1" applyAlignment="1">
      <alignment horizontal="right" vertical="center"/>
    </xf>
    <xf numFmtId="0" fontId="12" fillId="32" borderId="14" xfId="0" applyFont="1" applyFill="1" applyBorder="1" applyAlignment="1">
      <alignment horizontal="right" vertical="center"/>
    </xf>
    <xf numFmtId="0" fontId="12" fillId="32" borderId="17" xfId="0" applyFont="1" applyFill="1" applyBorder="1" applyAlignment="1">
      <alignment horizontal="right" vertical="center"/>
    </xf>
    <xf numFmtId="165" fontId="14" fillId="32" borderId="18" xfId="0" applyNumberFormat="1" applyFont="1" applyFill="1" applyBorder="1" applyAlignment="1">
      <alignment horizontal="right"/>
    </xf>
    <xf numFmtId="165" fontId="14" fillId="32" borderId="19" xfId="0" applyNumberFormat="1" applyFont="1" applyFill="1" applyBorder="1" applyAlignment="1">
      <alignment horizontal="right"/>
    </xf>
    <xf numFmtId="165" fontId="14" fillId="32" borderId="30" xfId="0" applyNumberFormat="1" applyFont="1" applyFill="1" applyBorder="1" applyAlignment="1">
      <alignment horizontal="right"/>
    </xf>
    <xf numFmtId="0" fontId="12" fillId="32" borderId="13" xfId="0" applyFont="1" applyFill="1" applyBorder="1" applyAlignment="1">
      <alignment horizontal="center" wrapText="1"/>
    </xf>
    <xf numFmtId="0" fontId="12" fillId="32" borderId="14" xfId="0" applyFont="1" applyFill="1" applyBorder="1" applyAlignment="1">
      <alignment horizontal="center" wrapText="1"/>
    </xf>
    <xf numFmtId="0" fontId="12" fillId="39" borderId="16" xfId="0" applyFont="1" applyFill="1" applyBorder="1" applyAlignment="1">
      <alignment horizontal="center" vertical="center"/>
    </xf>
    <xf numFmtId="0" fontId="6" fillId="39" borderId="13"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4" xfId="0" applyFont="1" applyFill="1" applyBorder="1" applyAlignment="1">
      <alignment horizontal="center" vertical="center"/>
    </xf>
    <xf numFmtId="0" fontId="12" fillId="0" borderId="14" xfId="0" applyFont="1" applyFill="1" applyBorder="1" applyAlignment="1" applyProtection="1">
      <alignment horizontal="left"/>
    </xf>
    <xf numFmtId="166" fontId="17" fillId="32" borderId="31" xfId="0" applyNumberFormat="1" applyFont="1" applyFill="1" applyBorder="1" applyAlignment="1" applyProtection="1">
      <alignment horizontal="left" vertical="center" indent="3"/>
    </xf>
    <xf numFmtId="166" fontId="17" fillId="32" borderId="32" xfId="0" applyNumberFormat="1" applyFont="1" applyFill="1" applyBorder="1" applyAlignment="1" applyProtection="1">
      <alignment horizontal="left" vertical="center" indent="3"/>
    </xf>
    <xf numFmtId="166" fontId="17" fillId="0" borderId="28" xfId="0" applyNumberFormat="1" applyFont="1" applyFill="1" applyBorder="1" applyAlignment="1" applyProtection="1">
      <alignment horizontal="left" vertical="center" indent="3"/>
      <protection locked="0"/>
    </xf>
    <xf numFmtId="166" fontId="17" fillId="0" borderId="29" xfId="0" applyNumberFormat="1" applyFont="1" applyFill="1" applyBorder="1" applyAlignment="1" applyProtection="1">
      <alignment horizontal="left" vertical="center" indent="3"/>
      <protection locked="0"/>
    </xf>
    <xf numFmtId="10" fontId="14" fillId="32" borderId="0" xfId="0" applyNumberFormat="1" applyFont="1" applyFill="1" applyBorder="1" applyAlignment="1">
      <alignment horizontal="center"/>
    </xf>
    <xf numFmtId="10" fontId="14" fillId="32" borderId="11" xfId="0" applyNumberFormat="1" applyFont="1" applyFill="1" applyBorder="1" applyAlignment="1">
      <alignment horizontal="center"/>
    </xf>
    <xf numFmtId="0" fontId="14" fillId="32" borderId="30" xfId="0" applyFont="1" applyFill="1" applyBorder="1" applyAlignment="1">
      <alignment horizontal="left"/>
    </xf>
    <xf numFmtId="0" fontId="14" fillId="32" borderId="22" xfId="0" applyFont="1" applyFill="1" applyBorder="1" applyAlignment="1">
      <alignment horizontal="left"/>
    </xf>
    <xf numFmtId="0" fontId="29" fillId="32" borderId="19" xfId="0" applyFont="1" applyFill="1" applyBorder="1" applyAlignment="1">
      <alignment horizontal="left"/>
    </xf>
    <xf numFmtId="0" fontId="29" fillId="32" borderId="67" xfId="0" applyFont="1" applyFill="1" applyBorder="1" applyAlignment="1">
      <alignment horizontal="left"/>
    </xf>
    <xf numFmtId="166" fontId="17" fillId="32" borderId="31" xfId="0" applyNumberFormat="1" applyFont="1" applyFill="1" applyBorder="1" applyAlignment="1" applyProtection="1">
      <alignment horizontal="left" vertical="center" indent="3"/>
      <protection locked="0"/>
    </xf>
    <xf numFmtId="166" fontId="17" fillId="32" borderId="32" xfId="0" applyNumberFormat="1" applyFont="1" applyFill="1" applyBorder="1" applyAlignment="1" applyProtection="1">
      <alignment horizontal="left" vertical="center" indent="3"/>
      <protection locked="0"/>
    </xf>
    <xf numFmtId="166" fontId="17" fillId="0" borderId="33" xfId="0" applyNumberFormat="1" applyFont="1" applyBorder="1" applyAlignment="1" applyProtection="1">
      <alignment horizontal="left" vertical="center" indent="3"/>
      <protection locked="0"/>
    </xf>
    <xf numFmtId="166" fontId="17" fillId="0" borderId="34" xfId="0" applyNumberFormat="1" applyFont="1" applyBorder="1" applyAlignment="1" applyProtection="1">
      <alignment horizontal="left" vertical="center" indent="3"/>
      <protection locked="0"/>
    </xf>
    <xf numFmtId="166" fontId="17" fillId="32" borderId="30" xfId="0" applyNumberFormat="1" applyFont="1" applyFill="1" applyBorder="1" applyAlignment="1" applyProtection="1">
      <alignment horizontal="left" vertical="center" indent="3"/>
      <protection locked="0"/>
    </xf>
    <xf numFmtId="166" fontId="17" fillId="39" borderId="31" xfId="0" applyNumberFormat="1" applyFont="1" applyFill="1" applyBorder="1" applyAlignment="1" applyProtection="1">
      <alignment horizontal="left" vertical="center" indent="3"/>
    </xf>
    <xf numFmtId="166" fontId="17" fillId="39" borderId="35" xfId="0" applyNumberFormat="1" applyFont="1" applyFill="1" applyBorder="1" applyAlignment="1" applyProtection="1">
      <alignment horizontal="left" vertical="center" indent="3"/>
    </xf>
    <xf numFmtId="166" fontId="17" fillId="0" borderId="19" xfId="0" applyNumberFormat="1" applyFont="1" applyBorder="1" applyAlignment="1" applyProtection="1">
      <alignment horizontal="left" vertical="center" indent="3"/>
      <protection locked="0"/>
    </xf>
    <xf numFmtId="166" fontId="17" fillId="39" borderId="46" xfId="0" applyNumberFormat="1" applyFont="1" applyFill="1" applyBorder="1" applyAlignment="1" applyProtection="1">
      <alignment horizontal="left" vertical="center" indent="3"/>
    </xf>
    <xf numFmtId="166" fontId="17" fillId="39" borderId="47" xfId="0" applyNumberFormat="1" applyFont="1" applyFill="1" applyBorder="1" applyAlignment="1" applyProtection="1">
      <alignment horizontal="left" vertical="center" indent="3"/>
    </xf>
    <xf numFmtId="10" fontId="85" fillId="34" borderId="43" xfId="0" applyNumberFormat="1" applyFont="1" applyFill="1" applyBorder="1" applyAlignment="1">
      <alignment horizontal="left" vertical="center" indent="3"/>
    </xf>
    <xf numFmtId="10" fontId="85" fillId="34" borderId="0" xfId="0" applyNumberFormat="1" applyFont="1" applyFill="1" applyBorder="1" applyAlignment="1">
      <alignment horizontal="left" vertical="center" indent="3"/>
    </xf>
    <xf numFmtId="166" fontId="17" fillId="32" borderId="31" xfId="0" applyNumberFormat="1" applyFont="1" applyFill="1" applyBorder="1" applyAlignment="1">
      <alignment horizontal="left" vertical="center" indent="3"/>
    </xf>
    <xf numFmtId="166" fontId="17" fillId="32" borderId="32" xfId="0" applyNumberFormat="1" applyFont="1" applyFill="1" applyBorder="1" applyAlignment="1">
      <alignment horizontal="left" vertical="center" indent="3"/>
    </xf>
    <xf numFmtId="10" fontId="17" fillId="32" borderId="31" xfId="0" applyNumberFormat="1" applyFont="1" applyFill="1" applyBorder="1" applyAlignment="1">
      <alignment horizontal="left" vertical="center" indent="3"/>
    </xf>
    <xf numFmtId="10" fontId="17" fillId="32" borderId="32" xfId="0" applyNumberFormat="1" applyFont="1" applyFill="1" applyBorder="1" applyAlignment="1">
      <alignment horizontal="left" vertical="center" indent="3"/>
    </xf>
    <xf numFmtId="10" fontId="17" fillId="0" borderId="0" xfId="0" applyNumberFormat="1" applyFont="1" applyFill="1" applyBorder="1" applyAlignment="1" applyProtection="1">
      <alignment horizontal="left" vertical="center" indent="3"/>
    </xf>
    <xf numFmtId="175" fontId="83" fillId="39" borderId="31" xfId="0" applyNumberFormat="1" applyFont="1" applyFill="1" applyBorder="1" applyAlignment="1">
      <alignment horizontal="center"/>
    </xf>
    <xf numFmtId="0" fontId="83" fillId="39" borderId="32" xfId="0" applyFont="1" applyFill="1" applyBorder="1" applyAlignment="1">
      <alignment horizontal="center"/>
    </xf>
    <xf numFmtId="175" fontId="84" fillId="34" borderId="43" xfId="0" applyNumberFormat="1" applyFont="1" applyFill="1" applyBorder="1" applyAlignment="1">
      <alignment horizontal="center"/>
    </xf>
    <xf numFmtId="0" fontId="84" fillId="34" borderId="0" xfId="0" applyFont="1" applyFill="1" applyBorder="1" applyAlignment="1">
      <alignment horizontal="center"/>
    </xf>
    <xf numFmtId="166" fontId="85" fillId="34" borderId="43" xfId="0" applyNumberFormat="1" applyFont="1" applyFill="1" applyBorder="1" applyAlignment="1">
      <alignment horizontal="left" vertical="center" indent="3"/>
    </xf>
    <xf numFmtId="166" fontId="85" fillId="34" borderId="0" xfId="0" applyNumberFormat="1" applyFont="1" applyFill="1" applyBorder="1" applyAlignment="1">
      <alignment horizontal="left" vertical="center" indent="3"/>
    </xf>
    <xf numFmtId="164" fontId="14" fillId="0" borderId="0" xfId="0" applyNumberFormat="1" applyFont="1" applyFill="1" applyBorder="1" applyAlignment="1">
      <alignment horizontal="right"/>
    </xf>
    <xf numFmtId="5" fontId="14" fillId="0" borderId="0" xfId="0" applyNumberFormat="1" applyFont="1" applyFill="1" applyBorder="1" applyAlignment="1" applyProtection="1">
      <alignment horizontal="right"/>
      <protection locked="0"/>
    </xf>
    <xf numFmtId="0" fontId="14" fillId="0" borderId="0" xfId="0" applyNumberFormat="1" applyFont="1" applyFill="1" applyBorder="1" applyAlignment="1">
      <alignment horizontal="right"/>
    </xf>
    <xf numFmtId="166" fontId="17" fillId="0" borderId="31" xfId="0" applyNumberFormat="1" applyFont="1" applyFill="1" applyBorder="1" applyAlignment="1">
      <alignment horizontal="left" vertical="center" indent="3"/>
    </xf>
    <xf numFmtId="166" fontId="17" fillId="0" borderId="32" xfId="0" applyNumberFormat="1" applyFont="1" applyFill="1" applyBorder="1" applyAlignment="1">
      <alignment horizontal="left" vertical="center" indent="3"/>
    </xf>
    <xf numFmtId="0" fontId="14" fillId="32" borderId="15" xfId="0" applyFont="1" applyFill="1" applyBorder="1" applyAlignment="1">
      <alignment horizontal="center"/>
    </xf>
    <xf numFmtId="0" fontId="14" fillId="32" borderId="14" xfId="0" applyFont="1" applyFill="1" applyBorder="1" applyAlignment="1">
      <alignment horizontal="center"/>
    </xf>
    <xf numFmtId="0" fontId="14" fillId="32" borderId="17" xfId="0" applyFont="1" applyFill="1" applyBorder="1" applyAlignment="1">
      <alignment horizontal="center"/>
    </xf>
    <xf numFmtId="166" fontId="17" fillId="39" borderId="32" xfId="0" applyNumberFormat="1" applyFont="1" applyFill="1" applyBorder="1" applyAlignment="1" applyProtection="1">
      <alignment horizontal="left" vertical="center" indent="3"/>
    </xf>
    <xf numFmtId="9" fontId="12" fillId="32" borderId="12" xfId="0" applyNumberFormat="1" applyFont="1" applyFill="1" applyBorder="1" applyAlignment="1">
      <alignment horizontal="right"/>
    </xf>
    <xf numFmtId="9" fontId="12" fillId="32" borderId="0" xfId="0" applyNumberFormat="1" applyFont="1" applyFill="1" applyBorder="1" applyAlignment="1">
      <alignment horizontal="right"/>
    </xf>
    <xf numFmtId="9" fontId="12" fillId="32" borderId="15" xfId="0" applyNumberFormat="1" applyFont="1" applyFill="1" applyBorder="1" applyAlignment="1">
      <alignment horizontal="right"/>
    </xf>
    <xf numFmtId="9" fontId="12" fillId="32" borderId="14" xfId="0" applyNumberFormat="1" applyFont="1" applyFill="1" applyBorder="1" applyAlignment="1">
      <alignment horizontal="right"/>
    </xf>
    <xf numFmtId="0" fontId="14" fillId="32" borderId="14" xfId="0" applyFont="1" applyFill="1" applyBorder="1" applyAlignment="1">
      <alignment horizontal="right"/>
    </xf>
    <xf numFmtId="167" fontId="17" fillId="0" borderId="0" xfId="0" applyNumberFormat="1" applyFont="1" applyFill="1" applyBorder="1" applyAlignment="1">
      <alignment horizontal="center"/>
    </xf>
    <xf numFmtId="166" fontId="17" fillId="39" borderId="31" xfId="0" applyNumberFormat="1" applyFont="1" applyFill="1" applyBorder="1" applyAlignment="1" applyProtection="1">
      <alignment horizontal="left" vertical="center" indent="3"/>
      <protection locked="0"/>
    </xf>
    <xf numFmtId="166" fontId="17" fillId="39" borderId="32" xfId="0" applyNumberFormat="1" applyFont="1" applyFill="1" applyBorder="1" applyAlignment="1" applyProtection="1">
      <alignment horizontal="left" vertical="center" indent="3"/>
      <protection locked="0"/>
    </xf>
    <xf numFmtId="166" fontId="16" fillId="29" borderId="18" xfId="0" applyNumberFormat="1" applyFont="1" applyFill="1" applyBorder="1" applyAlignment="1" applyProtection="1">
      <alignment horizontal="center"/>
    </xf>
    <xf numFmtId="166" fontId="16" fillId="29" borderId="30" xfId="0" applyNumberFormat="1" applyFont="1" applyFill="1" applyBorder="1" applyAlignment="1" applyProtection="1">
      <alignment horizontal="center"/>
    </xf>
    <xf numFmtId="166" fontId="16" fillId="29" borderId="22" xfId="0" applyNumberFormat="1" applyFont="1" applyFill="1" applyBorder="1" applyAlignment="1" applyProtection="1">
      <alignment horizontal="center"/>
    </xf>
    <xf numFmtId="0" fontId="89" fillId="41" borderId="16" xfId="0" applyFont="1" applyFill="1" applyBorder="1" applyAlignment="1">
      <alignment horizontal="center" vertical="center" wrapText="1"/>
    </xf>
    <xf numFmtId="0" fontId="89" fillId="41" borderId="13" xfId="0" applyFont="1" applyFill="1" applyBorder="1" applyAlignment="1">
      <alignment horizontal="center" vertical="center" wrapText="1"/>
    </xf>
    <xf numFmtId="0" fontId="89" fillId="41" borderId="12" xfId="0" applyFont="1" applyFill="1" applyBorder="1" applyAlignment="1">
      <alignment horizontal="center" vertical="center" wrapText="1"/>
    </xf>
    <xf numFmtId="0" fontId="89" fillId="41" borderId="0" xfId="0" applyFont="1" applyFill="1" applyBorder="1" applyAlignment="1">
      <alignment horizontal="center" vertical="center" wrapText="1"/>
    </xf>
    <xf numFmtId="168" fontId="90" fillId="41" borderId="12" xfId="0" quotePrefix="1" applyNumberFormat="1" applyFont="1" applyFill="1" applyBorder="1" applyAlignment="1">
      <alignment horizontal="left" vertical="center" wrapText="1"/>
    </xf>
    <xf numFmtId="168" fontId="90" fillId="41" borderId="0" xfId="0" applyNumberFormat="1" applyFont="1" applyFill="1" applyBorder="1" applyAlignment="1">
      <alignment horizontal="left" vertical="center" wrapText="1"/>
    </xf>
    <xf numFmtId="168" fontId="87" fillId="41" borderId="0" xfId="0" applyNumberFormat="1" applyFont="1" applyFill="1" applyBorder="1" applyAlignment="1">
      <alignment horizontal="left" vertical="center" wrapText="1"/>
    </xf>
    <xf numFmtId="168" fontId="90" fillId="41" borderId="12" xfId="0" applyNumberFormat="1" applyFont="1" applyFill="1" applyBorder="1" applyAlignment="1">
      <alignment horizontal="left" vertical="center" wrapText="1"/>
    </xf>
    <xf numFmtId="168" fontId="90" fillId="41" borderId="15" xfId="0" applyNumberFormat="1" applyFont="1" applyFill="1" applyBorder="1" applyAlignment="1">
      <alignment horizontal="left" vertical="center" wrapText="1"/>
    </xf>
    <xf numFmtId="168" fontId="90" fillId="41" borderId="14" xfId="0" applyNumberFormat="1" applyFont="1" applyFill="1" applyBorder="1" applyAlignment="1">
      <alignment horizontal="left" vertical="center" wrapText="1"/>
    </xf>
    <xf numFmtId="168" fontId="87" fillId="41" borderId="14" xfId="0" applyNumberFormat="1" applyFont="1" applyFill="1" applyBorder="1" applyAlignment="1">
      <alignment horizontal="left" vertical="center" wrapText="1"/>
    </xf>
    <xf numFmtId="10" fontId="17" fillId="32" borderId="13" xfId="0" applyNumberFormat="1" applyFont="1" applyFill="1" applyBorder="1" applyAlignment="1" applyProtection="1">
      <alignment horizontal="left"/>
    </xf>
    <xf numFmtId="166" fontId="17" fillId="39" borderId="18" xfId="0" applyNumberFormat="1" applyFont="1" applyFill="1" applyBorder="1" applyAlignment="1" applyProtection="1">
      <alignment horizontal="left" vertical="center" indent="3"/>
    </xf>
    <xf numFmtId="166" fontId="17" fillId="39" borderId="19" xfId="0" applyNumberFormat="1" applyFont="1" applyFill="1" applyBorder="1" applyAlignment="1" applyProtection="1">
      <alignment horizontal="left" vertical="center" indent="3"/>
    </xf>
    <xf numFmtId="166" fontId="17" fillId="0" borderId="24" xfId="0" applyNumberFormat="1" applyFont="1" applyBorder="1" applyAlignment="1" applyProtection="1">
      <alignment horizontal="left" vertical="center" indent="3"/>
    </xf>
    <xf numFmtId="166" fontId="85" fillId="0" borderId="43" xfId="0" applyNumberFormat="1" applyFont="1" applyFill="1" applyBorder="1" applyAlignment="1">
      <alignment horizontal="left" vertical="center" indent="3"/>
    </xf>
    <xf numFmtId="166" fontId="85" fillId="0" borderId="0" xfId="0" applyNumberFormat="1" applyFont="1" applyFill="1" applyBorder="1" applyAlignment="1">
      <alignment horizontal="left" vertical="center" indent="3"/>
    </xf>
    <xf numFmtId="166" fontId="17" fillId="32" borderId="16" xfId="0" applyNumberFormat="1" applyFont="1" applyFill="1" applyBorder="1" applyAlignment="1" applyProtection="1">
      <alignment horizontal="left" vertical="center" indent="3"/>
      <protection locked="0"/>
    </xf>
    <xf numFmtId="166" fontId="17" fillId="32" borderId="20" xfId="0" applyNumberFormat="1" applyFont="1" applyFill="1" applyBorder="1" applyAlignment="1" applyProtection="1">
      <alignment horizontal="left" vertical="center" indent="3"/>
      <protection locked="0"/>
    </xf>
    <xf numFmtId="166" fontId="17" fillId="0" borderId="22" xfId="0" applyNumberFormat="1" applyFont="1" applyBorder="1" applyAlignment="1" applyProtection="1">
      <alignment horizontal="left" vertical="center" indent="3"/>
    </xf>
    <xf numFmtId="0" fontId="12" fillId="32" borderId="15" xfId="0" applyFont="1" applyFill="1" applyBorder="1" applyAlignment="1">
      <alignment horizontal="center" vertical="center" wrapText="1"/>
    </xf>
    <xf numFmtId="0" fontId="12" fillId="32" borderId="17" xfId="0" applyFont="1" applyFill="1" applyBorder="1" applyAlignment="1">
      <alignment horizontal="center" vertical="center" wrapText="1"/>
    </xf>
    <xf numFmtId="169" fontId="12" fillId="32" borderId="16" xfId="0" applyNumberFormat="1" applyFont="1" applyFill="1" applyBorder="1" applyAlignment="1">
      <alignment horizontal="center" vertical="center"/>
    </xf>
    <xf numFmtId="169" fontId="0" fillId="32" borderId="20" xfId="0" applyNumberFormat="1" applyFill="1" applyBorder="1" applyAlignment="1">
      <alignment horizontal="center" vertical="center"/>
    </xf>
    <xf numFmtId="169" fontId="12" fillId="32" borderId="15" xfId="0" applyNumberFormat="1" applyFont="1" applyFill="1" applyBorder="1" applyAlignment="1">
      <alignment horizontal="center" vertical="center"/>
    </xf>
    <xf numFmtId="169" fontId="0" fillId="32" borderId="17" xfId="0" applyNumberFormat="1" applyFill="1" applyBorder="1" applyAlignment="1">
      <alignment horizontal="center" vertical="center"/>
    </xf>
    <xf numFmtId="0" fontId="12" fillId="32" borderId="19" xfId="0" applyFont="1" applyFill="1" applyBorder="1" applyAlignment="1" applyProtection="1"/>
    <xf numFmtId="0" fontId="6" fillId="32" borderId="19" xfId="0" applyFont="1" applyFill="1" applyBorder="1" applyAlignment="1"/>
    <xf numFmtId="0" fontId="6" fillId="32" borderId="30" xfId="0" applyFont="1" applyFill="1" applyBorder="1" applyAlignment="1"/>
    <xf numFmtId="0" fontId="12" fillId="0" borderId="48" xfId="0" applyFont="1" applyBorder="1" applyAlignment="1" applyProtection="1">
      <alignment horizontal="center"/>
      <protection locked="0"/>
    </xf>
    <xf numFmtId="0" fontId="12" fillId="0" borderId="49" xfId="0" applyFont="1" applyBorder="1" applyAlignment="1" applyProtection="1">
      <alignment horizontal="center"/>
      <protection locked="0"/>
    </xf>
    <xf numFmtId="0" fontId="12" fillId="0" borderId="50" xfId="0" applyFont="1" applyBorder="1" applyAlignment="1" applyProtection="1">
      <alignment horizontal="center"/>
      <protection locked="0"/>
    </xf>
    <xf numFmtId="166" fontId="17" fillId="39" borderId="30" xfId="0" applyNumberFormat="1" applyFont="1" applyFill="1" applyBorder="1" applyAlignment="1" applyProtection="1">
      <alignment horizontal="left" vertical="center" indent="3"/>
    </xf>
    <xf numFmtId="166" fontId="17" fillId="0" borderId="16" xfId="0" applyNumberFormat="1" applyFont="1" applyBorder="1" applyAlignment="1" applyProtection="1">
      <alignment horizontal="left" vertical="center" indent="3"/>
      <protection locked="0"/>
    </xf>
    <xf numFmtId="166" fontId="17" fillId="0" borderId="20" xfId="0" applyNumberFormat="1" applyFont="1" applyBorder="1" applyAlignment="1" applyProtection="1">
      <alignment horizontal="left" vertical="center" indent="3"/>
      <protection locked="0"/>
    </xf>
    <xf numFmtId="175" fontId="84" fillId="0" borderId="43" xfId="0" applyNumberFormat="1" applyFont="1" applyFill="1" applyBorder="1" applyAlignment="1">
      <alignment horizontal="center"/>
    </xf>
    <xf numFmtId="0" fontId="84" fillId="0" borderId="0" xfId="0" applyFont="1" applyFill="1" applyBorder="1" applyAlignment="1">
      <alignment horizontal="center"/>
    </xf>
    <xf numFmtId="166" fontId="17" fillId="32" borderId="51" xfId="0" applyNumberFormat="1" applyFont="1" applyFill="1" applyBorder="1" applyAlignment="1" applyProtection="1">
      <alignment horizontal="center" vertical="center"/>
    </xf>
    <xf numFmtId="10" fontId="85" fillId="0" borderId="43" xfId="0" applyNumberFormat="1" applyFont="1" applyFill="1" applyBorder="1" applyAlignment="1">
      <alignment horizontal="left" vertical="center" indent="3"/>
    </xf>
    <xf numFmtId="10" fontId="85" fillId="0" borderId="0" xfId="0" applyNumberFormat="1" applyFont="1" applyFill="1" applyBorder="1" applyAlignment="1">
      <alignment horizontal="left" vertical="center" indent="3"/>
    </xf>
    <xf numFmtId="168" fontId="65" fillId="0" borderId="0" xfId="0" applyNumberFormat="1" applyFont="1" applyFill="1" applyBorder="1" applyAlignment="1">
      <alignment horizontal="center" vertical="center" wrapText="1"/>
    </xf>
    <xf numFmtId="168" fontId="65" fillId="0" borderId="12" xfId="0" applyNumberFormat="1" applyFont="1" applyFill="1" applyBorder="1" applyAlignment="1">
      <alignment horizontal="center" vertical="center" wrapText="1"/>
    </xf>
    <xf numFmtId="168" fontId="65" fillId="0" borderId="15" xfId="0" applyNumberFormat="1" applyFont="1" applyFill="1" applyBorder="1" applyAlignment="1">
      <alignment horizontal="center" vertical="center" wrapText="1"/>
    </xf>
    <xf numFmtId="168" fontId="65" fillId="0" borderId="14" xfId="0" applyNumberFormat="1" applyFont="1" applyFill="1" applyBorder="1" applyAlignment="1">
      <alignment horizontal="center" vertical="center" wrapText="1"/>
    </xf>
    <xf numFmtId="0" fontId="6" fillId="39" borderId="20" xfId="0" applyFont="1" applyFill="1" applyBorder="1" applyAlignment="1">
      <alignment horizontal="center" vertical="center"/>
    </xf>
    <xf numFmtId="0" fontId="6" fillId="39" borderId="17" xfId="0" applyFont="1" applyFill="1" applyBorder="1" applyAlignment="1">
      <alignment horizontal="center" vertical="center"/>
    </xf>
    <xf numFmtId="1" fontId="12" fillId="32" borderId="18" xfId="0" applyNumberFormat="1" applyFont="1" applyFill="1" applyBorder="1" applyAlignment="1">
      <alignment horizontal="center" vertical="center"/>
    </xf>
    <xf numFmtId="1" fontId="12" fillId="32" borderId="30" xfId="0" applyNumberFormat="1" applyFont="1" applyFill="1" applyBorder="1" applyAlignment="1">
      <alignment horizontal="center" vertical="center"/>
    </xf>
    <xf numFmtId="10" fontId="12" fillId="32" borderId="18" xfId="0" applyNumberFormat="1" applyFont="1" applyFill="1" applyBorder="1" applyAlignment="1">
      <alignment horizontal="center" wrapText="1"/>
    </xf>
    <xf numFmtId="10" fontId="12" fillId="32" borderId="30" xfId="0" applyNumberFormat="1" applyFont="1" applyFill="1" applyBorder="1" applyAlignment="1">
      <alignment horizontal="center" wrapText="1"/>
    </xf>
    <xf numFmtId="0" fontId="11" fillId="32" borderId="16" xfId="0" applyFont="1" applyFill="1" applyBorder="1" applyAlignment="1" applyProtection="1">
      <alignment horizontal="center" vertical="center" wrapText="1"/>
    </xf>
    <xf numFmtId="0" fontId="11" fillId="32" borderId="13" xfId="0" applyFont="1" applyFill="1" applyBorder="1" applyAlignment="1" applyProtection="1">
      <alignment horizontal="center" vertical="center" wrapText="1"/>
    </xf>
    <xf numFmtId="0" fontId="11" fillId="32" borderId="20" xfId="0" applyFont="1" applyFill="1" applyBorder="1" applyAlignment="1" applyProtection="1">
      <alignment horizontal="center" vertical="center" wrapText="1"/>
    </xf>
    <xf numFmtId="0" fontId="11" fillId="32" borderId="12" xfId="0" applyFont="1" applyFill="1" applyBorder="1" applyAlignment="1" applyProtection="1">
      <alignment horizontal="center" vertical="center" wrapText="1"/>
    </xf>
    <xf numFmtId="0" fontId="11" fillId="32" borderId="0" xfId="0" applyFont="1" applyFill="1" applyBorder="1" applyAlignment="1" applyProtection="1">
      <alignment horizontal="center" vertical="center" wrapText="1"/>
    </xf>
    <xf numFmtId="0" fontId="11" fillId="32" borderId="11" xfId="0" applyFont="1" applyFill="1" applyBorder="1" applyAlignment="1" applyProtection="1">
      <alignment horizontal="center" vertical="center" wrapText="1"/>
    </xf>
    <xf numFmtId="0" fontId="14" fillId="32" borderId="14" xfId="0" applyFont="1" applyFill="1" applyBorder="1" applyAlignment="1" applyProtection="1">
      <alignment horizontal="center"/>
      <protection locked="0"/>
    </xf>
    <xf numFmtId="166" fontId="17" fillId="0" borderId="18" xfId="0" applyNumberFormat="1" applyFont="1" applyFill="1" applyBorder="1" applyAlignment="1" applyProtection="1">
      <alignment horizontal="left" vertical="center" indent="3"/>
    </xf>
    <xf numFmtId="166" fontId="17" fillId="0" borderId="30" xfId="0" applyNumberFormat="1" applyFont="1" applyBorder="1" applyAlignment="1" applyProtection="1">
      <alignment horizontal="left" vertical="center" indent="3"/>
    </xf>
    <xf numFmtId="166" fontId="17" fillId="32" borderId="22" xfId="0" applyNumberFormat="1" applyFont="1" applyFill="1" applyBorder="1" applyAlignment="1" applyProtection="1">
      <alignment horizontal="left" vertical="center" indent="3"/>
    </xf>
    <xf numFmtId="175" fontId="11" fillId="32" borderId="12" xfId="0" applyNumberFormat="1" applyFont="1" applyFill="1" applyBorder="1" applyAlignment="1" applyProtection="1">
      <alignment horizontal="center" vertical="center"/>
    </xf>
    <xf numFmtId="175" fontId="11" fillId="32" borderId="0" xfId="0" applyNumberFormat="1" applyFont="1" applyFill="1" applyBorder="1" applyAlignment="1" applyProtection="1">
      <alignment horizontal="center" vertical="center"/>
    </xf>
    <xf numFmtId="175" fontId="11" fillId="32" borderId="11" xfId="0" applyNumberFormat="1" applyFont="1" applyFill="1" applyBorder="1" applyAlignment="1" applyProtection="1">
      <alignment horizontal="center" vertical="center"/>
    </xf>
    <xf numFmtId="166" fontId="17" fillId="0" borderId="18" xfId="0" applyNumberFormat="1" applyFont="1" applyBorder="1" applyAlignment="1" applyProtection="1">
      <alignment horizontal="left" vertical="center" indent="3"/>
    </xf>
    <xf numFmtId="169" fontId="0" fillId="32" borderId="20" xfId="0" applyNumberFormat="1" applyFill="1" applyBorder="1" applyAlignment="1" applyProtection="1">
      <alignment horizontal="center" vertical="center"/>
    </xf>
    <xf numFmtId="169" fontId="12" fillId="32" borderId="15" xfId="0" applyNumberFormat="1" applyFont="1" applyFill="1" applyBorder="1" applyAlignment="1" applyProtection="1">
      <alignment horizontal="center" vertical="center"/>
    </xf>
    <xf numFmtId="169" fontId="0" fillId="32" borderId="17" xfId="0" applyNumberFormat="1" applyFill="1" applyBorder="1" applyAlignment="1" applyProtection="1">
      <alignment horizontal="center" vertical="center"/>
    </xf>
    <xf numFmtId="0" fontId="12" fillId="32" borderId="15" xfId="0" applyNumberFormat="1" applyFont="1" applyFill="1" applyBorder="1" applyAlignment="1">
      <alignment horizontal="right"/>
    </xf>
    <xf numFmtId="0" fontId="12" fillId="32" borderId="14" xfId="0" applyNumberFormat="1" applyFont="1" applyFill="1" applyBorder="1" applyAlignment="1">
      <alignment horizontal="right"/>
    </xf>
    <xf numFmtId="166" fontId="17" fillId="32" borderId="28" xfId="0" applyNumberFormat="1" applyFont="1" applyFill="1" applyBorder="1" applyAlignment="1" applyProtection="1">
      <alignment horizontal="left" vertical="center" indent="3"/>
      <protection locked="0"/>
    </xf>
    <xf numFmtId="166" fontId="17" fillId="32" borderId="29" xfId="0" applyNumberFormat="1" applyFont="1" applyFill="1" applyBorder="1" applyAlignment="1" applyProtection="1">
      <alignment horizontal="left" vertical="center" indent="3"/>
      <protection locked="0"/>
    </xf>
    <xf numFmtId="166" fontId="17" fillId="32" borderId="33" xfId="0" applyNumberFormat="1" applyFont="1" applyFill="1" applyBorder="1" applyAlignment="1" applyProtection="1">
      <alignment horizontal="left" vertical="center" indent="3"/>
      <protection locked="0"/>
    </xf>
    <xf numFmtId="166" fontId="17" fillId="32" borderId="34" xfId="0" applyNumberFormat="1" applyFont="1" applyFill="1" applyBorder="1" applyAlignment="1" applyProtection="1">
      <alignment horizontal="left" vertical="center" indent="3"/>
      <protection locked="0"/>
    </xf>
    <xf numFmtId="0" fontId="11" fillId="32" borderId="12" xfId="0" applyFont="1" applyFill="1" applyBorder="1" applyAlignment="1" applyProtection="1">
      <alignment horizontal="center" vertical="center"/>
    </xf>
    <xf numFmtId="0" fontId="11" fillId="32" borderId="0" xfId="0" applyFont="1" applyFill="1" applyBorder="1" applyAlignment="1" applyProtection="1">
      <alignment horizontal="center" vertical="center"/>
    </xf>
    <xf numFmtId="0" fontId="11" fillId="32" borderId="11" xfId="0" applyFont="1" applyFill="1" applyBorder="1" applyAlignment="1" applyProtection="1">
      <alignment horizontal="center" vertical="center"/>
    </xf>
    <xf numFmtId="0" fontId="12" fillId="32" borderId="19" xfId="0" applyNumberFormat="1" applyFont="1" applyFill="1" applyBorder="1" applyAlignment="1" applyProtection="1"/>
    <xf numFmtId="0" fontId="6" fillId="32" borderId="19" xfId="0" applyNumberFormat="1" applyFont="1" applyFill="1" applyBorder="1" applyAlignment="1" applyProtection="1"/>
    <xf numFmtId="0" fontId="6" fillId="32" borderId="30" xfId="0" applyNumberFormat="1" applyFont="1" applyFill="1" applyBorder="1" applyAlignment="1" applyProtection="1"/>
    <xf numFmtId="166" fontId="17" fillId="32" borderId="25" xfId="0" applyNumberFormat="1" applyFont="1" applyFill="1" applyBorder="1" applyAlignment="1" applyProtection="1">
      <alignment horizontal="left" vertical="center" indent="3"/>
    </xf>
    <xf numFmtId="166" fontId="17" fillId="32" borderId="27" xfId="0" applyNumberFormat="1" applyFont="1" applyFill="1" applyBorder="1" applyAlignment="1" applyProtection="1">
      <alignment horizontal="left" vertical="center" indent="3"/>
    </xf>
    <xf numFmtId="166" fontId="17" fillId="32" borderId="33" xfId="0" applyNumberFormat="1" applyFont="1" applyFill="1" applyBorder="1" applyAlignment="1" applyProtection="1">
      <alignment horizontal="left" vertical="center" indent="3"/>
    </xf>
    <xf numFmtId="166" fontId="17" fillId="32" borderId="34" xfId="0" applyNumberFormat="1" applyFont="1" applyFill="1" applyBorder="1" applyAlignment="1" applyProtection="1">
      <alignment horizontal="left" vertical="center" indent="3"/>
    </xf>
    <xf numFmtId="1" fontId="12" fillId="32" borderId="18" xfId="0" applyNumberFormat="1" applyFont="1" applyFill="1" applyBorder="1" applyAlignment="1">
      <alignment horizontal="center" vertical="center" wrapText="1"/>
    </xf>
    <xf numFmtId="0" fontId="12" fillId="32" borderId="30" xfId="0" applyFont="1" applyFill="1" applyBorder="1" applyAlignment="1">
      <alignment horizontal="center" vertical="center" wrapText="1"/>
    </xf>
    <xf numFmtId="0" fontId="24"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center" wrapText="1"/>
    </xf>
    <xf numFmtId="0" fontId="56" fillId="0" borderId="0" xfId="0" applyFont="1" applyAlignment="1">
      <alignment horizontal="left" wrapText="1"/>
    </xf>
    <xf numFmtId="0" fontId="66" fillId="0" borderId="31" xfId="0" applyFont="1" applyBorder="1" applyAlignment="1">
      <alignment horizontal="left" vertical="center"/>
    </xf>
    <xf numFmtId="0" fontId="66" fillId="0" borderId="35" xfId="0" applyFont="1" applyBorder="1" applyAlignment="1">
      <alignment horizontal="left" vertical="center"/>
    </xf>
    <xf numFmtId="0" fontId="66" fillId="0" borderId="32" xfId="0" applyFont="1" applyBorder="1" applyAlignment="1">
      <alignment horizontal="left" vertical="center"/>
    </xf>
    <xf numFmtId="0" fontId="66" fillId="0" borderId="44" xfId="0" applyFont="1" applyBorder="1" applyAlignment="1">
      <alignment horizontal="left" vertical="center" wrapText="1"/>
    </xf>
    <xf numFmtId="0" fontId="66" fillId="0" borderId="26" xfId="0" applyFont="1" applyBorder="1" applyAlignment="1">
      <alignment horizontal="left" vertical="center" wrapText="1"/>
    </xf>
    <xf numFmtId="0" fontId="66" fillId="0" borderId="45" xfId="0" applyFont="1" applyBorder="1" applyAlignment="1">
      <alignment horizontal="left" vertical="center" wrapText="1"/>
    </xf>
    <xf numFmtId="0" fontId="66" fillId="0" borderId="43" xfId="0" applyFont="1" applyBorder="1" applyAlignment="1">
      <alignment horizontal="left" vertical="center" wrapText="1"/>
    </xf>
    <xf numFmtId="0" fontId="66" fillId="0" borderId="0" xfId="0" applyFont="1" applyBorder="1" applyAlignment="1">
      <alignment horizontal="left" vertical="center" wrapText="1"/>
    </xf>
    <xf numFmtId="0" fontId="66" fillId="0" borderId="54" xfId="0" applyFont="1" applyBorder="1" applyAlignment="1">
      <alignment horizontal="left" vertical="center" wrapText="1"/>
    </xf>
    <xf numFmtId="0" fontId="66" fillId="0" borderId="46" xfId="0" applyFont="1" applyBorder="1" applyAlignment="1">
      <alignment horizontal="left" vertical="center" wrapText="1"/>
    </xf>
    <xf numFmtId="0" fontId="66" fillId="0" borderId="23" xfId="0" applyFont="1" applyBorder="1" applyAlignment="1">
      <alignment horizontal="left" vertical="center" wrapText="1"/>
    </xf>
    <xf numFmtId="0" fontId="66" fillId="0" borderId="47" xfId="0" applyFont="1" applyBorder="1" applyAlignment="1">
      <alignment horizontal="left" vertical="center" wrapText="1"/>
    </xf>
    <xf numFmtId="0" fontId="86" fillId="0" borderId="0" xfId="0" applyFont="1" applyAlignment="1">
      <alignment horizontal="center" vertical="center" wrapText="1"/>
    </xf>
    <xf numFmtId="0" fontId="26" fillId="0" borderId="0" xfId="0" applyFont="1" applyAlignment="1">
      <alignment horizontal="center" vertical="center" wrapText="1"/>
    </xf>
    <xf numFmtId="0" fontId="88" fillId="0" borderId="0" xfId="0" applyFont="1" applyAlignment="1">
      <alignment horizontal="center" vertical="center" wrapText="1"/>
    </xf>
    <xf numFmtId="0" fontId="88" fillId="0" borderId="54" xfId="0" applyFont="1" applyBorder="1" applyAlignment="1">
      <alignment horizontal="center" vertical="center" wrapText="1"/>
    </xf>
    <xf numFmtId="0" fontId="16" fillId="0" borderId="0" xfId="0" applyFont="1" applyFill="1" applyBorder="1" applyAlignment="1">
      <alignment horizontal="center"/>
    </xf>
    <xf numFmtId="0" fontId="101" fillId="35" borderId="31" xfId="0" applyFont="1" applyFill="1" applyBorder="1" applyAlignment="1">
      <alignment horizontal="center"/>
    </xf>
    <xf numFmtId="0" fontId="101" fillId="35" borderId="32" xfId="0" applyFont="1" applyFill="1" applyBorder="1" applyAlignment="1">
      <alignment horizontal="center"/>
    </xf>
    <xf numFmtId="166" fontId="15" fillId="29" borderId="18" xfId="0" applyNumberFormat="1" applyFont="1" applyFill="1" applyBorder="1" applyAlignment="1" applyProtection="1">
      <alignment horizontal="center" vertical="center"/>
      <protection locked="0"/>
    </xf>
    <xf numFmtId="166" fontId="15" fillId="29" borderId="30" xfId="0" applyNumberFormat="1" applyFont="1" applyFill="1" applyBorder="1" applyAlignment="1" applyProtection="1">
      <alignment horizontal="center" vertical="center"/>
      <protection locked="0"/>
    </xf>
    <xf numFmtId="166" fontId="101" fillId="29" borderId="121" xfId="0" applyNumberFormat="1" applyFont="1" applyFill="1" applyBorder="1" applyAlignment="1" applyProtection="1">
      <alignment horizontal="center" vertical="center"/>
      <protection locked="0"/>
    </xf>
    <xf numFmtId="166" fontId="101" fillId="29" borderId="100" xfId="0" applyNumberFormat="1" applyFont="1" applyFill="1" applyBorder="1" applyAlignment="1" applyProtection="1">
      <alignment horizontal="center" vertical="center"/>
      <protection locked="0"/>
    </xf>
    <xf numFmtId="166" fontId="15" fillId="29" borderId="15" xfId="0" applyNumberFormat="1" applyFont="1" applyFill="1" applyBorder="1" applyAlignment="1" applyProtection="1">
      <alignment horizontal="center" vertical="center"/>
      <protection locked="0"/>
    </xf>
    <xf numFmtId="166" fontId="15" fillId="29" borderId="17" xfId="0" applyNumberFormat="1" applyFont="1" applyFill="1" applyBorder="1" applyAlignment="1" applyProtection="1">
      <alignment horizontal="center" vertical="center"/>
      <protection locked="0"/>
    </xf>
    <xf numFmtId="166" fontId="15" fillId="35" borderId="18" xfId="0" applyNumberFormat="1" applyFont="1" applyFill="1" applyBorder="1" applyAlignment="1" applyProtection="1">
      <alignment horizontal="center" vertical="center"/>
      <protection locked="0"/>
    </xf>
    <xf numFmtId="166" fontId="15" fillId="35" borderId="30" xfId="0" applyNumberFormat="1" applyFont="1" applyFill="1" applyBorder="1" applyAlignment="1" applyProtection="1">
      <alignment horizontal="center" vertical="center"/>
      <protection locked="0"/>
    </xf>
    <xf numFmtId="166" fontId="15" fillId="35" borderId="15" xfId="0" applyNumberFormat="1" applyFont="1" applyFill="1" applyBorder="1" applyAlignment="1" applyProtection="1">
      <alignment horizontal="center" vertical="center"/>
      <protection locked="0"/>
    </xf>
    <xf numFmtId="166" fontId="15" fillId="35" borderId="17" xfId="0" applyNumberFormat="1" applyFont="1" applyFill="1" applyBorder="1" applyAlignment="1" applyProtection="1">
      <alignment horizontal="center" vertical="center"/>
      <protection locked="0"/>
    </xf>
    <xf numFmtId="166" fontId="101" fillId="35" borderId="121" xfId="0" applyNumberFormat="1" applyFont="1" applyFill="1" applyBorder="1" applyAlignment="1" applyProtection="1">
      <alignment horizontal="center" vertical="center"/>
      <protection locked="0"/>
    </xf>
    <xf numFmtId="166" fontId="101" fillId="35" borderId="100" xfId="0" applyNumberFormat="1" applyFont="1" applyFill="1" applyBorder="1" applyAlignment="1" applyProtection="1">
      <alignment horizontal="center" vertical="center"/>
      <protection locked="0"/>
    </xf>
    <xf numFmtId="0" fontId="101" fillId="29" borderId="31" xfId="0" applyFont="1" applyFill="1" applyBorder="1" applyAlignment="1">
      <alignment horizontal="center"/>
    </xf>
    <xf numFmtId="0" fontId="101" fillId="29" borderId="32" xfId="0" applyFont="1" applyFill="1" applyBorder="1" applyAlignment="1">
      <alignment horizontal="center"/>
    </xf>
    <xf numFmtId="166" fontId="101" fillId="29" borderId="18" xfId="0" applyNumberFormat="1" applyFont="1" applyFill="1" applyBorder="1" applyAlignment="1" applyProtection="1">
      <alignment horizontal="center" vertical="center"/>
      <protection locked="0"/>
    </xf>
    <xf numFmtId="166" fontId="101" fillId="29" borderId="30" xfId="0" applyNumberFormat="1" applyFont="1" applyFill="1" applyBorder="1" applyAlignment="1" applyProtection="1">
      <alignment horizontal="center" vertical="center"/>
      <protection locked="0"/>
    </xf>
    <xf numFmtId="166" fontId="15" fillId="0" borderId="18" xfId="0" applyNumberFormat="1" applyFont="1" applyFill="1" applyBorder="1" applyAlignment="1" applyProtection="1">
      <alignment horizontal="center" vertical="center"/>
      <protection locked="0"/>
    </xf>
    <xf numFmtId="166" fontId="15" fillId="0" borderId="30" xfId="0" applyNumberFormat="1" applyFont="1" applyFill="1" applyBorder="1" applyAlignment="1" applyProtection="1">
      <alignment horizontal="center" vertical="center"/>
      <protection locked="0"/>
    </xf>
    <xf numFmtId="166" fontId="15" fillId="39" borderId="18" xfId="0" applyNumberFormat="1" applyFont="1" applyFill="1" applyBorder="1" applyAlignment="1" applyProtection="1">
      <alignment horizontal="center" vertical="center"/>
      <protection locked="0"/>
    </xf>
    <xf numFmtId="166" fontId="15" fillId="39" borderId="30" xfId="0" applyNumberFormat="1" applyFont="1" applyFill="1" applyBorder="1" applyAlignment="1" applyProtection="1">
      <alignment horizontal="center" vertical="center"/>
      <protection locked="0"/>
    </xf>
    <xf numFmtId="166" fontId="15" fillId="39" borderId="15" xfId="0" applyNumberFormat="1" applyFont="1" applyFill="1" applyBorder="1" applyAlignment="1" applyProtection="1">
      <alignment horizontal="center" vertical="center"/>
      <protection locked="0"/>
    </xf>
    <xf numFmtId="166" fontId="15" fillId="39" borderId="17" xfId="0" applyNumberFormat="1" applyFont="1" applyFill="1" applyBorder="1" applyAlignment="1" applyProtection="1">
      <alignment horizontal="center" vertical="center"/>
      <protection locked="0"/>
    </xf>
    <xf numFmtId="0" fontId="16" fillId="0" borderId="23" xfId="0" applyFont="1" applyFill="1" applyBorder="1" applyAlignment="1">
      <alignment horizontal="center"/>
    </xf>
    <xf numFmtId="166" fontId="101" fillId="35" borderId="18" xfId="0" applyNumberFormat="1" applyFont="1" applyFill="1" applyBorder="1" applyAlignment="1" applyProtection="1">
      <alignment horizontal="center" vertical="center"/>
      <protection locked="0"/>
    </xf>
    <xf numFmtId="166" fontId="101" fillId="35" borderId="30" xfId="0" applyNumberFormat="1" applyFont="1" applyFill="1" applyBorder="1" applyAlignment="1" applyProtection="1">
      <alignment horizontal="center" vertical="center"/>
      <protection locked="0"/>
    </xf>
    <xf numFmtId="0" fontId="101" fillId="29" borderId="22" xfId="0" applyFont="1" applyFill="1" applyBorder="1" applyAlignment="1">
      <alignment horizontal="center" vertical="center"/>
    </xf>
    <xf numFmtId="0" fontId="103" fillId="0" borderId="72" xfId="49" applyFont="1" applyBorder="1" applyAlignment="1">
      <alignment horizontal="center"/>
    </xf>
    <xf numFmtId="0" fontId="103" fillId="0" borderId="73" xfId="49" applyFont="1" applyBorder="1" applyAlignment="1">
      <alignment horizontal="center"/>
    </xf>
    <xf numFmtId="0" fontId="103" fillId="0" borderId="74" xfId="49" applyFont="1" applyBorder="1" applyAlignment="1">
      <alignment horizontal="center"/>
    </xf>
    <xf numFmtId="0" fontId="102" fillId="0" borderId="46" xfId="49" applyFont="1" applyBorder="1" applyAlignment="1">
      <alignment horizontal="left" vertical="top" wrapText="1"/>
    </xf>
    <xf numFmtId="0" fontId="102" fillId="0" borderId="23" xfId="49" applyFont="1" applyBorder="1" applyAlignment="1">
      <alignment horizontal="left" vertical="top" wrapText="1"/>
    </xf>
    <xf numFmtId="0" fontId="102" fillId="0" borderId="47" xfId="49" applyFont="1" applyBorder="1" applyAlignment="1">
      <alignment horizontal="left" vertical="top" wrapText="1"/>
    </xf>
    <xf numFmtId="0" fontId="101" fillId="29" borderId="22" xfId="0" applyFont="1" applyFill="1" applyBorder="1" applyAlignment="1">
      <alignment horizontal="center"/>
    </xf>
    <xf numFmtId="0" fontId="101" fillId="29" borderId="21" xfId="0" applyFont="1" applyFill="1" applyBorder="1" applyAlignment="1">
      <alignment horizontal="center"/>
    </xf>
    <xf numFmtId="0" fontId="75" fillId="0" borderId="72" xfId="49" applyFont="1" applyBorder="1" applyAlignment="1">
      <alignment horizontal="center"/>
    </xf>
    <xf numFmtId="0" fontId="75" fillId="0" borderId="73" xfId="49" applyFont="1" applyBorder="1" applyAlignment="1">
      <alignment horizontal="center"/>
    </xf>
    <xf numFmtId="0" fontId="75" fillId="0" borderId="74" xfId="49" applyFont="1" applyBorder="1" applyAlignment="1">
      <alignment horizontal="center"/>
    </xf>
    <xf numFmtId="0" fontId="75" fillId="0" borderId="31" xfId="49" applyFont="1" applyBorder="1" applyAlignment="1">
      <alignment horizontal="center"/>
    </xf>
    <xf numFmtId="0" fontId="75" fillId="0" borderId="35" xfId="49" applyFont="1" applyBorder="1" applyAlignment="1">
      <alignment horizontal="center"/>
    </xf>
    <xf numFmtId="0" fontId="75" fillId="0" borderId="32" xfId="49" applyFont="1" applyBorder="1" applyAlignment="1">
      <alignment horizontal="center"/>
    </xf>
    <xf numFmtId="0" fontId="4" fillId="0" borderId="75" xfId="49" applyBorder="1" applyAlignment="1">
      <alignment horizontal="left" vertical="top" wrapText="1"/>
    </xf>
    <xf numFmtId="0" fontId="4" fillId="0" borderId="76" xfId="49" applyBorder="1" applyAlignment="1">
      <alignment horizontal="left" vertical="top" wrapText="1"/>
    </xf>
    <xf numFmtId="0" fontId="4" fillId="0" borderId="77" xfId="49" applyBorder="1" applyAlignment="1">
      <alignment horizontal="left" vertical="top" wrapText="1"/>
    </xf>
    <xf numFmtId="0" fontId="4" fillId="0" borderId="43" xfId="49" applyBorder="1" applyAlignment="1">
      <alignment horizontal="left" vertical="top" wrapText="1"/>
    </xf>
    <xf numFmtId="0" fontId="4" fillId="0" borderId="0" xfId="49" applyBorder="1" applyAlignment="1">
      <alignment horizontal="left" vertical="top" wrapText="1"/>
    </xf>
    <xf numFmtId="0" fontId="4" fillId="0" borderId="54" xfId="49" applyBorder="1" applyAlignment="1">
      <alignment horizontal="left" vertical="top" wrapText="1"/>
    </xf>
    <xf numFmtId="0" fontId="4" fillId="0" borderId="46" xfId="49" applyBorder="1" applyAlignment="1">
      <alignment horizontal="left" vertical="top" wrapText="1"/>
    </xf>
    <xf numFmtId="0" fontId="4" fillId="0" borderId="23" xfId="49" applyBorder="1" applyAlignment="1">
      <alignment horizontal="left" vertical="top" wrapText="1"/>
    </xf>
    <xf numFmtId="0" fontId="4" fillId="0" borderId="47" xfId="49" applyBorder="1" applyAlignment="1">
      <alignment horizontal="left" vertical="top" wrapText="1"/>
    </xf>
    <xf numFmtId="0" fontId="76" fillId="0" borderId="0" xfId="49" applyFont="1" applyBorder="1" applyAlignment="1">
      <alignment horizontal="left"/>
    </xf>
    <xf numFmtId="0" fontId="75" fillId="0" borderId="69" xfId="49" applyFont="1" applyBorder="1" applyAlignment="1">
      <alignment horizontal="center" vertical="center" textRotation="255"/>
    </xf>
    <xf numFmtId="0" fontId="75" fillId="0" borderId="70" xfId="49" applyFont="1" applyBorder="1" applyAlignment="1">
      <alignment horizontal="center" vertical="center" textRotation="255"/>
    </xf>
    <xf numFmtId="0" fontId="75" fillId="0" borderId="71" xfId="49" applyFont="1" applyBorder="1" applyAlignment="1">
      <alignment horizontal="center" vertical="center" textRotation="255"/>
    </xf>
    <xf numFmtId="173" fontId="75" fillId="0" borderId="72" xfId="49" applyNumberFormat="1" applyFont="1" applyBorder="1" applyAlignment="1">
      <alignment horizontal="center"/>
    </xf>
    <xf numFmtId="173" fontId="75" fillId="0" borderId="73" xfId="49" applyNumberFormat="1" applyFont="1" applyBorder="1" applyAlignment="1">
      <alignment horizontal="center"/>
    </xf>
    <xf numFmtId="173" fontId="75" fillId="0" borderId="74" xfId="49" applyNumberFormat="1" applyFont="1" applyBorder="1" applyAlignment="1">
      <alignment horizontal="center"/>
    </xf>
    <xf numFmtId="0" fontId="3" fillId="0" borderId="44" xfId="49" applyFont="1" applyBorder="1" applyAlignment="1">
      <alignment horizontal="left" vertical="top" wrapText="1"/>
    </xf>
    <xf numFmtId="0" fontId="4" fillId="0" borderId="26" xfId="49" applyBorder="1" applyAlignment="1">
      <alignment horizontal="left" vertical="top" wrapText="1"/>
    </xf>
    <xf numFmtId="0" fontId="4" fillId="0" borderId="45" xfId="49" applyBorder="1" applyAlignment="1">
      <alignment horizontal="left" vertical="top" wrapText="1"/>
    </xf>
    <xf numFmtId="0" fontId="1" fillId="29" borderId="109" xfId="49" applyFont="1" applyFill="1" applyBorder="1" applyAlignment="1">
      <alignment horizontal="left"/>
    </xf>
    <xf numFmtId="0" fontId="1" fillId="29" borderId="110" xfId="49" applyFont="1" applyFill="1" applyBorder="1" applyAlignment="1">
      <alignment horizontal="left"/>
    </xf>
    <xf numFmtId="0" fontId="1" fillId="0" borderId="109" xfId="49" applyFont="1" applyFill="1" applyBorder="1" applyAlignment="1">
      <alignment horizontal="left"/>
    </xf>
    <xf numFmtId="0" fontId="1" fillId="0" borderId="110" xfId="49" applyFont="1" applyFill="1" applyBorder="1" applyAlignment="1">
      <alignment horizontal="left"/>
    </xf>
    <xf numFmtId="0" fontId="1" fillId="0" borderId="111" xfId="49" applyFont="1" applyBorder="1" applyAlignment="1">
      <alignment horizontal="left"/>
    </xf>
    <xf numFmtId="0" fontId="1" fillId="0" borderId="112" xfId="49" applyFont="1" applyBorder="1" applyAlignment="1">
      <alignment horizontal="left"/>
    </xf>
    <xf numFmtId="0" fontId="4" fillId="29" borderId="111" xfId="49" applyFill="1" applyBorder="1" applyAlignment="1">
      <alignment horizontal="left"/>
    </xf>
    <xf numFmtId="0" fontId="4" fillId="29" borderId="112" xfId="49" applyFill="1" applyBorder="1" applyAlignment="1">
      <alignment horizontal="left"/>
    </xf>
    <xf numFmtId="0" fontId="1" fillId="0" borderId="113" xfId="49" applyFont="1" applyBorder="1" applyAlignment="1">
      <alignment horizontal="left"/>
    </xf>
    <xf numFmtId="0" fontId="4" fillId="0" borderId="114" xfId="49" applyBorder="1" applyAlignment="1">
      <alignment horizontal="left"/>
    </xf>
    <xf numFmtId="0" fontId="75" fillId="0" borderId="116" xfId="49" applyFont="1" applyBorder="1" applyAlignment="1">
      <alignment horizontal="left"/>
    </xf>
    <xf numFmtId="0" fontId="75" fillId="0" borderId="117" xfId="49" applyFont="1" applyBorder="1" applyAlignment="1">
      <alignment horizontal="left"/>
    </xf>
    <xf numFmtId="0" fontId="4" fillId="0" borderId="103" xfId="49" applyBorder="1" applyAlignment="1">
      <alignment horizontal="center"/>
    </xf>
    <xf numFmtId="0" fontId="4" fillId="0" borderId="104" xfId="49" applyBorder="1" applyAlignment="1">
      <alignment horizontal="center"/>
    </xf>
    <xf numFmtId="0" fontId="1" fillId="29" borderId="111" xfId="49" applyFont="1" applyFill="1" applyBorder="1" applyAlignment="1">
      <alignment horizontal="left"/>
    </xf>
    <xf numFmtId="0" fontId="1" fillId="29" borderId="112" xfId="49" applyFont="1" applyFill="1" applyBorder="1" applyAlignment="1">
      <alignment horizontal="left"/>
    </xf>
    <xf numFmtId="0" fontId="1" fillId="29" borderId="113" xfId="49" applyFont="1" applyFill="1" applyBorder="1" applyAlignment="1">
      <alignment horizontal="left"/>
    </xf>
    <xf numFmtId="0" fontId="4" fillId="29" borderId="114" xfId="49" applyFill="1" applyBorder="1" applyAlignment="1">
      <alignment horizontal="left"/>
    </xf>
    <xf numFmtId="0" fontId="4" fillId="0" borderId="111" xfId="49" applyFill="1" applyBorder="1" applyAlignment="1">
      <alignment horizontal="left"/>
    </xf>
    <xf numFmtId="0" fontId="4" fillId="0" borderId="112" xfId="49" applyFill="1" applyBorder="1" applyAlignment="1">
      <alignment horizontal="left"/>
    </xf>
    <xf numFmtId="0" fontId="80" fillId="0" borderId="43" xfId="50" applyBorder="1" applyAlignment="1">
      <alignment horizontal="left"/>
    </xf>
    <xf numFmtId="0" fontId="80" fillId="0" borderId="0" xfId="50" applyBorder="1" applyAlignment="1">
      <alignment horizontal="left"/>
    </xf>
    <xf numFmtId="0" fontId="80" fillId="0" borderId="54" xfId="50" applyBorder="1" applyAlignment="1">
      <alignment horizontal="left"/>
    </xf>
    <xf numFmtId="0" fontId="4" fillId="0" borderId="44" xfId="49" applyBorder="1" applyAlignment="1">
      <alignment horizontal="left" vertical="top"/>
    </xf>
    <xf numFmtId="0" fontId="4" fillId="0" borderId="26" xfId="49" applyBorder="1" applyAlignment="1">
      <alignment horizontal="left" vertical="top"/>
    </xf>
    <xf numFmtId="0" fontId="4" fillId="0" borderId="45" xfId="49" applyBorder="1" applyAlignment="1">
      <alignment horizontal="left" vertical="top"/>
    </xf>
    <xf numFmtId="0" fontId="4" fillId="0" borderId="43" xfId="49" applyBorder="1" applyAlignment="1">
      <alignment horizontal="left" vertical="top"/>
    </xf>
    <xf numFmtId="0" fontId="4" fillId="0" borderId="0" xfId="49" applyBorder="1" applyAlignment="1">
      <alignment horizontal="left" vertical="top"/>
    </xf>
    <xf numFmtId="0" fontId="4" fillId="0" borderId="54" xfId="49" applyBorder="1" applyAlignment="1">
      <alignment horizontal="left" vertical="top"/>
    </xf>
    <xf numFmtId="0" fontId="4" fillId="0" borderId="46" xfId="49" applyBorder="1" applyAlignment="1">
      <alignment horizontal="left" vertical="top"/>
    </xf>
    <xf numFmtId="0" fontId="4" fillId="0" borderId="23" xfId="49" applyBorder="1" applyAlignment="1">
      <alignment horizontal="left" vertical="top"/>
    </xf>
    <xf numFmtId="0" fontId="4" fillId="0" borderId="47" xfId="49" applyBorder="1" applyAlignment="1">
      <alignment horizontal="left" vertical="top"/>
    </xf>
    <xf numFmtId="0" fontId="4" fillId="0" borderId="44" xfId="49" applyFont="1" applyBorder="1" applyAlignment="1">
      <alignment horizontal="left" vertical="top" wrapText="1"/>
    </xf>
    <xf numFmtId="0" fontId="80" fillId="0" borderId="46" xfId="50" applyBorder="1" applyAlignment="1">
      <alignment horizontal="left"/>
    </xf>
    <xf numFmtId="0" fontId="80" fillId="0" borderId="23" xfId="50" applyBorder="1" applyAlignment="1">
      <alignment horizontal="left"/>
    </xf>
    <xf numFmtId="0" fontId="80" fillId="0" borderId="47" xfId="50" applyBorder="1" applyAlignment="1">
      <alignment horizontal="left"/>
    </xf>
    <xf numFmtId="0" fontId="76" fillId="0" borderId="0" xfId="49" applyFont="1" applyBorder="1" applyAlignment="1">
      <alignment horizontal="left" vertical="top" wrapText="1"/>
    </xf>
    <xf numFmtId="0" fontId="76" fillId="0" borderId="23" xfId="49" applyFont="1" applyBorder="1" applyAlignment="1">
      <alignment horizontal="left" vertical="top" wrapText="1"/>
    </xf>
    <xf numFmtId="0" fontId="92" fillId="0" borderId="0" xfId="51" applyFont="1" applyBorder="1" applyAlignment="1">
      <alignment horizontal="left" vertical="center" wrapText="1"/>
    </xf>
    <xf numFmtId="0" fontId="96" fillId="0" borderId="0" xfId="51" applyFont="1" applyBorder="1" applyAlignment="1">
      <alignment horizontal="center" vertical="center" wrapText="1"/>
    </xf>
    <xf numFmtId="0" fontId="100" fillId="0" borderId="0" xfId="51" applyFont="1" applyBorder="1" applyAlignment="1">
      <alignment horizontal="left" vertical="center" wrapText="1"/>
    </xf>
    <xf numFmtId="0" fontId="92" fillId="0" borderId="0" xfId="51" applyFont="1" applyAlignment="1">
      <alignment horizontal="left" vertical="center" wrapText="1"/>
    </xf>
    <xf numFmtId="0" fontId="98" fillId="0" borderId="0" xfId="51" applyFont="1" applyAlignment="1">
      <alignment horizontal="left" vertical="center" wrapText="1"/>
    </xf>
    <xf numFmtId="0" fontId="0" fillId="0" borderId="0" xfId="0" applyAlignment="1">
      <alignment horizontal="center"/>
    </xf>
    <xf numFmtId="0" fontId="6"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center"/>
    </xf>
    <xf numFmtId="0" fontId="20" fillId="0" borderId="31" xfId="41" applyFont="1" applyBorder="1" applyAlignment="1">
      <alignment horizontal="center"/>
    </xf>
    <xf numFmtId="0" fontId="20" fillId="0" borderId="35" xfId="41" applyFont="1" applyBorder="1" applyAlignment="1">
      <alignment horizontal="center"/>
    </xf>
    <xf numFmtId="0" fontId="20" fillId="0" borderId="32" xfId="41" applyFont="1" applyBorder="1" applyAlignment="1">
      <alignment horizontal="center"/>
    </xf>
    <xf numFmtId="0" fontId="22" fillId="0" borderId="44" xfId="41" applyFont="1" applyBorder="1" applyAlignment="1">
      <alignment horizontal="center" vertical="center"/>
    </xf>
    <xf numFmtId="0" fontId="22" fillId="0" borderId="26" xfId="41" applyFont="1" applyBorder="1" applyAlignment="1">
      <alignment horizontal="center" vertical="center"/>
    </xf>
    <xf numFmtId="0" fontId="22" fillId="0" borderId="45" xfId="41" applyFont="1" applyBorder="1" applyAlignment="1">
      <alignment horizontal="center" vertical="center"/>
    </xf>
    <xf numFmtId="0" fontId="22" fillId="0" borderId="46" xfId="41" applyFont="1" applyBorder="1" applyAlignment="1">
      <alignment horizontal="center" vertical="center"/>
    </xf>
    <xf numFmtId="0" fontId="22" fillId="0" borderId="23" xfId="41" applyFont="1" applyBorder="1" applyAlignment="1">
      <alignment horizontal="center" vertical="center"/>
    </xf>
    <xf numFmtId="0" fontId="22" fillId="0" borderId="47" xfId="41" applyFont="1" applyBorder="1" applyAlignment="1">
      <alignment horizontal="center" vertical="center"/>
    </xf>
    <xf numFmtId="0" fontId="20" fillId="29" borderId="0" xfId="41" applyFont="1" applyFill="1" applyBorder="1" applyAlignment="1">
      <alignment horizontal="left"/>
    </xf>
    <xf numFmtId="0" fontId="20" fillId="32" borderId="0" xfId="41" applyFont="1" applyFill="1" applyBorder="1" applyAlignment="1">
      <alignment horizontal="left"/>
    </xf>
    <xf numFmtId="0" fontId="20" fillId="32" borderId="23" xfId="41" applyFont="1" applyFill="1" applyBorder="1" applyAlignment="1">
      <alignment horizontal="left"/>
    </xf>
    <xf numFmtId="0" fontId="24" fillId="0" borderId="0" xfId="0" applyFont="1" applyAlignment="1">
      <alignment horizontal="center"/>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7" builtinId="4"/>
    <cellStyle name="Currency 2" xfId="52"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50" xr:uid="{00000000-0005-0000-0000-000024000000}"/>
    <cellStyle name="Hyperlink 3" xfId="53" xr:uid="{00000000-0005-0000-0000-000025000000}"/>
    <cellStyle name="Input" xfId="35" builtinId="20" customBuiltin="1"/>
    <cellStyle name="Linked Cell" xfId="36" builtinId="24" customBuiltin="1"/>
    <cellStyle name="Neutral" xfId="37" builtinId="28" customBuiltin="1"/>
    <cellStyle name="Normal" xfId="0" builtinId="0"/>
    <cellStyle name="Normal 2" xfId="38" xr:uid="{00000000-0005-0000-0000-00002A000000}"/>
    <cellStyle name="Normal 3" xfId="49" xr:uid="{00000000-0005-0000-0000-00002B000000}"/>
    <cellStyle name="Normal 4" xfId="51" xr:uid="{00000000-0005-0000-0000-00002C000000}"/>
    <cellStyle name="Normal_Appendix C-Facility Rate Tables" xfId="39" xr:uid="{00000000-0005-0000-0000-00002D000000}"/>
    <cellStyle name="Normal_fringe_composite-15" xfId="40" xr:uid="{00000000-0005-0000-0000-00002E000000}"/>
    <cellStyle name="Normal_person_months_conversion_chart-4" xfId="41" xr:uid="{00000000-0005-0000-0000-00002F000000}"/>
    <cellStyle name="Note" xfId="42" builtinId="10" customBuiltin="1"/>
    <cellStyle name="Output" xfId="43" builtinId="21" customBuiltin="1"/>
    <cellStyle name="Percent" xfId="48" builtinId="5"/>
    <cellStyle name="Title" xfId="44" builtinId="15" customBuiltin="1"/>
    <cellStyle name="Total" xfId="45" builtinId="25" customBuiltin="1"/>
    <cellStyle name="Warning Text" xfId="46" builtinId="11" customBuiltin="1"/>
  </cellStyles>
  <dxfs count="27">
    <dxf>
      <numFmt numFmtId="19" formatCode="m/d/yyyy"/>
    </dxf>
    <dxf>
      <font>
        <b/>
        <i val="0"/>
        <strike val="0"/>
        <color auto="1"/>
      </font>
      <fill>
        <patternFill>
          <bgColor theme="7" tint="0.7999816888943144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b/>
        <i val="0"/>
        <color auto="1"/>
      </font>
      <fill>
        <patternFill>
          <bgColor theme="7" tint="0.79998168889431442"/>
        </patternFill>
      </fill>
      <border>
        <left style="thin">
          <color auto="1"/>
        </left>
        <right style="thin">
          <color auto="1"/>
        </right>
        <top style="thin">
          <color auto="1"/>
        </top>
        <bottom style="thin">
          <color auto="1"/>
        </bottom>
        <vertical/>
        <horizontal/>
      </border>
    </dxf>
    <dxf>
      <font>
        <color auto="1"/>
      </font>
      <fill>
        <patternFill>
          <bgColor theme="0" tint="-4.9989318521683403E-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udget_Template-current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udget_Template_CS_9.2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udget_Template-Trav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ll Budget Periods"/>
      <sheetName val="Cost Share Summary"/>
      <sheetName val="BP1"/>
      <sheetName val="BP2"/>
      <sheetName val="BP3"/>
      <sheetName val="BP4"/>
      <sheetName val="BP5"/>
      <sheetName val="Cumulative Budget"/>
      <sheetName val="Budget Justification"/>
      <sheetName val="Subaward Calculator"/>
      <sheetName val="Travel Calculator"/>
      <sheetName val="Questionnaire - WIP"/>
      <sheetName val="Lists"/>
      <sheetName val="Appendix A-Boilerplate Language"/>
      <sheetName val="Appendix B-Effort Calculator"/>
      <sheetName val="Appendix C-Grants.gov Form Info"/>
      <sheetName val="Appendix D-Facility Rate Tables"/>
      <sheetName val="appendix E - Change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StartDateList</v>
          </cell>
        </row>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sheetData>
      <sheetData sheetId="13" refreshError="1"/>
      <sheetData sheetId="14" refreshError="1"/>
      <sheetData sheetId="15">
        <row r="1">
          <cell r="D1" t="str">
            <v>NIH or other Sponsors using the NIH Salary Cap</v>
          </cell>
        </row>
        <row r="2">
          <cell r="D2">
            <v>189600</v>
          </cell>
        </row>
        <row r="3">
          <cell r="D3" t="str">
            <v>NIH</v>
          </cell>
        </row>
        <row r="4">
          <cell r="D4" t="str">
            <v>NCI</v>
          </cell>
        </row>
        <row r="5">
          <cell r="D5" t="str">
            <v>NEI</v>
          </cell>
        </row>
        <row r="6">
          <cell r="D6" t="str">
            <v>NHLBI</v>
          </cell>
        </row>
        <row r="7">
          <cell r="D7" t="str">
            <v>NHGRI</v>
          </cell>
        </row>
        <row r="8">
          <cell r="D8" t="str">
            <v>NIA</v>
          </cell>
        </row>
        <row r="9">
          <cell r="D9" t="str">
            <v>NIAAA</v>
          </cell>
        </row>
        <row r="10">
          <cell r="D10" t="str">
            <v>NIAID</v>
          </cell>
        </row>
        <row r="11">
          <cell r="D11" t="str">
            <v>NIAMS</v>
          </cell>
        </row>
        <row r="12">
          <cell r="D12" t="str">
            <v>NIBIB</v>
          </cell>
        </row>
        <row r="13">
          <cell r="D13" t="str">
            <v>NICHD</v>
          </cell>
        </row>
        <row r="14">
          <cell r="D14" t="str">
            <v>NIDCD</v>
          </cell>
        </row>
        <row r="15">
          <cell r="D15" t="str">
            <v>NIDCR</v>
          </cell>
        </row>
        <row r="16">
          <cell r="D16" t="str">
            <v>NIDDK</v>
          </cell>
        </row>
        <row r="17">
          <cell r="D17" t="str">
            <v>NIDA</v>
          </cell>
        </row>
        <row r="18">
          <cell r="D18" t="str">
            <v>NIEHS</v>
          </cell>
        </row>
        <row r="19">
          <cell r="D19" t="str">
            <v>NIGMS</v>
          </cell>
        </row>
        <row r="20">
          <cell r="D20" t="str">
            <v>NIMH</v>
          </cell>
        </row>
        <row r="21">
          <cell r="D21" t="str">
            <v>NIMHD</v>
          </cell>
        </row>
        <row r="22">
          <cell r="D22" t="str">
            <v>NINDS</v>
          </cell>
        </row>
        <row r="23">
          <cell r="D23" t="str">
            <v>NINR</v>
          </cell>
        </row>
        <row r="24">
          <cell r="D24" t="str">
            <v>NLM</v>
          </cell>
        </row>
        <row r="25">
          <cell r="D25" t="str">
            <v>CC</v>
          </cell>
        </row>
        <row r="26">
          <cell r="D26" t="str">
            <v>CIT</v>
          </cell>
        </row>
        <row r="27">
          <cell r="D27" t="str">
            <v>CSR</v>
          </cell>
        </row>
        <row r="28">
          <cell r="D28" t="str">
            <v>FIC</v>
          </cell>
        </row>
        <row r="29">
          <cell r="D29" t="str">
            <v>NCATS</v>
          </cell>
        </row>
        <row r="30">
          <cell r="D30" t="str">
            <v>NCCIH</v>
          </cell>
        </row>
        <row r="31">
          <cell r="D31" t="str">
            <v>OD</v>
          </cell>
        </row>
        <row r="32">
          <cell r="D32" t="str">
            <v>NIH NCI</v>
          </cell>
        </row>
        <row r="33">
          <cell r="D33" t="str">
            <v>NIH NEI</v>
          </cell>
        </row>
        <row r="34">
          <cell r="D34" t="str">
            <v>NIH NHLBI</v>
          </cell>
        </row>
        <row r="35">
          <cell r="D35" t="str">
            <v>NIH NHGRI</v>
          </cell>
        </row>
        <row r="36">
          <cell r="D36" t="str">
            <v>NIH NIA</v>
          </cell>
        </row>
        <row r="37">
          <cell r="D37" t="str">
            <v>NIH NIAAA</v>
          </cell>
        </row>
        <row r="38">
          <cell r="D38" t="str">
            <v>NIH NIAID</v>
          </cell>
        </row>
        <row r="39">
          <cell r="D39" t="str">
            <v>NIH NIAMS</v>
          </cell>
        </row>
        <row r="40">
          <cell r="D40" t="str">
            <v>NIH NIBIB</v>
          </cell>
        </row>
        <row r="41">
          <cell r="D41" t="str">
            <v>NIH NICHD</v>
          </cell>
        </row>
        <row r="42">
          <cell r="D42" t="str">
            <v>NIH NIDCD</v>
          </cell>
        </row>
        <row r="43">
          <cell r="D43" t="str">
            <v>NIH NIDCR</v>
          </cell>
        </row>
        <row r="44">
          <cell r="D44" t="str">
            <v>NIH NIDDK</v>
          </cell>
        </row>
        <row r="45">
          <cell r="D45" t="str">
            <v>NIH NIDA</v>
          </cell>
        </row>
        <row r="46">
          <cell r="D46" t="str">
            <v>NIH NIEHS</v>
          </cell>
        </row>
        <row r="47">
          <cell r="D47" t="str">
            <v>NIH NIGMS</v>
          </cell>
        </row>
        <row r="48">
          <cell r="D48" t="str">
            <v>NIH NIMH</v>
          </cell>
        </row>
        <row r="49">
          <cell r="D49" t="str">
            <v>NIH NIMHD</v>
          </cell>
        </row>
        <row r="50">
          <cell r="D50" t="str">
            <v>NIH NINDS</v>
          </cell>
        </row>
        <row r="51">
          <cell r="D51" t="str">
            <v>NIH NINR</v>
          </cell>
        </row>
        <row r="52">
          <cell r="D52" t="str">
            <v>NIH NLM</v>
          </cell>
        </row>
        <row r="53">
          <cell r="D53" t="str">
            <v>NIH CC</v>
          </cell>
        </row>
        <row r="54">
          <cell r="D54" t="str">
            <v>NIH CIT</v>
          </cell>
        </row>
        <row r="55">
          <cell r="D55" t="str">
            <v>NIH CSR</v>
          </cell>
        </row>
        <row r="56">
          <cell r="D56" t="str">
            <v>NIH FIC</v>
          </cell>
        </row>
        <row r="57">
          <cell r="D57" t="str">
            <v>NIH NCATS</v>
          </cell>
        </row>
        <row r="58">
          <cell r="D58" t="str">
            <v>NIH NCCIH</v>
          </cell>
        </row>
        <row r="59">
          <cell r="D59" t="str">
            <v>NIH OD</v>
          </cell>
        </row>
        <row r="60">
          <cell r="D60" t="str">
            <v>National Cancer Institute</v>
          </cell>
        </row>
        <row r="61">
          <cell r="D61" t="str">
            <v>National Eye Institute</v>
          </cell>
        </row>
        <row r="62">
          <cell r="D62" t="str">
            <v>National Heart, Lung, and Blood Institute</v>
          </cell>
        </row>
        <row r="63">
          <cell r="D63" t="str">
            <v>National Human Genome Research Institute</v>
          </cell>
        </row>
        <row r="64">
          <cell r="D64" t="str">
            <v>National Institute on Aging</v>
          </cell>
        </row>
        <row r="65">
          <cell r="D65" t="str">
            <v>National Institute on Alcohol Abuse and Alcoholism</v>
          </cell>
        </row>
        <row r="66">
          <cell r="D66" t="str">
            <v>National Institute of Allergy and Infectious Diseases</v>
          </cell>
        </row>
        <row r="67">
          <cell r="D67" t="str">
            <v>National Institute of Arthritis and Musculoskeletal and Skin Diseases</v>
          </cell>
        </row>
        <row r="68">
          <cell r="D68" t="str">
            <v>National Institute of Biomedical Imaging and Bioengineering</v>
          </cell>
        </row>
        <row r="69">
          <cell r="D69" t="str">
            <v>Eunice Kennedy Shriver National Institute of Child Health and Human Development</v>
          </cell>
        </row>
        <row r="70">
          <cell r="D70" t="str">
            <v>National Institute on Deafness and Other Communication Disorders</v>
          </cell>
        </row>
        <row r="71">
          <cell r="D71" t="str">
            <v>National Institute of Dental and Craniofacial Research</v>
          </cell>
        </row>
        <row r="72">
          <cell r="D72" t="str">
            <v>National Institute of Diabetes and Digestive and Kidney Diseases</v>
          </cell>
        </row>
        <row r="73">
          <cell r="D73" t="str">
            <v>National Institute on Drug Abuse</v>
          </cell>
        </row>
        <row r="74">
          <cell r="D74" t="str">
            <v>National Institute of Environmental Health Sciences</v>
          </cell>
        </row>
        <row r="75">
          <cell r="D75" t="str">
            <v>National Institute of General Medical Sciences</v>
          </cell>
        </row>
        <row r="76">
          <cell r="D76" t="str">
            <v>The National Institute of General Medical Sciences</v>
          </cell>
        </row>
        <row r="77">
          <cell r="D77" t="str">
            <v>National Institute of General Medical Sciences</v>
          </cell>
        </row>
        <row r="78">
          <cell r="D78" t="str">
            <v>National Institute of Mental Health</v>
          </cell>
        </row>
        <row r="79">
          <cell r="D79" t="str">
            <v>National Institute on Minority Health and Health Disparities</v>
          </cell>
        </row>
        <row r="80">
          <cell r="D80" t="str">
            <v>National Institute of Neurological Disorders and Stroke</v>
          </cell>
        </row>
        <row r="81">
          <cell r="D81" t="str">
            <v>National Institute of Nursing Research</v>
          </cell>
        </row>
        <row r="82">
          <cell r="D82" t="str">
            <v>National Library of Medicine</v>
          </cell>
        </row>
        <row r="83">
          <cell r="D83" t="str">
            <v>NIH Clinical Center</v>
          </cell>
        </row>
        <row r="84">
          <cell r="D84" t="str">
            <v>Center for Information Technology</v>
          </cell>
        </row>
        <row r="85">
          <cell r="D85" t="str">
            <v>Center for Scientific Review</v>
          </cell>
        </row>
        <row r="86">
          <cell r="D86" t="str">
            <v>Fogarty International Center</v>
          </cell>
        </row>
        <row r="87">
          <cell r="D87" t="str">
            <v>National Center for Advancing Translational Sciences</v>
          </cell>
        </row>
        <row r="88">
          <cell r="D88" t="str">
            <v>National Center for Complementary and Integrative Health</v>
          </cell>
        </row>
        <row r="89">
          <cell r="D89" t="str">
            <v>National Institutes of Health</v>
          </cell>
        </row>
        <row r="90">
          <cell r="D90" t="str">
            <v>National Institute of Health</v>
          </cell>
        </row>
        <row r="91">
          <cell r="D91" t="str">
            <v>PHS</v>
          </cell>
        </row>
        <row r="92">
          <cell r="D92" t="str">
            <v>Public Health Service</v>
          </cell>
        </row>
        <row r="93">
          <cell r="D93" t="str">
            <v>Other Sponsors using the NIH salary cap</v>
          </cell>
        </row>
        <row r="94">
          <cell r="D94" t="str">
            <v>JDRF</v>
          </cell>
        </row>
        <row r="95">
          <cell r="D95" t="str">
            <v>Juvenile Diabetes Research Foundation</v>
          </cell>
        </row>
        <row r="96">
          <cell r="D96" t="str">
            <v>AICR</v>
          </cell>
        </row>
        <row r="97">
          <cell r="D97" t="str">
            <v>American Institute for Cancer Research</v>
          </cell>
        </row>
        <row r="98">
          <cell r="D98" t="str">
            <v>Alex's Lemonade Stand</v>
          </cell>
        </row>
        <row r="99">
          <cell r="D99" t="str">
            <v>Alex's Lemonade Stand Foundation</v>
          </cell>
        </row>
        <row r="100">
          <cell r="D100" t="str">
            <v>ALSF</v>
          </cell>
        </row>
        <row r="101">
          <cell r="D101" t="str">
            <v>Greenwall Foundation</v>
          </cell>
        </row>
        <row r="102">
          <cell r="D102" t="str">
            <v>Greenwall</v>
          </cell>
        </row>
        <row r="103">
          <cell r="D103" t="str">
            <v>Ovarian Cancer Research Fund</v>
          </cell>
        </row>
        <row r="104">
          <cell r="D104" t="str">
            <v>OCRF</v>
          </cell>
        </row>
        <row r="105">
          <cell r="D105" t="str">
            <v>Progeria Research Foundation</v>
          </cell>
        </row>
        <row r="106">
          <cell r="D106" t="str">
            <v>Progeria</v>
          </cell>
        </row>
        <row r="107">
          <cell r="D107" t="str">
            <v>Rheumatology Research Foundation</v>
          </cell>
        </row>
        <row r="108">
          <cell r="D108" t="str">
            <v>American Heart Association</v>
          </cell>
        </row>
        <row r="109">
          <cell r="D109" t="str">
            <v>AHA</v>
          </cell>
        </row>
      </sheetData>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ll Years"/>
      <sheetName val="YEAR1"/>
      <sheetName val="YEAR2"/>
      <sheetName val="YEAR3"/>
      <sheetName val="YEAR4"/>
      <sheetName val="YEAR5"/>
      <sheetName val="Cumulative Budget"/>
      <sheetName val="Budget Justification"/>
      <sheetName val="Appendix A-Effort Calculator"/>
      <sheetName val="Appendix B-Grants.gov Form Info"/>
      <sheetName val="Appendix C-Facility Rate Tables"/>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row r="806">
          <cell r="A806">
            <v>61971</v>
          </cell>
        </row>
        <row r="807">
          <cell r="A807">
            <v>62001</v>
          </cell>
        </row>
        <row r="808">
          <cell r="A808">
            <v>62032</v>
          </cell>
        </row>
        <row r="809">
          <cell r="A809">
            <v>62062</v>
          </cell>
        </row>
        <row r="810">
          <cell r="A810">
            <v>62093</v>
          </cell>
        </row>
        <row r="811">
          <cell r="A811">
            <v>62124</v>
          </cell>
        </row>
        <row r="812">
          <cell r="A812">
            <v>62152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ll Years"/>
      <sheetName val="YEAR1"/>
      <sheetName val="YEAR2"/>
      <sheetName val="YEAR3"/>
      <sheetName val="YEAR4"/>
      <sheetName val="YEAR5"/>
      <sheetName val="Cumulative Budget"/>
      <sheetName val="Budget Justification"/>
      <sheetName val="Travel Calculator"/>
      <sheetName val="Appendix A-Boilerplate Language"/>
      <sheetName val="Appendix B-Effort Calculator"/>
      <sheetName val="Appendix C-Grants.gov Form Info"/>
      <sheetName val="Appendix D-Facility Rate Tables"/>
      <sheetName val="Lists"/>
    </sheetNames>
    <sheetDataSet>
      <sheetData sheetId="0">
        <row r="1">
          <cell r="A1" t="str">
            <v>Example of Travel Calculator Integration</v>
          </cell>
        </row>
      </sheetData>
      <sheetData sheetId="1">
        <row r="1">
          <cell r="A1" t="str">
            <v>Example of Travel Calculator Integration</v>
          </cell>
        </row>
      </sheetData>
      <sheetData sheetId="2"/>
      <sheetData sheetId="3"/>
      <sheetData sheetId="4"/>
      <sheetData sheetId="5"/>
      <sheetData sheetId="6"/>
      <sheetData sheetId="7"/>
      <sheetData sheetId="8"/>
      <sheetData sheetId="9"/>
      <sheetData sheetId="10"/>
      <sheetData sheetId="11"/>
      <sheetData sheetId="12">
        <row r="2">
          <cell r="A2">
            <v>37499</v>
          </cell>
        </row>
      </sheetData>
      <sheetData sheetId="13" refreshError="1">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row r="806">
          <cell r="A806">
            <v>61971</v>
          </cell>
        </row>
        <row r="807">
          <cell r="A807">
            <v>62001</v>
          </cell>
        </row>
        <row r="808">
          <cell r="A808">
            <v>62032</v>
          </cell>
        </row>
        <row r="809">
          <cell r="A809">
            <v>62062</v>
          </cell>
        </row>
        <row r="810">
          <cell r="A810">
            <v>62093</v>
          </cell>
        </row>
        <row r="811">
          <cell r="A811">
            <v>62124</v>
          </cell>
        </row>
        <row r="812">
          <cell r="A812">
            <v>62152</v>
          </cell>
        </row>
      </sheetData>
    </sheetDataSet>
  </externalBook>
</externalLink>
</file>

<file path=xl/persons/person.xml><?xml version="1.0" encoding="utf-8"?>
<personList xmlns="http://schemas.microsoft.com/office/spreadsheetml/2018/threadedcomments" xmlns:x="http://schemas.openxmlformats.org/spreadsheetml/2006/main">
  <person displayName="tab804" id="{AB0451E4-235D-4934-A28C-750C4FFC9607}" userId="tab804" providerId="None"/>
  <person displayName="Andrew Mark" id="{402C552D-6CFD-4D9F-A6D7-84EBD06F363F}" userId="Andrew Mark" providerId="None"/>
  <person displayName="Ben P Nelson" id="{9746C5A6-F367-40E6-A1FB-7DDB0150D907}" userId="Ben P Nelson" providerId="None"/>
  <person displayName="Jarrod Routh" id="{474AD4D3-AA83-4633-81CC-E88BA0A41325}" userId="Jarrod Routh" providerId="None"/>
  <person displayName="Setong Mavong" id="{01010E07-EFA3-45C6-BCEE-4BA363E3248A}" userId="Setong Mavong" providerId="None"/>
  <person displayName="Aaron J. DeLee" id="{2D5813AE-A835-4069-8A55-5DE2B3889C6F}" userId="Aaron J. DeLee" providerId="None"/>
  <person displayName="David Wemhaner" id="{A6995CC8-834C-4C7D-A989-EA27472566BF}" userId="David Wemhaner" providerId="None"/>
  <person displayName="W Nathan Youngblood" id="{33F00107-71D0-498E-A865-080DF938E6F6}" userId="W Nathan Youngblood" providerId="None"/>
  <person displayName="Setong Mavong" id="{FD8BF0EE-5740-4BD4-9028-E52A2D72A86B}" userId="S::swm451@ads.northwestern.edu::89858e48-49e8-4abd-a99c-3f1bb42019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26" totalsRowShown="0">
  <autoFilter ref="A1:B26" xr:uid="{00000000-0009-0000-0100-000001000000}"/>
  <tableColumns count="2">
    <tableColumn id="1" xr3:uid="{00000000-0010-0000-0000-000001000000}" name="Date" dataDxfId="0"/>
    <tableColumn id="2" xr3:uid="{00000000-0010-0000-0000-000002000000}" name="Descriptio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8" personId="{402C552D-6CFD-4D9F-A6D7-84EBD06F363F}" id="{6369CA53-D26D-4B95-A046-21B96843330C}">
    <text>You can change this to any date (i.e., mid-month) by removing the data validation for this cell.</text>
  </threadedComment>
  <threadedComment ref="K10" personId="{AB0451E4-235D-4934-A28C-750C4FFC9607}" id="{8981A012-1D59-411A-9FB0-DB0AE400F7C3}">
    <text xml:space="preserve">If the field says #VALUE!, go to Tools &gt; Add-Ins and click on Analysis Toolpak then reselect Budget Year Start </text>
  </threadedComment>
  <threadedComment ref="M14" personId="{A6995CC8-834C-4C7D-A989-EA27472566BF}" id="{FC1E02BD-51D0-43D4-AAA3-AE2305412672}">
    <text>Cost share effort can only be committed for academic (if 9 month) or calendar (if 10, 11, or 12 month) months.</text>
  </threadedComment>
  <threadedComment ref="B15" personId="{402C552D-6CFD-4D9F-A6D7-84EBD06F363F}" id="{4DFCB001-A623-4D29-B8A5-495473D63A06}">
    <text>Type PI name here.  It will automatically copy to all other budget pages.</text>
  </threadedComment>
  <threadedComment ref="L15" personId="{AB0451E4-235D-4934-A28C-750C4FFC9607}" id="{7527E054-8A64-467E-958C-6E4C9FC70413}">
    <text>Auto calculates fringe by personnel salary entered to left, based on project start date entered above.</text>
  </threadedComment>
  <threadedComment ref="H32" personId="{AB0451E4-235D-4934-A28C-750C4FFC9607}" id="{DBA35FB5-2C01-4580-BCB4-109652B40B42}">
    <text>Enter number person months here, based on a standard 12-month appointment.</text>
  </threadedComment>
  <threadedComment ref="P32" personId="{01010E07-EFA3-45C6-BCEE-4BA363E3248A}" id="{C818A039-517C-4256-B74E-E9C063CB2E94}">
    <text>Northwestern minimum for salary. Update if higher.</text>
  </threadedComment>
  <threadedComment ref="H33" personId="{AB0451E4-235D-4934-A28C-750C4FFC9607}" id="{6C8C2D62-1CF6-4290-B405-C8F725DB4E20}">
    <text>Enter number person months here, based on a standard 12-month appointment.</text>
  </threadedComment>
  <threadedComment ref="H34" personId="{AB0451E4-235D-4934-A28C-750C4FFC9607}" id="{D507763D-95B6-4157-863B-629017361616}">
    <text>Enter number person months here, based on a standard 12-month appointment.</text>
  </threadedComment>
  <threadedComment ref="H35" personId="{AB0451E4-235D-4934-A28C-750C4FFC9607}" id="{0CEE33F8-5397-4048-84ED-B3A1B64987B6}">
    <text>Enter number person months here, based on a standard 12-month appointment.</text>
  </threadedComment>
  <threadedComment ref="H36" personId="{AB0451E4-235D-4934-A28C-750C4FFC9607}" id="{F9754476-FCC6-48B2-B971-99CCD423FFB9}">
    <text>Enter number person months here, based on a standard 12-month appointment.</text>
  </threadedComment>
  <threadedComment ref="H37" personId="{AB0451E4-235D-4934-A28C-750C4FFC9607}" id="{03650236-F6E5-41A1-B1EF-1E2465A4CAE5}">
    <text>Enter number person months here, based on a standard 12-month appointment.</text>
  </threadedComment>
  <threadedComment ref="B38" personId="{AB0451E4-235D-4934-A28C-750C4FFC9607}" id="{6CF4F895-08BC-48A6-B001-775D240FA0AC}">
    <text>Insert number of graduate students here.
This will drive the tuition cost to grant, in the Other Direct Costs section.</text>
  </threadedComment>
  <threadedComment ref="H38" personId="{AB0451E4-235D-4934-A28C-750C4FFC9607}" id="{899B3CBD-E986-42DD-B4B4-3F986D6468A2}">
    <text>Enter number person months here, based on intervals of 3 months (a quarter).</text>
  </threadedComment>
  <threadedComment ref="L38" personId="{402C552D-6CFD-4D9F-A6D7-84EBD06F363F}" id="{293FB106-48BE-4B27-A4E4-CA40AC724B19}">
    <text>This field is calculated with graduate student fringe rate.</text>
  </threadedComment>
  <threadedComment ref="P38" personId="{01010E07-EFA3-45C6-BCEE-4BA363E3248A}" id="{09EC1D5D-915F-4141-A4F9-284618FF8B20}">
    <text>The FY20 TGS minimum stipend Rate is $2,737/month or $32,844/year. Update if department rate is higher or using blended rates.</text>
  </threadedComment>
  <threadedComment ref="H39" personId="{AB0451E4-235D-4934-A28C-750C4FFC9607}" id="{80F96850-486A-4981-9FC0-5EDC43AD6F98}">
    <text>Enter number person months here, based on a standard 12-month appointment.</text>
  </threadedComment>
  <threadedComment ref="H40" personId="{AB0451E4-235D-4934-A28C-750C4FFC9607}" id="{93E01581-7449-411C-A43C-2BFB3D98B876}">
    <text>Enter number person months here, based on a standard 12-month appointment.</text>
  </threadedComment>
  <threadedComment ref="L40" personId="{474AD4D3-AA83-4633-81CC-E88BA0A41325}" id="{C8309D82-3090-4E9D-96F9-328DE2236420}">
    <text>This field is calculated with statutory fringe rate.</text>
  </threadedComment>
  <threadedComment ref="C60" personId="{402C552D-6CFD-4D9F-A6D7-84EBD06F363F}" id="{173F25F3-0814-47E6-80EB-005C49D8B573}">
    <text>Example: Laboratory services, human subject fees, animal subject costs</text>
  </threadedComment>
  <threadedComment ref="C61" personId="{402C552D-6CFD-4D9F-A6D7-84EBD06F363F}" id="{81C83F75-A71A-493D-8502-E7A14E5FA519}">
    <text>Example: Participant support costs</text>
  </threadedComment>
  <threadedComment ref="G77" dT="2019-10-23T15:40:19.51" personId="{FD8BF0EE-5740-4BD4-9028-E52A2D72A86B}" id="{EA01ED2B-3194-4675-A59A-426EC969B3E0}">
    <text>Listed rate is for the BP's starting Month, F&amp;A is calculated using a blended rate. Unless manually modified.</text>
  </threadedComment>
</ThreadedComments>
</file>

<file path=xl/threadedComments/threadedComment2.xml><?xml version="1.0" encoding="utf-8"?>
<ThreadedComments xmlns="http://schemas.microsoft.com/office/spreadsheetml/2018/threadedcomments" xmlns:x="http://schemas.openxmlformats.org/spreadsheetml/2006/main">
  <threadedComment ref="H32" personId="{AB0451E4-235D-4934-A28C-750C4FFC9607}" id="{67370E65-BB71-49C7-BCB6-DBB8896D0E84}">
    <text>Enter number person months here, based on a standard 12-month appointment.</text>
  </threadedComment>
  <threadedComment ref="H33" personId="{AB0451E4-235D-4934-A28C-750C4FFC9607}" id="{6695BF08-C1E2-472D-A31F-D0E771BC3CE7}">
    <text>Enter number person months here, based on a standard 12-month appointment.</text>
  </threadedComment>
  <threadedComment ref="H34" personId="{AB0451E4-235D-4934-A28C-750C4FFC9607}" id="{4791191A-11B9-46E3-9931-EE0611239F95}">
    <text>Enter number person months here, based on a standard 12-month appointment.</text>
  </threadedComment>
  <threadedComment ref="H35" personId="{AB0451E4-235D-4934-A28C-750C4FFC9607}" id="{3C8722C9-D7A0-4A85-AB65-1CB9EFB40FCD}">
    <text>Enter number person months here, based on a standard 12-month appointment.</text>
  </threadedComment>
  <threadedComment ref="H36" personId="{AB0451E4-235D-4934-A28C-750C4FFC9607}" id="{C0C4431F-3001-406E-B037-4BE13226B9E2}">
    <text>Enter number person months here, based on a standard 12-month appointment.</text>
  </threadedComment>
  <threadedComment ref="H37" personId="{AB0451E4-235D-4934-A28C-750C4FFC9607}" id="{D69F1058-0F1B-479B-9157-E6D922512215}">
    <text>Enter number person months here, based on a standard 12-month appointment.</text>
  </threadedComment>
  <threadedComment ref="H38" personId="{AB0451E4-235D-4934-A28C-750C4FFC9607}" id="{2AA27221-9295-4AD4-ACFD-14C5CC31B873}">
    <text>Enter number person months here, based on a standard 12-month appointment.</text>
  </threadedComment>
  <threadedComment ref="H39" personId="{AB0451E4-235D-4934-A28C-750C4FFC9607}" id="{E0219C32-F0B2-442E-AA49-75CC7FB726AA}">
    <text>Enter number person months here, based on a standard 12-month appointment.</text>
  </threadedComment>
  <threadedComment ref="H40" personId="{AB0451E4-235D-4934-A28C-750C4FFC9607}" id="{036BFBD8-0E1B-45AE-93B8-DA0E5ABA7462}">
    <text>Enter number person months here, based on a standard 12-month appointment.</text>
  </threadedComment>
</ThreadedComments>
</file>

<file path=xl/threadedComments/threadedComment3.xml><?xml version="1.0" encoding="utf-8"?>
<ThreadedComments xmlns="http://schemas.microsoft.com/office/spreadsheetml/2018/threadedcomments" xmlns:x="http://schemas.openxmlformats.org/spreadsheetml/2006/main">
  <threadedComment ref="H32" personId="{AB0451E4-235D-4934-A28C-750C4FFC9607}" id="{89F1CB09-86F0-4D36-B2AE-2239755C48AE}">
    <text>Enter number person months here, based on a standard 12-month appointment.</text>
  </threadedComment>
  <threadedComment ref="H33" personId="{AB0451E4-235D-4934-A28C-750C4FFC9607}" id="{BFF0C05E-6F02-4462-AF4E-9A3A4110D413}">
    <text>Enter number person months here, based on a standard 12-month appointment.</text>
  </threadedComment>
  <threadedComment ref="H34" personId="{AB0451E4-235D-4934-A28C-750C4FFC9607}" id="{9252E790-7DDF-43D7-8227-AFC6538265D7}">
    <text>Enter number person months here, based on a standard 12-month appointment.</text>
  </threadedComment>
  <threadedComment ref="H35" personId="{AB0451E4-235D-4934-A28C-750C4FFC9607}" id="{5940B71B-F316-4FD7-8FF7-A74DBED809F6}">
    <text>Enter number person months here, based on a standard 12-month appointment.</text>
  </threadedComment>
  <threadedComment ref="H36" personId="{AB0451E4-235D-4934-A28C-750C4FFC9607}" id="{BD9939AA-1DF6-4590-92C7-73C0541633BF}">
    <text>Enter number person months here, based on a standard 12-month appointment.</text>
  </threadedComment>
  <threadedComment ref="H37" personId="{AB0451E4-235D-4934-A28C-750C4FFC9607}" id="{CC2BAFD2-FC0F-4DCA-A6B5-9F11F85FE0C3}">
    <text>Enter number person months here, based on a standard 12-month appointment.</text>
  </threadedComment>
  <threadedComment ref="H38" personId="{AB0451E4-235D-4934-A28C-750C4FFC9607}" id="{C30FB1A5-8B0D-44A2-A6E4-3A539F8F98AB}">
    <text>Enter number person months here, based on a standard 12-month appointment.</text>
  </threadedComment>
  <threadedComment ref="H39" personId="{AB0451E4-235D-4934-A28C-750C4FFC9607}" id="{CC8A343C-FDEF-4D65-9DAB-6CA5D7A87B8B}">
    <text>Enter number person months here, based on a standard 12-month appointment.</text>
  </threadedComment>
  <threadedComment ref="H40" personId="{AB0451E4-235D-4934-A28C-750C4FFC9607}" id="{FDC0D041-7C17-4807-B77C-AD8CF3A2CF7C}">
    <text>Enter number person months here, based on a standard 12-month appointment.</text>
  </threadedComment>
</ThreadedComments>
</file>

<file path=xl/threadedComments/threadedComment4.xml><?xml version="1.0" encoding="utf-8"?>
<ThreadedComments xmlns="http://schemas.microsoft.com/office/spreadsheetml/2018/threadedcomments" xmlns:x="http://schemas.openxmlformats.org/spreadsheetml/2006/main">
  <threadedComment ref="H32" personId="{AB0451E4-235D-4934-A28C-750C4FFC9607}" id="{69C23923-06BD-4E39-8951-09B646D659E8}">
    <text>Enter number person months here, based on a standard 12-month appointment.</text>
  </threadedComment>
  <threadedComment ref="H33" personId="{AB0451E4-235D-4934-A28C-750C4FFC9607}" id="{B91AEB54-B069-42F2-ACE8-6B5A27116C20}">
    <text>Enter number person months here, based on a standard 12-month appointment.</text>
  </threadedComment>
  <threadedComment ref="H34" personId="{AB0451E4-235D-4934-A28C-750C4FFC9607}" id="{8BB8A11A-1030-4F19-A554-BFC5EADF3059}">
    <text>Enter number person months here, based on a standard 12-month appointment.</text>
  </threadedComment>
  <threadedComment ref="H35" personId="{AB0451E4-235D-4934-A28C-750C4FFC9607}" id="{034799DD-B933-4397-9DAB-32A5D0BB43AD}">
    <text>Enter number person months here, based on a standard 12-month appointment.</text>
  </threadedComment>
  <threadedComment ref="H36" personId="{AB0451E4-235D-4934-A28C-750C4FFC9607}" id="{FCCD2E28-CBD5-428C-9EE3-2B34E447C200}">
    <text>Enter number person months here, based on a standard 12-month appointment.</text>
  </threadedComment>
  <threadedComment ref="H37" personId="{AB0451E4-235D-4934-A28C-750C4FFC9607}" id="{E26F9998-C1CF-44B6-96B9-FF292BEBC29B}">
    <text>Enter number person months here, based on a standard 12-month appointment.</text>
  </threadedComment>
  <threadedComment ref="H38" personId="{AB0451E4-235D-4934-A28C-750C4FFC9607}" id="{E7EECBE9-8CE6-4A3E-A882-C3415AB89CE0}">
    <text>Enter number person months here, based on a standard 12-month appointment.</text>
  </threadedComment>
  <threadedComment ref="H39" personId="{AB0451E4-235D-4934-A28C-750C4FFC9607}" id="{A14B8611-ED7E-482D-90EB-A1BD87F27776}">
    <text>Enter number person months here, based on a standard 12-month appointment.</text>
  </threadedComment>
  <threadedComment ref="H40" personId="{AB0451E4-235D-4934-A28C-750C4FFC9607}" id="{F52A9170-CF5E-4ED3-889E-58A9F33EB92A}">
    <text>Enter number person months here, based on a standard 12-month appointment.</text>
  </threadedComment>
</ThreadedComments>
</file>

<file path=xl/threadedComments/threadedComment5.xml><?xml version="1.0" encoding="utf-8"?>
<ThreadedComments xmlns="http://schemas.microsoft.com/office/spreadsheetml/2018/threadedcomments" xmlns:x="http://schemas.openxmlformats.org/spreadsheetml/2006/main">
  <threadedComment ref="H32" personId="{AB0451E4-235D-4934-A28C-750C4FFC9607}" id="{A0E48B2A-0BEA-4544-971D-8CAA3515E656}">
    <text>Enter number person months here, based on a standard 12-month appointment.</text>
  </threadedComment>
  <threadedComment ref="H33" personId="{AB0451E4-235D-4934-A28C-750C4FFC9607}" id="{94B6D005-977F-4C38-91AC-9F1AD7F9E9AA}">
    <text>Enter number person months here, based on a standard 12-month appointment.</text>
  </threadedComment>
  <threadedComment ref="H34" personId="{AB0451E4-235D-4934-A28C-750C4FFC9607}" id="{3E569483-A4F0-40F7-BA05-407DA85E7CE9}">
    <text>Enter number person months here, based on a standard 12-month appointment.</text>
  </threadedComment>
  <threadedComment ref="H35" personId="{AB0451E4-235D-4934-A28C-750C4FFC9607}" id="{0E472065-B46E-4000-91A6-666A89C27A1F}">
    <text>Enter number person months here, based on a standard 12-month appointment.</text>
  </threadedComment>
  <threadedComment ref="H36" personId="{AB0451E4-235D-4934-A28C-750C4FFC9607}" id="{92DE84D3-D75D-4296-ABEE-D672C5DBF336}">
    <text>Enter number person months here, based on a standard 12-month appointment.</text>
  </threadedComment>
  <threadedComment ref="H37" personId="{AB0451E4-235D-4934-A28C-750C4FFC9607}" id="{FB3D8803-B9FB-40C1-98A9-8C3B0CC087E8}">
    <text>Enter number person months here, based on a standard 12-month appointment.</text>
  </threadedComment>
  <threadedComment ref="H38" personId="{AB0451E4-235D-4934-A28C-750C4FFC9607}" id="{37346E61-B275-4ABB-A845-2255FD52D6E4}">
    <text>Enter number person months here, based on a standard 12-month appointment.</text>
  </threadedComment>
  <threadedComment ref="H39" personId="{AB0451E4-235D-4934-A28C-750C4FFC9607}" id="{09CFE120-2F21-4C37-90DB-F436B2583B72}">
    <text>Enter number person months here, based on a standard 12-month appointment.</text>
  </threadedComment>
  <threadedComment ref="H40" personId="{AB0451E4-235D-4934-A28C-750C4FFC9607}" id="{859410D9-ECFB-4470-AFA9-D8959FD9663B}">
    <text>Enter number person months here, based on a standard 12-month appointment.</text>
  </threadedComment>
</ThreadedComments>
</file>

<file path=xl/threadedComments/threadedComment6.xml><?xml version="1.0" encoding="utf-8"?>
<ThreadedComments xmlns="http://schemas.microsoft.com/office/spreadsheetml/2018/threadedcomments" xmlns:x="http://schemas.openxmlformats.org/spreadsheetml/2006/main">
  <threadedComment ref="N2" personId="{402C552D-6CFD-4D9F-A6D7-84EBD06F363F}" id="{C2574E76-ECC7-4B40-829C-703FD11191FE}">
    <text>Enter # of days here.</text>
  </threadedComment>
  <threadedComment ref="N3" personId="{402C552D-6CFD-4D9F-A6D7-84EBD06F363F}" id="{14AA5514-A76C-4AF1-ACD7-418E35426D6F}">
    <text>Enter # of travelers here.</text>
  </threadedComment>
  <threadedComment ref="N4" personId="{402C552D-6CFD-4D9F-A6D7-84EBD06F363F}" id="{B1CEFA16-FC0F-4D85-94C6-AD7862EB6F84}">
    <text>Enter cost-share percentage here.</text>
  </threadedComment>
  <threadedComment ref="I9" personId="{402C552D-6CFD-4D9F-A6D7-84EBD06F363F}" id="{2DB2304C-B95C-427E-8EA3-337D3D66F91D}">
    <text>Enter the identifier here.</text>
  </threadedComment>
  <threadedComment ref="J9" personId="{402C552D-6CFD-4D9F-A6D7-84EBD06F363F}" id="{E46FD315-064A-4445-9100-721A9D302354}">
    <text>Enter the identifier here.</text>
  </threadedComment>
  <threadedComment ref="K9" personId="{402C552D-6CFD-4D9F-A6D7-84EBD06F363F}" id="{C3EAEBE7-D961-4F68-A8F8-89A1BB7A43F7}">
    <text>Enter the identifier here.</text>
  </threadedComment>
  <threadedComment ref="I10" personId="{402C552D-6CFD-4D9F-A6D7-84EBD06F363F}" id="{2FFB7D49-7DAD-46D5-8102-F2FE1EFC4705}">
    <text>Enter the identifier here.</text>
  </threadedComment>
  <threadedComment ref="J10" personId="{402C552D-6CFD-4D9F-A6D7-84EBD06F363F}" id="{64A4ACF0-6987-498E-869D-AE17DC64C16A}">
    <text>Enter the identifier here.</text>
  </threadedComment>
  <threadedComment ref="K10" personId="{402C552D-6CFD-4D9F-A6D7-84EBD06F363F}" id="{7ABFC207-5450-4B99-8934-789316F50597}">
    <text>Enter the identifier here.</text>
  </threadedComment>
  <threadedComment ref="I11" personId="{402C552D-6CFD-4D9F-A6D7-84EBD06F363F}" id="{8FD8BC0A-30E5-4F02-BEF9-3FD2A9E04AC6}">
    <text>Enter the identifier here.</text>
  </threadedComment>
  <threadedComment ref="J11" personId="{402C552D-6CFD-4D9F-A6D7-84EBD06F363F}" id="{26C4C966-09E9-441E-8F8A-4C5E9988E76E}">
    <text>Enter the identifier here.</text>
  </threadedComment>
  <threadedComment ref="K11" personId="{402C552D-6CFD-4D9F-A6D7-84EBD06F363F}" id="{79122D2D-66B6-4372-BEC7-ED67BB4FA85F}">
    <text>Enter the identifier here.</text>
  </threadedComment>
  <threadedComment ref="I12" personId="{402C552D-6CFD-4D9F-A6D7-84EBD06F363F}" id="{607D5E5B-C027-42AB-8DFE-BC76FC2450A5}">
    <text>Enter the identifier here.</text>
  </threadedComment>
  <threadedComment ref="J12" personId="{402C552D-6CFD-4D9F-A6D7-84EBD06F363F}" id="{A67C8CD1-7574-41D2-948A-482CB47ABF31}">
    <text>Enter the identifier here.</text>
  </threadedComment>
  <threadedComment ref="K12" personId="{402C552D-6CFD-4D9F-A6D7-84EBD06F363F}" id="{3B2CA01A-93CF-4EC8-85BB-ECF3D5463D8D}">
    <text>Enter the identifier here.</text>
  </threadedComment>
  <threadedComment ref="I13" personId="{402C552D-6CFD-4D9F-A6D7-84EBD06F363F}" id="{5BF117BA-E325-43E7-8507-431F8917D8E1}">
    <text>Enter the identifier here.</text>
  </threadedComment>
  <threadedComment ref="J13" personId="{402C552D-6CFD-4D9F-A6D7-84EBD06F363F}" id="{FC267335-0C8E-4682-A00D-A1A91AF5D8EE}">
    <text>Enter the identifier here.</text>
  </threadedComment>
  <threadedComment ref="K13" personId="{402C552D-6CFD-4D9F-A6D7-84EBD06F363F}" id="{60E580EB-8B00-4AC0-85C8-EE8BEEAA51A7}">
    <text>Enter the identifier here.</text>
  </threadedComment>
  <threadedComment ref="H17" personId="{402C552D-6CFD-4D9F-A6D7-84EBD06F363F}" id="{1AAA62DA-7E97-400D-8517-CDCB601DBAE6}">
    <text xml:space="preserve">If (domestic) destination is unknown, use these rates for Lodging and M&amp;IE.
</text>
  </threadedComment>
</ThreadedComments>
</file>

<file path=xl/threadedComments/threadedComment7.xml><?xml version="1.0" encoding="utf-8"?>
<ThreadedComments xmlns="http://schemas.microsoft.com/office/spreadsheetml/2018/threadedcomments" xmlns:x="http://schemas.openxmlformats.org/spreadsheetml/2006/main">
  <threadedComment ref="J74" personId="{33F00107-71D0-498E-A865-080DF938E6F6}" id="{B0425895-DF47-4AAF-8014-7F94219A5AB3}">
    <text>Rates are actual FY13 benefit rates from 7/30/12 Eugene Sunshine memo.</text>
  </threadedComment>
  <threadedComment ref="L74" personId="{33F00107-71D0-498E-A865-080DF938E6F6}" id="{9912DD39-F228-4D44-B35E-29A065A6FA9B}">
    <text>Quarterly rate per TGS 5/17/12.</text>
  </threadedComment>
  <threadedComment ref="J86" personId="{33F00107-71D0-498E-A865-080DF938E6F6}" id="{4144F7DA-1B19-419C-AC48-129DE91EC6D2}">
    <text>Rates from 7/30/12 Eugene Sunshine memo - projected for FY14-17.</text>
  </threadedComment>
  <threadedComment ref="L86" personId="{2D5813AE-A835-4069-8A55-5DE2B3889C6F}" id="{A02FC428-DB01-4A4F-8FA8-5D1B2511B3DC}">
    <text>Quarterly rate per TGS 4/30/13</text>
  </threadedComment>
  <threadedComment ref="L98" personId="{402C552D-6CFD-4D9F-A6D7-84EBD06F363F}" id="{A23EB8FD-9445-47F3-BFAE-B8A745B02816}">
    <text>Quarterly rates per TGS 05/01/2014</text>
  </threadedComment>
  <threadedComment ref="L110" personId="{402C552D-6CFD-4D9F-A6D7-84EBD06F363F}" id="{357B9499-0C55-42C1-A4AD-6E5FA7308C7F}">
    <text>Quarterly rates per TGS 06/08/2015</text>
  </threadedComment>
  <threadedComment ref="L122" personId="{9746C5A6-F367-40E6-A1FB-7DDB0150D907}" id="{FC5707F5-C204-4E6C-A969-32BC2DAC9D48}">
    <text>Quarterly rates per TGS  5/2/2016</text>
  </threadedComment>
  <threadedComment ref="L134" personId="{A6995CC8-834C-4C7D-A989-EA27472566BF}" id="{20FFDB19-2A8D-4CD1-A853-78D0E90A84C2}">
    <text>Quarterly Rate per TGS 5/24/17</text>
  </threadedComment>
  <threadedComment ref="L146" personId="{402C552D-6CFD-4D9F-A6D7-84EBD06F363F}" id="{70230BEA-0414-40E2-940C-4795E40BC65F}">
    <text>Quarterly Rate per TGS 5/9/18</text>
  </threadedComment>
  <threadedComment ref="L158" personId="{01010E07-EFA3-45C6-BCEE-4BA363E3248A}" id="{45D01AEB-4856-489D-A276-41DC0FF49D19}">
    <text>Quarter PI Rate per TGS (3/12/19)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aoprals.state.gov/web920/per_diem.asp" TargetMode="External"/><Relationship Id="rId7" Type="http://schemas.openxmlformats.org/officeDocument/2006/relationships/hyperlink" Target="https://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ontent/104877" TargetMode="External"/><Relationship Id="rId6" Type="http://schemas.openxmlformats.org/officeDocument/2006/relationships/hyperlink" Target="http://www.defensetravel.dod.mil/site/perdiemCalc.cfm" TargetMode="External"/><Relationship Id="rId11" Type="http://schemas.microsoft.com/office/2017/10/relationships/threadedComment" Target="../threadedComments/threadedComment6.xml"/><Relationship Id="rId5" Type="http://schemas.openxmlformats.org/officeDocument/2006/relationships/hyperlink" Target="http://www.northwestern.edu/uservices/travel/index.html" TargetMode="External"/><Relationship Id="rId10" Type="http://schemas.openxmlformats.org/officeDocument/2006/relationships/comments" Target="../comments6.xml"/><Relationship Id="rId4" Type="http://schemas.openxmlformats.org/officeDocument/2006/relationships/hyperlink" Target="http://www.defensetravel.dod.mil/site/perdiemCalc.cfm" TargetMode="External"/><Relationship Id="rId9"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grants.nih.gov/training/phs2271.pdf"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 Id="rId4" Type="http://schemas.microsoft.com/office/2017/10/relationships/threadedComment" Target="../threadedComments/threadedComment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OSR-Evanston@northwestern.edu"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nucore.northwestern.edu/facilities" TargetMode="External"/><Relationship Id="rId2" Type="http://schemas.openxmlformats.org/officeDocument/2006/relationships/hyperlink" Target="https://nucore.northwestern.edu/facilities" TargetMode="External"/><Relationship Id="rId1" Type="http://schemas.openxmlformats.org/officeDocument/2006/relationships/hyperlink" Target="https://nucore.northwestern.edu/facilities"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filterMode="1">
    <tabColor theme="6" tint="0.59999389629810485"/>
    <pageSetUpPr fitToPage="1"/>
  </sheetPr>
  <dimension ref="A1:S93"/>
  <sheetViews>
    <sheetView workbookViewId="0">
      <selection activeCell="I1" sqref="I1"/>
    </sheetView>
  </sheetViews>
  <sheetFormatPr defaultRowHeight="15.75"/>
  <cols>
    <col min="1" max="1" width="47.5703125" style="73" bestFit="1" customWidth="1"/>
    <col min="2" max="7" width="12.5703125" style="73" customWidth="1"/>
    <col min="8" max="8" width="3.85546875" style="73" customWidth="1"/>
    <col min="9" max="9" width="35.7109375" style="73" customWidth="1"/>
    <col min="10" max="10" width="3.85546875" style="73" customWidth="1"/>
    <col min="11" max="13" width="8.85546875" style="73" customWidth="1"/>
    <col min="14" max="19" width="8.28515625" style="73" customWidth="1"/>
    <col min="20" max="16384" width="9.140625" style="73"/>
  </cols>
  <sheetData>
    <row r="1" spans="1:19" ht="31.5" customHeight="1" thickBot="1">
      <c r="A1" s="709" t="str">
        <f>'BP1'!A1:L1</f>
        <v>Title</v>
      </c>
      <c r="B1" s="710"/>
      <c r="C1" s="710"/>
      <c r="D1" s="710"/>
      <c r="E1" s="710"/>
      <c r="F1" s="710"/>
      <c r="G1" s="711"/>
      <c r="I1" s="140" t="s">
        <v>193</v>
      </c>
      <c r="K1" s="718" t="s">
        <v>232</v>
      </c>
      <c r="L1" s="719"/>
      <c r="M1" s="719"/>
      <c r="N1" s="719"/>
      <c r="O1" s="719"/>
      <c r="P1" s="719"/>
      <c r="Q1" s="719"/>
      <c r="R1" s="719"/>
      <c r="S1" s="720"/>
    </row>
    <row r="2" spans="1:19" ht="31.5" customHeight="1">
      <c r="A2" s="542" t="str">
        <f>"Northwestern PI 
"&amp;'BP1'!A11</f>
        <v>Northwestern PI 
Professor McCormick</v>
      </c>
      <c r="B2" s="697" t="str">
        <f>CONCATENATE("Start Date: 
",TEXT('BP1'!K8,"mmmm d, yyyy"))</f>
        <v>Start Date: 
September 1, 2019</v>
      </c>
      <c r="C2" s="698"/>
      <c r="D2" s="697" t="str">
        <f ca="1">CONCATENATE("End Date: 
",TEXT(INDIRECT("BP"&amp;'BP1'!K5&amp;"!K10"),"mmmm d, yyyy"))</f>
        <v>End Date: 
August 31, 2020</v>
      </c>
      <c r="E2" s="698"/>
      <c r="F2" s="716" t="str">
        <f>CONCATENATE('BP1'!K5," ","Budget Period",IF('BP1'!K5&gt;1,"s",""))</f>
        <v>1 Budget Period</v>
      </c>
      <c r="G2" s="717"/>
      <c r="I2" s="135" t="s">
        <v>225</v>
      </c>
      <c r="K2" s="234"/>
      <c r="L2" s="234"/>
      <c r="M2" s="234"/>
      <c r="N2" s="234"/>
    </row>
    <row r="3" spans="1:19">
      <c r="A3" s="713" t="str">
        <f>IF('BP1'!L2="No F&amp;A","No Indirect Costs",CONCATENATE("Initial Fiscal Year ",'BP1'!K2," ",'BP1'!L2," F&amp;A Rate of ",IF('BP1'!L2="Custom",TEXT('BP1'!I77,"0.00%"),TEXT('BP1'!G77,"0.00%"))))</f>
        <v>Initial Fiscal Year Federal On Campus F&amp;A Rate of 58.00%</v>
      </c>
      <c r="B3" s="714"/>
      <c r="C3" s="715"/>
      <c r="D3" s="543" t="str">
        <f>'BP1'!K3</f>
        <v>MTDC</v>
      </c>
      <c r="E3" s="699" t="str">
        <f>CONCATENATE(TEXT('BP1'!$K$7,"0.00%")," ","Annual Salary Increase")</f>
        <v>3.00% Annual Salary Increase</v>
      </c>
      <c r="F3" s="700"/>
      <c r="G3" s="701"/>
      <c r="I3" s="135" t="s">
        <v>225</v>
      </c>
      <c r="K3" s="234"/>
      <c r="L3" s="234"/>
      <c r="M3" s="234"/>
      <c r="N3" s="234"/>
    </row>
    <row r="4" spans="1:19" ht="16.5" thickBot="1">
      <c r="A4" s="712" t="str">
        <f ca="1">IF('BP1'!N84&gt;0,"WARNING! You have budgeted cost-share funds. Please use the Cost Share Summary!","")</f>
        <v/>
      </c>
      <c r="B4" s="712"/>
      <c r="C4" s="712"/>
      <c r="D4" s="712"/>
      <c r="E4" s="712"/>
      <c r="F4" s="712"/>
      <c r="G4" s="712"/>
      <c r="I4" s="135" t="s">
        <v>225</v>
      </c>
      <c r="K4" s="234"/>
      <c r="L4" s="234"/>
      <c r="M4" s="234"/>
      <c r="N4" s="234"/>
    </row>
    <row r="5" spans="1:19" ht="31.5" customHeight="1">
      <c r="A5" s="75"/>
      <c r="B5" s="522" t="s">
        <v>431</v>
      </c>
      <c r="C5" s="522" t="str">
        <f>IF('BP1'!$K$5&gt;1,"Budget Period 2","")</f>
        <v/>
      </c>
      <c r="D5" s="522" t="str">
        <f>IF('BP1'!$K$5&gt;2,"Budget Period 3","")</f>
        <v/>
      </c>
      <c r="E5" s="522" t="str">
        <f>IF('BP1'!$K$5&gt;3,"Budget Period 4","")</f>
        <v/>
      </c>
      <c r="F5" s="522" t="str">
        <f>IF('BP1'!$K$5&gt;4,"Budget Period 5","")</f>
        <v/>
      </c>
      <c r="G5" s="524" t="s">
        <v>296</v>
      </c>
      <c r="I5" s="135" t="s">
        <v>225</v>
      </c>
    </row>
    <row r="6" spans="1:19" ht="31.5" customHeight="1" thickBot="1">
      <c r="A6" s="75"/>
      <c r="B6" s="523" t="str">
        <f>IF('BP1'!K5&gt;0,CONCATENATE(TEXT('BP1'!K8,"m/d/yy")," - ",TEXT('BP1'!K10,"m/d/yy")),"")</f>
        <v>9/1/19 - 8/31/20</v>
      </c>
      <c r="C6" s="523" t="str">
        <f>IF('BP1'!$K$5&gt;1,CONCATENATE(TEXT('BP2'!$K$8,"m/d/yy")," - ",TEXT('BP2'!$K$10,"m/d/yy")),"")</f>
        <v/>
      </c>
      <c r="D6" s="523" t="str">
        <f>IF('BP1'!$K$5&gt;2,CONCATENATE(TEXT('BP3'!$K$8,"m/d/yy")," - ",TEXT('BP3'!$K$10,"m/d/yy")),"")</f>
        <v/>
      </c>
      <c r="E6" s="523" t="str">
        <f>IF('BP1'!$K$5&gt;3,CONCATENATE(TEXT('BP4'!$K$8,"m/d/yy")," - ",TEXT('BP4'!$K$10,"m/d/yy")),"")</f>
        <v/>
      </c>
      <c r="F6" s="523" t="str">
        <f>IF('BP1'!$K$5&gt;4,CONCATENATE(TEXT('BP5'!$K$8,"m/d/yy")," - ",TEXT('BP5'!$K$10,"m/d/yy")),"")</f>
        <v/>
      </c>
      <c r="G6" s="525" t="str">
        <f ca="1">CONCATENATE(TEXT('BP1'!K8,"m/d/yy")," - ",TEXT(INDIRECT("BP"&amp;'BP1'!K5&amp;"!K10"),"m/d/yy"))</f>
        <v>9/1/19 - 8/31/20</v>
      </c>
      <c r="I6" s="135" t="s">
        <v>225</v>
      </c>
      <c r="K6" s="708" t="s">
        <v>233</v>
      </c>
      <c r="L6" s="708"/>
      <c r="M6" s="708"/>
      <c r="N6" s="428" t="s">
        <v>431</v>
      </c>
      <c r="O6" s="428" t="s">
        <v>432</v>
      </c>
      <c r="P6" s="428" t="s">
        <v>433</v>
      </c>
      <c r="Q6" s="428" t="s">
        <v>434</v>
      </c>
      <c r="R6" s="428" t="s">
        <v>435</v>
      </c>
      <c r="S6" s="428" t="s">
        <v>99</v>
      </c>
    </row>
    <row r="7" spans="1:19" s="84" customFormat="1" ht="15.75" customHeight="1">
      <c r="A7" s="77" t="str">
        <f>IF('BP1'!$B$15="Professor McCormick","Senior Personnel 1 Salary",IF(ISBLANK('BP1'!$B$15),"Senior Personnel 1 Salary",""&amp;'BP1'!$B$15&amp;" Salary"))</f>
        <v>Senior Personnel 1 Salary</v>
      </c>
      <c r="B7" s="508">
        <f>'BP1'!$K$15</f>
        <v>0</v>
      </c>
      <c r="C7" s="508">
        <f ca="1">'BP2'!$K$15</f>
        <v>0</v>
      </c>
      <c r="D7" s="508">
        <f ca="1">'BP3'!$K$15</f>
        <v>0</v>
      </c>
      <c r="E7" s="508">
        <f ca="1">'BP4'!$K$15</f>
        <v>0</v>
      </c>
      <c r="F7" s="509">
        <f ca="1">'BP5'!$K$15</f>
        <v>0</v>
      </c>
      <c r="G7" s="508">
        <f ca="1">SUM(B7:F7)</f>
        <v>0</v>
      </c>
      <c r="I7" s="135" t="s">
        <v>225</v>
      </c>
      <c r="K7" s="702" t="str">
        <f>IF('BP1'!$B$15="Professor McCormick","Senior Personnel 1",IF(ISBLANK('BP1'!$B$15),"Senior Personnel 1",'BP1'!$B$15))</f>
        <v>Senior Personnel 1</v>
      </c>
      <c r="L7" s="703"/>
      <c r="M7" s="704"/>
      <c r="N7" s="693" t="str">
        <f>IF('BP1'!H15&gt;0,TEXT('BP1'!H15,"0.00")&amp;" CM",IF('BP1'!I15&gt;0,TEXT('BP1'!I15,"0.00")&amp;" AM"&amp;IF(AND('BP1'!I15&gt;0,'BP1'!J15&gt;0),"; ","")&amp;IF('BP1'!J15&gt;0,TEXT('BP1'!J15,"0.00")&amp;" SM",""),IF('BP1'!J15&gt;0,TEXT('BP1'!J15,"0.00")&amp;" SM","---")))</f>
        <v>---</v>
      </c>
      <c r="O7" s="693" t="str">
        <f>IF('BP2'!H15&gt;0,TEXT('BP2'!H15,"0.00")&amp;" CM",IF('BP2'!I15&gt;0,TEXT('BP2'!I15,"0.00")&amp;" AM"&amp;IF(AND('BP2'!I15&gt;0,'BP2'!J15&gt;0),"; ","")&amp;IF('BP2'!J15&gt;0,TEXT('BP2'!J15,"0.00")&amp;" SM",""),IF('BP2'!J15&gt;0,TEXT('BP2'!J15,"0.00")&amp;" SM","---")))</f>
        <v>---</v>
      </c>
      <c r="P7" s="693" t="str">
        <f>IF('BP3'!H15&gt;0,TEXT('BP3'!H15,"0.00")&amp;" CM",IF('BP3'!I15&gt;0,TEXT('BP3'!I15,"0.00")&amp;" AM"&amp;IF(AND('BP3'!I15&gt;0,'BP3'!J15&gt;0),"; ","")&amp;IF('BP3'!J15&gt;0,TEXT('BP3'!J15,"0.00")&amp;" SM",""),IF('BP3'!J15&gt;0,TEXT('BP3'!J15,"0.00")&amp;" SM","---")))</f>
        <v>---</v>
      </c>
      <c r="Q7" s="693" t="str">
        <f>IF('BP4'!H15&gt;0,TEXT('BP4'!H15,"0.00")&amp;" CM",IF('BP4'!I15&gt;0,TEXT('BP4'!I15,"0.00")&amp;" AM"&amp;IF(AND('BP4'!I15&gt;0,'BP4'!J15&gt;0),"; ","")&amp;IF('BP4'!J15&gt;0,TEXT('BP4'!J15,"0.00")&amp;" SM",""),IF('BP4'!J15&gt;0,TEXT('BP4'!J15,"0.00")&amp;" SM","---")))</f>
        <v>---</v>
      </c>
      <c r="R7" s="693" t="str">
        <f>IF('BP5'!H15&gt;0,TEXT('BP5'!H15,"0.00")&amp;" CM",IF('BP5'!I15&gt;0,TEXT('BP5'!I15,"0.00")&amp;" AM"&amp;IF(AND('BP5'!I15&gt;0,'BP5'!J15&gt;0),"; ","")&amp;IF('BP5'!J15&gt;0,TEXT('BP5'!J15,"0.00")&amp;" SM",""),IF('BP5'!J15&gt;0,TEXT('BP5'!J15,"0.00")&amp;" SM","---")))</f>
        <v>---</v>
      </c>
      <c r="S7" s="693" t="str">
        <f>IF('Cumulative Budget'!H15&gt;0,TEXT('Cumulative Budget'!H15,"0.00")&amp;" CM",IF('Cumulative Budget'!I15&gt;0,TEXT('Cumulative Budget'!I15,"0.00")&amp;" AM"&amp;IF(AND('Cumulative Budget'!I15&gt;0,'Cumulative Budget'!J15&gt;0),"; ","")&amp;IF('Cumulative Budget'!J15&gt;0,TEXT('Cumulative Budget'!J15,"0.00")&amp;" SM",""),IF('Cumulative Budget'!J15&gt;0,TEXT('Cumulative Budget'!J15,"0.00")&amp;" SM","---")))</f>
        <v>---</v>
      </c>
    </row>
    <row r="8" spans="1:19" s="84" customFormat="1" ht="15.75" customHeight="1">
      <c r="A8" s="77" t="str">
        <f>IF('BP1'!$B$15="Professor McCormick","Senior Personnel 1 Fringe",IF(ISBLANK('BP1'!$B$15),"Senior Personnel 1 Fringe",""&amp;'BP1'!$B$15&amp;" Fringe"))</f>
        <v>Senior Personnel 1 Fringe</v>
      </c>
      <c r="B8" s="508">
        <f>'BP1'!$L$15</f>
        <v>0</v>
      </c>
      <c r="C8" s="508">
        <f ca="1">'BP2'!$L$15</f>
        <v>0</v>
      </c>
      <c r="D8" s="508">
        <f ca="1">'BP3'!$L$15</f>
        <v>0</v>
      </c>
      <c r="E8" s="508">
        <f ca="1">'BP4'!$L$15</f>
        <v>0</v>
      </c>
      <c r="F8" s="509">
        <f ca="1">'BP5'!$L$15</f>
        <v>0</v>
      </c>
      <c r="G8" s="508">
        <f t="shared" ref="G8:G78" ca="1" si="0">SUM(B8:F8)</f>
        <v>0</v>
      </c>
      <c r="I8" s="135" t="s">
        <v>225</v>
      </c>
      <c r="K8" s="705"/>
      <c r="L8" s="706"/>
      <c r="M8" s="707"/>
      <c r="N8" s="693"/>
      <c r="O8" s="693"/>
      <c r="P8" s="693"/>
      <c r="Q8" s="693"/>
      <c r="R8" s="693"/>
      <c r="S8" s="693"/>
    </row>
    <row r="9" spans="1:19" s="84" customFormat="1" ht="15.75" customHeight="1">
      <c r="A9" s="77" t="str">
        <f>CONCATENATE(K9," Salary")</f>
        <v>Senior Personnel 2 Salary</v>
      </c>
      <c r="B9" s="508">
        <f>'BP1'!$K$16</f>
        <v>0</v>
      </c>
      <c r="C9" s="508">
        <f ca="1">'BP2'!$K$16</f>
        <v>0</v>
      </c>
      <c r="D9" s="508">
        <f ca="1">'BP3'!$K$16</f>
        <v>0</v>
      </c>
      <c r="E9" s="508">
        <f ca="1">'BP4'!$K$16</f>
        <v>0</v>
      </c>
      <c r="F9" s="509">
        <f ca="1">'BP5'!$K$16</f>
        <v>0</v>
      </c>
      <c r="G9" s="508">
        <f t="shared" ca="1" si="0"/>
        <v>0</v>
      </c>
      <c r="I9" s="135" t="s">
        <v>225</v>
      </c>
      <c r="K9" s="702" t="str">
        <f>IF(ISBLANK('BP1'!$B$16),"Senior Personnel 2",""&amp;'BP1'!$B$16)</f>
        <v>Senior Personnel 2</v>
      </c>
      <c r="L9" s="703"/>
      <c r="M9" s="704"/>
      <c r="N9" s="693" t="str">
        <f>IF('BP1'!H16&gt;0,TEXT('BP1'!H16,"0.00")&amp;" CM",IF('BP1'!I16&gt;0,TEXT('BP1'!I16,"0.00")&amp;" AM"&amp;IF(AND('BP1'!I16&gt;0,'BP1'!J16&gt;0),"; ","")&amp;IF('BP1'!J16&gt;0,TEXT('BP1'!J16,"0.00")&amp;" SM",""),IF('BP1'!J16&gt;0,TEXT('BP1'!J16,"0.00")&amp;" SM","---")))</f>
        <v>---</v>
      </c>
      <c r="O9" s="693" t="str">
        <f>IF('BP2'!H16&gt;0,TEXT('BP2'!H16,"0.00")&amp;" CM",IF('BP2'!I16&gt;0,TEXT('BP2'!I16,"0.00")&amp;" AM"&amp;IF(AND('BP2'!I16&gt;0,'BP2'!J16&gt;0),"; ","")&amp;IF('BP2'!J16&gt;0,TEXT('BP2'!J16,"0.00")&amp;" SM",""),IF('BP2'!J16&gt;0,TEXT('BP2'!J16,"0.00")&amp;" SM","---")))</f>
        <v>---</v>
      </c>
      <c r="P9" s="693" t="str">
        <f>IF('BP3'!H16&gt;0,TEXT('BP3'!H16,"0.00")&amp;" CM",IF('BP3'!I16&gt;0,TEXT('BP3'!I16,"0.00")&amp;" AM"&amp;IF(AND('BP3'!I16&gt;0,'BP3'!J16&gt;0),"; ","")&amp;IF('BP3'!J16&gt;0,TEXT('BP3'!J16,"0.00")&amp;" SM",""),IF('BP3'!J16&gt;0,TEXT('BP3'!J16,"0.00")&amp;" SM","---")))</f>
        <v>---</v>
      </c>
      <c r="Q9" s="693" t="str">
        <f>IF('BP4'!H16&gt;0,TEXT('BP4'!H16,"0.00")&amp;" CM",IF('BP4'!I16&gt;0,TEXT('BP4'!I16,"0.00")&amp;" AM"&amp;IF(AND('BP4'!I16&gt;0,'BP4'!J16&gt;0),"; ","")&amp;IF('BP4'!J16&gt;0,TEXT('BP4'!J16,"0.00")&amp;" SM",""),IF('BP4'!J16&gt;0,TEXT('BP4'!J16,"0.00")&amp;" SM","---")))</f>
        <v>---</v>
      </c>
      <c r="R9" s="693" t="str">
        <f>IF('BP5'!H16&gt;0,TEXT('BP5'!H16,"0.00")&amp;" CM",IF('BP5'!I16&gt;0,TEXT('BP5'!I16,"0.00")&amp;" AM"&amp;IF(AND('BP5'!I16&gt;0,'BP5'!J16&gt;0),"; ","")&amp;IF('BP5'!J16&gt;0,TEXT('BP5'!J16,"0.00")&amp;" SM",""),IF('BP5'!J16&gt;0,TEXT('BP5'!J16,"0.00")&amp;" SM","---")))</f>
        <v>---</v>
      </c>
      <c r="S9" s="693" t="str">
        <f>IF('Cumulative Budget'!H16&gt;0,TEXT('Cumulative Budget'!H16,"0.00")&amp;" CM",IF('Cumulative Budget'!I16&gt;0,TEXT('Cumulative Budget'!I16,"0.00")&amp;" AM"&amp;IF(AND('Cumulative Budget'!I16&gt;0,'Cumulative Budget'!J16&gt;0),"; ","")&amp;IF('Cumulative Budget'!J16&gt;0,TEXT('Cumulative Budget'!J16,"0.00")&amp;" SM",""),IF('Cumulative Budget'!J16&gt;0,TEXT('Cumulative Budget'!J16,"0.00")&amp;" SM","---")))</f>
        <v>---</v>
      </c>
    </row>
    <row r="10" spans="1:19" s="84" customFormat="1">
      <c r="A10" s="77" t="str">
        <f>CONCATENATE(K9," Fringe")</f>
        <v>Senior Personnel 2 Fringe</v>
      </c>
      <c r="B10" s="508">
        <f>'BP1'!$L$16</f>
        <v>0</v>
      </c>
      <c r="C10" s="508">
        <f ca="1">'BP2'!$L$16</f>
        <v>0</v>
      </c>
      <c r="D10" s="508">
        <f ca="1">'BP3'!$L$16</f>
        <v>0</v>
      </c>
      <c r="E10" s="508">
        <f ca="1">'BP4'!$L$16</f>
        <v>0</v>
      </c>
      <c r="F10" s="509">
        <f ca="1">'BP5'!$L$16</f>
        <v>0</v>
      </c>
      <c r="G10" s="508">
        <f t="shared" ca="1" si="0"/>
        <v>0</v>
      </c>
      <c r="I10" s="135" t="s">
        <v>225</v>
      </c>
      <c r="K10" s="705"/>
      <c r="L10" s="706"/>
      <c r="M10" s="707"/>
      <c r="N10" s="693"/>
      <c r="O10" s="693"/>
      <c r="P10" s="693"/>
      <c r="Q10" s="693"/>
      <c r="R10" s="693"/>
      <c r="S10" s="693"/>
    </row>
    <row r="11" spans="1:19" s="84" customFormat="1">
      <c r="A11" s="77" t="str">
        <f>CONCATENATE(K11," Salary")</f>
        <v>Senior Personnel 3 Salary</v>
      </c>
      <c r="B11" s="508">
        <f>'BP1'!$K$17</f>
        <v>0</v>
      </c>
      <c r="C11" s="508">
        <f ca="1">'BP2'!$K$17</f>
        <v>0</v>
      </c>
      <c r="D11" s="508">
        <f ca="1">'BP3'!$K$17</f>
        <v>0</v>
      </c>
      <c r="E11" s="508">
        <f ca="1">'BP4'!$K$17</f>
        <v>0</v>
      </c>
      <c r="F11" s="509">
        <f ca="1">'BP5'!$K$17</f>
        <v>0</v>
      </c>
      <c r="G11" s="508">
        <f t="shared" ca="1" si="0"/>
        <v>0</v>
      </c>
      <c r="I11" s="135" t="s">
        <v>225</v>
      </c>
      <c r="K11" s="702" t="str">
        <f>IF(ISBLANK('BP1'!$B$17),"Senior Personnel 3",""&amp;'BP1'!$B$17)</f>
        <v>Senior Personnel 3</v>
      </c>
      <c r="L11" s="703"/>
      <c r="M11" s="704"/>
      <c r="N11" s="693" t="str">
        <f>IF('BP1'!H17&gt;0,TEXT('BP1'!H17,"0.00")&amp;" CM",IF('BP1'!I17&gt;0,TEXT('BP1'!I17,"0.00")&amp;" AM"&amp;IF(AND('BP1'!I17&gt;0,'BP1'!J17&gt;0),"; ","")&amp;IF('BP1'!J17&gt;0,TEXT('BP1'!J17,"0.00")&amp;" SM",""),IF('BP1'!J17&gt;0,TEXT('BP1'!J17,"0.00")&amp;" SM","---")))</f>
        <v>---</v>
      </c>
      <c r="O11" s="693" t="str">
        <f>IF('BP2'!H17&gt;0,TEXT('BP2'!H17,"0.00")&amp;" CM",IF('BP2'!I17&gt;0,TEXT('BP2'!I17,"0.00")&amp;" AM"&amp;IF(AND('BP2'!I17&gt;0,'BP2'!J17&gt;0),"; ","")&amp;IF('BP2'!J17&gt;0,TEXT('BP2'!J17,"0.00")&amp;" SM",""),IF('BP2'!J17&gt;0,TEXT('BP2'!J17,"0.00")&amp;" SM","---")))</f>
        <v>---</v>
      </c>
      <c r="P11" s="693" t="str">
        <f>IF('BP3'!H17&gt;0,TEXT('BP3'!H17,"0.00")&amp;" CM",IF('BP3'!I17&gt;0,TEXT('BP3'!I17,"0.00")&amp;" AM"&amp;IF(AND('BP3'!I17&gt;0,'BP3'!J17&gt;0),"; ","")&amp;IF('BP3'!J17&gt;0,TEXT('BP3'!J17,"0.00")&amp;" SM",""),IF('BP3'!J17&gt;0,TEXT('BP3'!J17,"0.00")&amp;" SM","---")))</f>
        <v>---</v>
      </c>
      <c r="Q11" s="693" t="str">
        <f>IF('BP4'!H17&gt;0,TEXT('BP4'!H17,"0.00")&amp;" CM",IF('BP4'!I17&gt;0,TEXT('BP4'!I17,"0.00")&amp;" AM"&amp;IF(AND('BP4'!I17&gt;0,'BP4'!J17&gt;0),"; ","")&amp;IF('BP4'!J17&gt;0,TEXT('BP4'!J17,"0.00")&amp;" SM",""),IF('BP4'!J17&gt;0,TEXT('BP4'!J17,"0.00")&amp;" SM","---")))</f>
        <v>---</v>
      </c>
      <c r="R11" s="693" t="str">
        <f>IF('BP5'!H17&gt;0,TEXT('BP5'!H17,"0.00")&amp;" CM",IF('BP5'!I17&gt;0,TEXT('BP5'!I17,"0.00")&amp;" AM"&amp;IF(AND('BP5'!I17&gt;0,'BP5'!J17&gt;0),"; ","")&amp;IF('BP5'!J17&gt;0,TEXT('BP5'!J17,"0.00")&amp;" SM",""),IF('BP5'!J17&gt;0,TEXT('BP5'!J17,"0.00")&amp;" SM","---")))</f>
        <v>---</v>
      </c>
      <c r="S11" s="693" t="str">
        <f>IF('Cumulative Budget'!H17&gt;0,TEXT('Cumulative Budget'!H17,"0.00")&amp;" CM",IF('Cumulative Budget'!I17&gt;0,TEXT('Cumulative Budget'!I17,"0.00")&amp;" AM"&amp;IF(AND('Cumulative Budget'!I17&gt;0,'Cumulative Budget'!J17&gt;0),"; ","")&amp;IF('Cumulative Budget'!J17&gt;0,TEXT('Cumulative Budget'!J17,"0.00")&amp;" SM",""),IF('Cumulative Budget'!J17&gt;0,TEXT('Cumulative Budget'!J17,"0.00")&amp;" SM","---")))</f>
        <v>---</v>
      </c>
    </row>
    <row r="12" spans="1:19" s="84" customFormat="1">
      <c r="A12" s="77" t="str">
        <f>CONCATENATE(K11," Fringe")</f>
        <v>Senior Personnel 3 Fringe</v>
      </c>
      <c r="B12" s="508">
        <f>'BP1'!$L$17</f>
        <v>0</v>
      </c>
      <c r="C12" s="508">
        <f ca="1">'BP2'!$L$17</f>
        <v>0</v>
      </c>
      <c r="D12" s="508">
        <f ca="1">'BP3'!$L$17</f>
        <v>0</v>
      </c>
      <c r="E12" s="508">
        <f ca="1">'BP4'!$L$17</f>
        <v>0</v>
      </c>
      <c r="F12" s="509">
        <f ca="1">'BP5'!$L$17</f>
        <v>0</v>
      </c>
      <c r="G12" s="508">
        <f t="shared" ca="1" si="0"/>
        <v>0</v>
      </c>
      <c r="I12" s="135" t="s">
        <v>225</v>
      </c>
      <c r="K12" s="705"/>
      <c r="L12" s="706"/>
      <c r="M12" s="707"/>
      <c r="N12" s="693"/>
      <c r="O12" s="693"/>
      <c r="P12" s="693"/>
      <c r="Q12" s="693"/>
      <c r="R12" s="693"/>
      <c r="S12" s="693"/>
    </row>
    <row r="13" spans="1:19" s="84" customFormat="1">
      <c r="A13" s="77" t="str">
        <f>CONCATENATE(K13," Salary")</f>
        <v>Senior Personnel 4 Salary</v>
      </c>
      <c r="B13" s="508">
        <f>'BP1'!$K$18</f>
        <v>0</v>
      </c>
      <c r="C13" s="508">
        <f ca="1">'BP2'!$K$18</f>
        <v>0</v>
      </c>
      <c r="D13" s="508">
        <f ca="1">'BP3'!$K$18</f>
        <v>0</v>
      </c>
      <c r="E13" s="508">
        <f ca="1">'BP4'!$K$18</f>
        <v>0</v>
      </c>
      <c r="F13" s="509">
        <f ca="1">'BP5'!$K$18</f>
        <v>0</v>
      </c>
      <c r="G13" s="508">
        <f t="shared" ca="1" si="0"/>
        <v>0</v>
      </c>
      <c r="I13" s="135" t="s">
        <v>225</v>
      </c>
      <c r="K13" s="702" t="str">
        <f>IF(ISBLANK('BP1'!$B$18),"Senior Personnel 4",""&amp;'BP1'!$B$18)</f>
        <v>Senior Personnel 4</v>
      </c>
      <c r="L13" s="703"/>
      <c r="M13" s="704"/>
      <c r="N13" s="693" t="str">
        <f>IF('BP1'!H18&gt;0,TEXT('BP1'!H18,"0.00")&amp;" CM",IF('BP1'!I18&gt;0,TEXT('BP1'!I18,"0.00")&amp;" AM"&amp;IF(AND('BP1'!I18&gt;0,'BP1'!J18&gt;0),"; ","")&amp;IF('BP1'!J18&gt;0,TEXT('BP1'!J18,"0.00")&amp;" SM",""),IF('BP1'!J18&gt;0,TEXT('BP1'!J18,"0.00")&amp;" SM","---")))</f>
        <v>---</v>
      </c>
      <c r="O13" s="693" t="str">
        <f>IF('BP2'!H18&gt;0,TEXT('BP2'!H18,"0.00")&amp;" CM",IF('BP2'!I18&gt;0,TEXT('BP2'!I18,"0.00")&amp;" AM"&amp;IF(AND('BP2'!I18&gt;0,'BP2'!J18&gt;0),"; ","")&amp;IF('BP2'!J18&gt;0,TEXT('BP2'!J18,"0.00")&amp;" SM",""),IF('BP2'!J18&gt;0,TEXT('BP2'!J18,"0.00")&amp;" SM","---")))</f>
        <v>---</v>
      </c>
      <c r="P13" s="693" t="str">
        <f>IF('BP3'!H18&gt;0,TEXT('BP3'!H18,"0.00")&amp;" CM",IF('BP3'!I18&gt;0,TEXT('BP3'!I18,"0.00")&amp;" AM"&amp;IF(AND('BP3'!I18&gt;0,'BP3'!J18&gt;0),"; ","")&amp;IF('BP3'!J18&gt;0,TEXT('BP3'!J18,"0.00")&amp;" SM",""),IF('BP3'!J18&gt;0,TEXT('BP3'!J18,"0.00")&amp;" SM","---")))</f>
        <v>---</v>
      </c>
      <c r="Q13" s="693" t="str">
        <f>IF('BP4'!H18&gt;0,TEXT('BP4'!H18,"0.00")&amp;" CM",IF('BP4'!I18&gt;0,TEXT('BP4'!I18,"0.00")&amp;" AM"&amp;IF(AND('BP4'!I18&gt;0,'BP4'!J18&gt;0),"; ","")&amp;IF('BP4'!J18&gt;0,TEXT('BP4'!J18,"0.00")&amp;" SM",""),IF('BP4'!J18&gt;0,TEXT('BP4'!J18,"0.00")&amp;" SM","---")))</f>
        <v>---</v>
      </c>
      <c r="R13" s="693" t="str">
        <f>IF('BP5'!H18&gt;0,TEXT('BP5'!H18,"0.00")&amp;" CM",IF('BP5'!I18&gt;0,TEXT('BP5'!I18,"0.00")&amp;" AM"&amp;IF(AND('BP5'!I18&gt;0,'BP5'!J18&gt;0),"; ","")&amp;IF('BP5'!J18&gt;0,TEXT('BP5'!J18,"0.00")&amp;" SM",""),IF('BP5'!J18&gt;0,TEXT('BP5'!J18,"0.00")&amp;" SM","---")))</f>
        <v>---</v>
      </c>
      <c r="S13" s="693" t="str">
        <f>IF('Cumulative Budget'!H18&gt;0,TEXT('Cumulative Budget'!H18,"0.00")&amp;" CM",IF('Cumulative Budget'!I18&gt;0,TEXT('Cumulative Budget'!I18,"0.00")&amp;" AM"&amp;IF(AND('Cumulative Budget'!I18&gt;0,'Cumulative Budget'!J18&gt;0),"; ","")&amp;IF('Cumulative Budget'!J18&gt;0,TEXT('Cumulative Budget'!J18,"0.00")&amp;" SM",""),IF('Cumulative Budget'!J18&gt;0,TEXT('Cumulative Budget'!J18,"0.00")&amp;" SM","---")))</f>
        <v>---</v>
      </c>
    </row>
    <row r="14" spans="1:19" s="84" customFormat="1">
      <c r="A14" s="77" t="str">
        <f>CONCATENATE(K13," Fringe")</f>
        <v>Senior Personnel 4 Fringe</v>
      </c>
      <c r="B14" s="508">
        <f>'BP1'!$L$18</f>
        <v>0</v>
      </c>
      <c r="C14" s="508">
        <f ca="1">'BP2'!$L$18</f>
        <v>0</v>
      </c>
      <c r="D14" s="508">
        <f ca="1">'BP3'!$L$18</f>
        <v>0</v>
      </c>
      <c r="E14" s="508">
        <f ca="1">'BP4'!$L$18</f>
        <v>0</v>
      </c>
      <c r="F14" s="509">
        <f ca="1">'BP5'!$L$18</f>
        <v>0</v>
      </c>
      <c r="G14" s="508">
        <f t="shared" ca="1" si="0"/>
        <v>0</v>
      </c>
      <c r="I14" s="135" t="s">
        <v>225</v>
      </c>
      <c r="K14" s="705"/>
      <c r="L14" s="706"/>
      <c r="M14" s="707"/>
      <c r="N14" s="693"/>
      <c r="O14" s="693"/>
      <c r="P14" s="693"/>
      <c r="Q14" s="693"/>
      <c r="R14" s="693"/>
      <c r="S14" s="693"/>
    </row>
    <row r="15" spans="1:19" s="84" customFormat="1">
      <c r="A15" s="77" t="str">
        <f>CONCATENATE(K15," Salary")</f>
        <v>Senior Personnel 5 Salary</v>
      </c>
      <c r="B15" s="508">
        <f>'BP1'!$K$19</f>
        <v>0</v>
      </c>
      <c r="C15" s="508">
        <f ca="1">'BP2'!$K$19</f>
        <v>0</v>
      </c>
      <c r="D15" s="508">
        <f ca="1">'BP3'!$K$19</f>
        <v>0</v>
      </c>
      <c r="E15" s="508">
        <f ca="1">'BP4'!$K$19</f>
        <v>0</v>
      </c>
      <c r="F15" s="509">
        <f ca="1">'BP5'!$K$19</f>
        <v>0</v>
      </c>
      <c r="G15" s="508">
        <f t="shared" ca="1" si="0"/>
        <v>0</v>
      </c>
      <c r="I15" s="135" t="s">
        <v>225</v>
      </c>
      <c r="K15" s="702" t="str">
        <f>IF(ISBLANK('BP1'!$B$19),"Senior Personnel 5",""&amp;'BP1'!$B$19)</f>
        <v>Senior Personnel 5</v>
      </c>
      <c r="L15" s="703"/>
      <c r="M15" s="704"/>
      <c r="N15" s="693" t="str">
        <f>IF('BP1'!H19&gt;0,TEXT('BP1'!H19,"0.00")&amp;" CM",IF('BP1'!I19&gt;0,TEXT('BP1'!I19,"0.00")&amp;" AM"&amp;IF(AND('BP1'!I19&gt;0,'BP1'!J19&gt;0),"; ","")&amp;IF('BP1'!J19&gt;0,TEXT('BP1'!J19,"0.00")&amp;" SM",""),IF('BP1'!J19&gt;0,TEXT('BP1'!J19,"0.00")&amp;" SM","---")))</f>
        <v>---</v>
      </c>
      <c r="O15" s="693" t="str">
        <f>IF('BP2'!H19&gt;0,TEXT('BP2'!H19,"0.00")&amp;" CM",IF('BP2'!I19&gt;0,TEXT('BP2'!I19,"0.00")&amp;" AM"&amp;IF(AND('BP2'!I19&gt;0,'BP2'!J19&gt;0),"; ","")&amp;IF('BP2'!J19&gt;0,TEXT('BP2'!J19,"0.00")&amp;" SM",""),IF('BP2'!J19&gt;0,TEXT('BP2'!J19,"0.00")&amp;" SM","---")))</f>
        <v>---</v>
      </c>
      <c r="P15" s="693" t="str">
        <f>IF('BP3'!H19&gt;0,TEXT('BP3'!H19,"0.00")&amp;" CM",IF('BP3'!I19&gt;0,TEXT('BP3'!I19,"0.00")&amp;" AM"&amp;IF(AND('BP3'!I19&gt;0,'BP3'!J19&gt;0),"; ","")&amp;IF('BP3'!J19&gt;0,TEXT('BP3'!J19,"0.00")&amp;" SM",""),IF('BP3'!J19&gt;0,TEXT('BP3'!J19,"0.00")&amp;" SM","---")))</f>
        <v>---</v>
      </c>
      <c r="Q15" s="693" t="str">
        <f>IF('BP4'!H19&gt;0,TEXT('BP4'!H19,"0.00")&amp;" CM",IF('BP4'!I19&gt;0,TEXT('BP4'!I19,"0.00")&amp;" AM"&amp;IF(AND('BP4'!I19&gt;0,'BP4'!J19&gt;0),"; ","")&amp;IF('BP4'!J19&gt;0,TEXT('BP4'!J19,"0.00")&amp;" SM",""),IF('BP4'!J19&gt;0,TEXT('BP4'!J19,"0.00")&amp;" SM","---")))</f>
        <v>---</v>
      </c>
      <c r="R15" s="693" t="str">
        <f>IF('BP5'!H19&gt;0,TEXT('BP5'!H19,"0.00")&amp;" CM",IF('BP5'!I19&gt;0,TEXT('BP5'!I19,"0.00")&amp;" AM"&amp;IF(AND('BP5'!I19&gt;0,'BP5'!J19&gt;0),"; ","")&amp;IF('BP5'!J19&gt;0,TEXT('BP5'!J19,"0.00")&amp;" SM",""),IF('BP5'!J19&gt;0,TEXT('BP5'!J19,"0.00")&amp;" SM","---")))</f>
        <v>---</v>
      </c>
      <c r="S15" s="693" t="str">
        <f>IF('Cumulative Budget'!H19&gt;0,TEXT('Cumulative Budget'!H19,"0.00")&amp;" CM",IF('Cumulative Budget'!I19&gt;0,TEXT('Cumulative Budget'!I19,"0.00")&amp;" AM"&amp;IF(AND('Cumulative Budget'!I19&gt;0,'Cumulative Budget'!J19&gt;0),"; ","")&amp;IF('Cumulative Budget'!J19&gt;0,TEXT('Cumulative Budget'!J19,"0.00")&amp;" SM",""),IF('Cumulative Budget'!J19&gt;0,TEXT('Cumulative Budget'!J19,"0.00")&amp;" SM","---")))</f>
        <v>---</v>
      </c>
    </row>
    <row r="16" spans="1:19" s="84" customFormat="1">
      <c r="A16" s="77" t="str">
        <f>CONCATENATE(K15," Fringe")</f>
        <v>Senior Personnel 5 Fringe</v>
      </c>
      <c r="B16" s="508">
        <f>'BP1'!$L$19</f>
        <v>0</v>
      </c>
      <c r="C16" s="508">
        <f ca="1">'BP2'!$L$19</f>
        <v>0</v>
      </c>
      <c r="D16" s="508">
        <f ca="1">'BP3'!$L$19</f>
        <v>0</v>
      </c>
      <c r="E16" s="508">
        <f ca="1">'BP4'!$L$19</f>
        <v>0</v>
      </c>
      <c r="F16" s="509">
        <f ca="1">'BP5'!$L$19</f>
        <v>0</v>
      </c>
      <c r="G16" s="508">
        <f t="shared" ca="1" si="0"/>
        <v>0</v>
      </c>
      <c r="I16" s="135" t="s">
        <v>225</v>
      </c>
      <c r="K16" s="705"/>
      <c r="L16" s="706"/>
      <c r="M16" s="707"/>
      <c r="N16" s="693"/>
      <c r="O16" s="693"/>
      <c r="P16" s="693"/>
      <c r="Q16" s="693"/>
      <c r="R16" s="693"/>
      <c r="S16" s="693"/>
    </row>
    <row r="17" spans="1:19" s="84" customFormat="1" hidden="1">
      <c r="A17" s="77" t="str">
        <f>CONCATENATE(K17," Salary")</f>
        <v>Senior Personnel 6 Salary</v>
      </c>
      <c r="B17" s="508">
        <f>'BP1'!$K$20</f>
        <v>0</v>
      </c>
      <c r="C17" s="508">
        <f ca="1">'BP2'!$K$20</f>
        <v>0</v>
      </c>
      <c r="D17" s="508">
        <f ca="1">'BP3'!$K$20</f>
        <v>0</v>
      </c>
      <c r="E17" s="508">
        <f ca="1">'BP4'!$K$20</f>
        <v>0</v>
      </c>
      <c r="F17" s="509">
        <f ca="1">'BP5'!$K$20</f>
        <v>0</v>
      </c>
      <c r="G17" s="508">
        <f t="shared" ca="1" si="0"/>
        <v>0</v>
      </c>
      <c r="I17" s="135" t="s">
        <v>492</v>
      </c>
      <c r="K17" s="702" t="str">
        <f>IF(ISBLANK('BP1'!$B$20),"Senior Personnel 6",""&amp;'BP1'!$B$20)</f>
        <v>Senior Personnel 6</v>
      </c>
      <c r="L17" s="703"/>
      <c r="M17" s="704"/>
      <c r="N17" s="693" t="str">
        <f>IF('BP1'!H20&gt;0,TEXT('BP1'!H20,"0.00")&amp;" CM",IF('BP1'!I20&gt;0,TEXT('BP1'!I20,"0.00")&amp;" AM"&amp;IF(AND('BP1'!I20&gt;0,'BP1'!J20&gt;0),"; ","")&amp;IF('BP1'!J20&gt;0,TEXT('BP1'!J20,"0.00")&amp;" SM",""),IF('BP1'!J20&gt;0,TEXT('BP1'!J20,"0.00")&amp;" SM","---")))</f>
        <v>---</v>
      </c>
      <c r="O17" s="693" t="str">
        <f>IF('BP2'!H20&gt;0,TEXT('BP2'!H20,"0.00")&amp;" CM",IF('BP2'!I20&gt;0,TEXT('BP2'!I20,"0.00")&amp;" AM"&amp;IF(AND('BP2'!I20&gt;0,'BP2'!J20&gt;0),"; ","")&amp;IF('BP2'!J20&gt;0,TEXT('BP2'!J20,"0.00")&amp;" SM",""),IF('BP2'!J20&gt;0,TEXT('BP2'!J20,"0.00")&amp;" SM","---")))</f>
        <v>---</v>
      </c>
      <c r="P17" s="693" t="str">
        <f>IF('BP3'!H20&gt;0,TEXT('BP3'!H20,"0.00")&amp;" CM",IF('BP3'!I20&gt;0,TEXT('BP3'!I20,"0.00")&amp;" AM"&amp;IF(AND('BP3'!I20&gt;0,'BP3'!J20&gt;0),"; ","")&amp;IF('BP3'!J20&gt;0,TEXT('BP3'!J20,"0.00")&amp;" SM",""),IF('BP3'!J20&gt;0,TEXT('BP3'!J20,"0.00")&amp;" SM","---")))</f>
        <v>---</v>
      </c>
      <c r="Q17" s="693" t="str">
        <f>IF('BP4'!H20&gt;0,TEXT('BP4'!H20,"0.00")&amp;" CM",IF('BP4'!I20&gt;0,TEXT('BP4'!I20,"0.00")&amp;" AM"&amp;IF(AND('BP4'!I20&gt;0,'BP4'!J20&gt;0),"; ","")&amp;IF('BP4'!J20&gt;0,TEXT('BP4'!J20,"0.00")&amp;" SM",""),IF('BP4'!J20&gt;0,TEXT('BP4'!J20,"0.00")&amp;" SM","---")))</f>
        <v>---</v>
      </c>
      <c r="R17" s="693" t="str">
        <f>IF('BP5'!H20&gt;0,TEXT('BP5'!H20,"0.00")&amp;" CM",IF('BP5'!I20&gt;0,TEXT('BP5'!I20,"0.00")&amp;" AM"&amp;IF(AND('BP5'!I20&gt;0,'BP5'!J20&gt;0),"; ","")&amp;IF('BP5'!J20&gt;0,TEXT('BP5'!J20,"0.00")&amp;" SM",""),IF('BP5'!J20&gt;0,TEXT('BP5'!J20,"0.00")&amp;" SM","---")))</f>
        <v>---</v>
      </c>
      <c r="S17" s="693" t="str">
        <f>IF('Cumulative Budget'!H20&gt;0,TEXT('Cumulative Budget'!H20,"0.00")&amp;" CM",IF('Cumulative Budget'!I20&gt;0,TEXT('Cumulative Budget'!I20,"0.00")&amp;" AM"&amp;IF(AND('Cumulative Budget'!I20&gt;0,'Cumulative Budget'!J20&gt;0),"; ","")&amp;IF('Cumulative Budget'!J20&gt;0,TEXT('Cumulative Budget'!J20,"0.00")&amp;" SM",""),IF('Cumulative Budget'!J20&gt;0,TEXT('Cumulative Budget'!J20,"0.00")&amp;" SM","---")))</f>
        <v>---</v>
      </c>
    </row>
    <row r="18" spans="1:19" s="84" customFormat="1" hidden="1">
      <c r="A18" s="77" t="str">
        <f>CONCATENATE(K17," Fringe")</f>
        <v>Senior Personnel 6 Fringe</v>
      </c>
      <c r="B18" s="514">
        <f>'BP1'!$L$20</f>
        <v>0</v>
      </c>
      <c r="C18" s="514">
        <f ca="1">'BP2'!$L$20</f>
        <v>0</v>
      </c>
      <c r="D18" s="514">
        <f ca="1">'BP3'!$L$20</f>
        <v>0</v>
      </c>
      <c r="E18" s="514">
        <f ca="1">'BP4'!$L$20</f>
        <v>0</v>
      </c>
      <c r="F18" s="515">
        <f ca="1">'BP5'!$L$20</f>
        <v>0</v>
      </c>
      <c r="G18" s="508">
        <f t="shared" ca="1" si="0"/>
        <v>0</v>
      </c>
      <c r="I18" s="135" t="s">
        <v>492</v>
      </c>
      <c r="K18" s="705"/>
      <c r="L18" s="706"/>
      <c r="M18" s="707"/>
      <c r="N18" s="693"/>
      <c r="O18" s="693"/>
      <c r="P18" s="693"/>
      <c r="Q18" s="693"/>
      <c r="R18" s="693"/>
      <c r="S18" s="693"/>
    </row>
    <row r="19" spans="1:19" s="84" customFormat="1" hidden="1">
      <c r="A19" s="77" t="str">
        <f>CONCATENATE(K19," Salary")</f>
        <v>Senior Personnel 7 Salary</v>
      </c>
      <c r="B19" s="508">
        <f>'BP1'!$K$21</f>
        <v>0</v>
      </c>
      <c r="C19" s="508">
        <f ca="1">'BP2'!$K$21</f>
        <v>0</v>
      </c>
      <c r="D19" s="508">
        <f ca="1">'BP3'!$K$21</f>
        <v>0</v>
      </c>
      <c r="E19" s="508">
        <f ca="1">'BP4'!$K$21</f>
        <v>0</v>
      </c>
      <c r="F19" s="509">
        <f ca="1">'BP5'!$K$21</f>
        <v>0</v>
      </c>
      <c r="G19" s="508">
        <f t="shared" ca="1" si="0"/>
        <v>0</v>
      </c>
      <c r="I19" s="135" t="s">
        <v>492</v>
      </c>
      <c r="K19" s="702" t="str">
        <f>IF(ISBLANK('BP1'!$B$21),"Senior Personnel 7",""&amp;'BP1'!$B$21)</f>
        <v>Senior Personnel 7</v>
      </c>
      <c r="L19" s="703"/>
      <c r="M19" s="704"/>
      <c r="N19" s="693" t="str">
        <f>IF('BP1'!H21&gt;0,TEXT('BP1'!H21,"0.00")&amp;" CM",IF('BP1'!I21&gt;0,TEXT('BP1'!I21,"0.00")&amp;" AM"&amp;IF(AND('BP1'!I21&gt;0,'BP1'!J21&gt;0),"; ","")&amp;IF('BP1'!J21&gt;0,TEXT('BP1'!J21,"0.00")&amp;" SM",""),IF('BP1'!J21&gt;0,TEXT('BP1'!J21,"0.00")&amp;" SM","---")))</f>
        <v>---</v>
      </c>
      <c r="O19" s="693" t="str">
        <f>IF('BP2'!H21&gt;0,TEXT('BP2'!H21,"0.00")&amp;" CM",IF('BP2'!I21&gt;0,TEXT('BP2'!I21,"0.00")&amp;" AM"&amp;IF(AND('BP2'!I21&gt;0,'BP2'!J21&gt;0),"; ","")&amp;IF('BP2'!J21&gt;0,TEXT('BP2'!J21,"0.00")&amp;" SM",""),IF('BP2'!J21&gt;0,TEXT('BP2'!J21,"0.00")&amp;" SM","---")))</f>
        <v>---</v>
      </c>
      <c r="P19" s="693" t="str">
        <f>IF('BP3'!H21&gt;0,TEXT('BP3'!H21,"0.00")&amp;" CM",IF('BP3'!I21&gt;0,TEXT('BP3'!I21,"0.00")&amp;" AM"&amp;IF(AND('BP3'!I21&gt;0,'BP3'!J21&gt;0),"; ","")&amp;IF('BP3'!J21&gt;0,TEXT('BP3'!J21,"0.00")&amp;" SM",""),IF('BP3'!J21&gt;0,TEXT('BP3'!J21,"0.00")&amp;" SM","---")))</f>
        <v>---</v>
      </c>
      <c r="Q19" s="693" t="str">
        <f>IF('BP4'!H21&gt;0,TEXT('BP4'!H21,"0.00")&amp;" CM",IF('BP4'!I21&gt;0,TEXT('BP4'!I21,"0.00")&amp;" AM"&amp;IF(AND('BP4'!I21&gt;0,'BP4'!J21&gt;0),"; ","")&amp;IF('BP4'!J21&gt;0,TEXT('BP4'!J21,"0.00")&amp;" SM",""),IF('BP4'!J21&gt;0,TEXT('BP4'!J21,"0.00")&amp;" SM","---")))</f>
        <v>---</v>
      </c>
      <c r="R19" s="693" t="str">
        <f>IF('BP5'!H21&gt;0,TEXT('BP5'!H21,"0.00")&amp;" CM",IF('BP5'!I21&gt;0,TEXT('BP5'!I21,"0.00")&amp;" AM"&amp;IF(AND('BP5'!I21&gt;0,'BP5'!J21&gt;0),"; ","")&amp;IF('BP5'!J21&gt;0,TEXT('BP5'!J21,"0.00")&amp;" SM",""),IF('BP5'!J21&gt;0,TEXT('BP5'!J21,"0.00")&amp;" SM","---")))</f>
        <v>---</v>
      </c>
      <c r="S19" s="693" t="str">
        <f>IF('Cumulative Budget'!H21&gt;0,TEXT('Cumulative Budget'!H21,"0.00")&amp;" CM",IF('Cumulative Budget'!I21&gt;0,TEXT('Cumulative Budget'!I21,"0.00")&amp;" AM"&amp;IF(AND('Cumulative Budget'!I21&gt;0,'Cumulative Budget'!J21&gt;0),"; ","")&amp;IF('Cumulative Budget'!J21&gt;0,TEXT('Cumulative Budget'!J21,"0.00")&amp;" SM",""),IF('Cumulative Budget'!J21&gt;0,TEXT('Cumulative Budget'!J21,"0.00")&amp;" SM","---")))</f>
        <v>---</v>
      </c>
    </row>
    <row r="20" spans="1:19" s="84" customFormat="1" hidden="1">
      <c r="A20" s="77" t="str">
        <f>CONCATENATE(K19," Fringe")</f>
        <v>Senior Personnel 7 Fringe</v>
      </c>
      <c r="B20" s="508">
        <f>'BP1'!$L$21</f>
        <v>0</v>
      </c>
      <c r="C20" s="508">
        <f ca="1">'BP2'!$L$21</f>
        <v>0</v>
      </c>
      <c r="D20" s="508">
        <f ca="1">'BP3'!$L$21</f>
        <v>0</v>
      </c>
      <c r="E20" s="508">
        <f ca="1">'BP4'!$L$21</f>
        <v>0</v>
      </c>
      <c r="F20" s="509">
        <f ca="1">'BP5'!$L$21</f>
        <v>0</v>
      </c>
      <c r="G20" s="508">
        <f t="shared" ca="1" si="0"/>
        <v>0</v>
      </c>
      <c r="I20" s="135" t="s">
        <v>492</v>
      </c>
      <c r="K20" s="705"/>
      <c r="L20" s="706"/>
      <c r="M20" s="707"/>
      <c r="N20" s="693"/>
      <c r="O20" s="693"/>
      <c r="P20" s="693"/>
      <c r="Q20" s="693"/>
      <c r="R20" s="693"/>
      <c r="S20" s="693"/>
    </row>
    <row r="21" spans="1:19" s="84" customFormat="1" hidden="1">
      <c r="A21" s="77" t="str">
        <f>CONCATENATE(K21," Salary")</f>
        <v>Senior Personnel 8 Salary</v>
      </c>
      <c r="B21" s="508">
        <f>'BP1'!$K$22</f>
        <v>0</v>
      </c>
      <c r="C21" s="508">
        <f ca="1">'BP2'!$K$22</f>
        <v>0</v>
      </c>
      <c r="D21" s="508">
        <f ca="1">'BP3'!$K$22</f>
        <v>0</v>
      </c>
      <c r="E21" s="508">
        <f ca="1">'BP4'!$K$22</f>
        <v>0</v>
      </c>
      <c r="F21" s="509">
        <f ca="1">'BP5'!$K$22</f>
        <v>0</v>
      </c>
      <c r="G21" s="508">
        <f t="shared" ca="1" si="0"/>
        <v>0</v>
      </c>
      <c r="I21" s="135" t="s">
        <v>492</v>
      </c>
      <c r="K21" s="702" t="str">
        <f>IF(ISBLANK('BP1'!$B$22),"Senior Personnel 8",""&amp;'BP1'!$B$22)</f>
        <v>Senior Personnel 8</v>
      </c>
      <c r="L21" s="703"/>
      <c r="M21" s="704"/>
      <c r="N21" s="693" t="str">
        <f>IF('BP1'!H22&gt;0,TEXT('BP1'!H22,"0.00")&amp;" CM",IF('BP1'!I22&gt;0,TEXT('BP1'!I22,"0.00")&amp;" AM"&amp;IF(AND('BP1'!I22&gt;0,'BP1'!J22&gt;0),"; ","")&amp;IF('BP1'!J22&gt;0,TEXT('BP1'!J22,"0.00")&amp;" SM",""),IF('BP1'!J22&gt;0,TEXT('BP1'!J22,"0.00")&amp;" SM","---")))</f>
        <v>---</v>
      </c>
      <c r="O21" s="693" t="str">
        <f>IF('BP2'!H22&gt;0,TEXT('BP2'!H22,"0.00")&amp;" CM",IF('BP2'!I22&gt;0,TEXT('BP2'!I22,"0.00")&amp;" AM"&amp;IF(AND('BP2'!I22&gt;0,'BP2'!J22&gt;0),"; ","")&amp;IF('BP2'!J22&gt;0,TEXT('BP2'!J22,"0.00")&amp;" SM",""),IF('BP2'!J22&gt;0,TEXT('BP2'!J22,"0.00")&amp;" SM","---")))</f>
        <v>---</v>
      </c>
      <c r="P21" s="693" t="str">
        <f>IF('BP3'!H22&gt;0,TEXT('BP3'!H22,"0.00")&amp;" CM",IF('BP3'!I22&gt;0,TEXT('BP3'!I22,"0.00")&amp;" AM"&amp;IF(AND('BP3'!I22&gt;0,'BP3'!J22&gt;0),"; ","")&amp;IF('BP3'!J22&gt;0,TEXT('BP3'!J22,"0.00")&amp;" SM",""),IF('BP3'!J22&gt;0,TEXT('BP3'!J22,"0.00")&amp;" SM","---")))</f>
        <v>---</v>
      </c>
      <c r="Q21" s="693" t="str">
        <f>IF('BP4'!H22&gt;0,TEXT('BP4'!H22,"0.00")&amp;" CM",IF('BP4'!I22&gt;0,TEXT('BP4'!I22,"0.00")&amp;" AM"&amp;IF(AND('BP4'!I22&gt;0,'BP4'!J22&gt;0),"; ","")&amp;IF('BP4'!J22&gt;0,TEXT('BP4'!J22,"0.00")&amp;" SM",""),IF('BP4'!J22&gt;0,TEXT('BP4'!J22,"0.00")&amp;" SM","---")))</f>
        <v>---</v>
      </c>
      <c r="R21" s="693" t="str">
        <f>IF('BP5'!H22&gt;0,TEXT('BP5'!H22,"0.00")&amp;" CM",IF('BP5'!I22&gt;0,TEXT('BP5'!I22,"0.00")&amp;" AM"&amp;IF(AND('BP5'!I22&gt;0,'BP5'!J22&gt;0),"; ","")&amp;IF('BP5'!J22&gt;0,TEXT('BP5'!J22,"0.00")&amp;" SM",""),IF('BP5'!J22&gt;0,TEXT('BP5'!J22,"0.00")&amp;" SM","---")))</f>
        <v>---</v>
      </c>
      <c r="S21" s="693" t="str">
        <f>IF('Cumulative Budget'!H22&gt;0,TEXT('Cumulative Budget'!H22,"0.00")&amp;" CM",IF('Cumulative Budget'!I22&gt;0,TEXT('Cumulative Budget'!I22,"0.00")&amp;" AM"&amp;IF(AND('Cumulative Budget'!I22&gt;0,'Cumulative Budget'!J22&gt;0),"; ","")&amp;IF('Cumulative Budget'!J22&gt;0,TEXT('Cumulative Budget'!J22,"0.00")&amp;" SM",""),IF('Cumulative Budget'!J22&gt;0,TEXT('Cumulative Budget'!J22,"0.00")&amp;" SM","---")))</f>
        <v>---</v>
      </c>
    </row>
    <row r="22" spans="1:19" s="84" customFormat="1" hidden="1">
      <c r="A22" s="77" t="str">
        <f>CONCATENATE(K21," Fringe")</f>
        <v>Senior Personnel 8 Fringe</v>
      </c>
      <c r="B22" s="508">
        <f>'BP1'!$L$22</f>
        <v>0</v>
      </c>
      <c r="C22" s="508">
        <f ca="1">'BP2'!$L$22</f>
        <v>0</v>
      </c>
      <c r="D22" s="508">
        <f ca="1">'BP3'!$L$22</f>
        <v>0</v>
      </c>
      <c r="E22" s="508">
        <f ca="1">'BP4'!$L$22</f>
        <v>0</v>
      </c>
      <c r="F22" s="509">
        <f ca="1">'BP5'!$L$22</f>
        <v>0</v>
      </c>
      <c r="G22" s="508">
        <f t="shared" ca="1" si="0"/>
        <v>0</v>
      </c>
      <c r="I22" s="135" t="s">
        <v>492</v>
      </c>
      <c r="K22" s="705"/>
      <c r="L22" s="706"/>
      <c r="M22" s="707"/>
      <c r="N22" s="693"/>
      <c r="O22" s="693"/>
      <c r="P22" s="693"/>
      <c r="Q22" s="693"/>
      <c r="R22" s="693"/>
      <c r="S22" s="693"/>
    </row>
    <row r="23" spans="1:19" s="84" customFormat="1" hidden="1">
      <c r="A23" s="77" t="str">
        <f>CONCATENATE(K23," Salary")</f>
        <v>Senior Personnel 9 Salary</v>
      </c>
      <c r="B23" s="508">
        <f>'BP1'!$K$23</f>
        <v>0</v>
      </c>
      <c r="C23" s="508">
        <f ca="1">'BP2'!$K$23</f>
        <v>0</v>
      </c>
      <c r="D23" s="508">
        <f ca="1">'BP3'!$K$23</f>
        <v>0</v>
      </c>
      <c r="E23" s="508">
        <f ca="1">'BP4'!$K$23</f>
        <v>0</v>
      </c>
      <c r="F23" s="509">
        <f ca="1">'BP5'!$K$23</f>
        <v>0</v>
      </c>
      <c r="G23" s="508">
        <f t="shared" ca="1" si="0"/>
        <v>0</v>
      </c>
      <c r="I23" s="135" t="s">
        <v>492</v>
      </c>
      <c r="K23" s="702" t="str">
        <f>IF(ISBLANK('BP1'!$B$23),"Senior Personnel 9",""&amp;'BP1'!$B$23)</f>
        <v>Senior Personnel 9</v>
      </c>
      <c r="L23" s="703"/>
      <c r="M23" s="704"/>
      <c r="N23" s="693" t="str">
        <f>IF('BP1'!H23&gt;0,TEXT('BP1'!H23,"0.00")&amp;" CM",IF('BP1'!I23&gt;0,TEXT('BP1'!I23,"0.00")&amp;" AM"&amp;IF(AND('BP1'!I23&gt;0,'BP1'!J23&gt;0),"; ","")&amp;IF('BP1'!J23&gt;0,TEXT('BP1'!J23,"0.00")&amp;" SM",""),IF('BP1'!J23&gt;0,TEXT('BP1'!J23,"0.00")&amp;" SM","---")))</f>
        <v>---</v>
      </c>
      <c r="O23" s="693" t="str">
        <f>IF('BP2'!H23&gt;0,TEXT('BP2'!H23,"0.00")&amp;" CM",IF('BP2'!I23&gt;0,TEXT('BP2'!I23,"0.00")&amp;" AM"&amp;IF(AND('BP2'!I23&gt;0,'BP2'!J23&gt;0),"; ","")&amp;IF('BP2'!J23&gt;0,TEXT('BP2'!J23,"0.00")&amp;" SM",""),IF('BP2'!J23&gt;0,TEXT('BP2'!J23,"0.00")&amp;" SM","---")))</f>
        <v>---</v>
      </c>
      <c r="P23" s="693" t="str">
        <f>IF('BP3'!H23&gt;0,TEXT('BP3'!H23,"0.00")&amp;" CM",IF('BP3'!I23&gt;0,TEXT('BP3'!I23,"0.00")&amp;" AM"&amp;IF(AND('BP3'!I23&gt;0,'BP3'!J23&gt;0),"; ","")&amp;IF('BP3'!J23&gt;0,TEXT('BP3'!J23,"0.00")&amp;" SM",""),IF('BP3'!J23&gt;0,TEXT('BP3'!J23,"0.00")&amp;" SM","---")))</f>
        <v>---</v>
      </c>
      <c r="Q23" s="693" t="str">
        <f>IF('BP4'!H23&gt;0,TEXT('BP4'!H23,"0.00")&amp;" CM",IF('BP4'!I23&gt;0,TEXT('BP4'!I23,"0.00")&amp;" AM"&amp;IF(AND('BP4'!I23&gt;0,'BP4'!J23&gt;0),"; ","")&amp;IF('BP4'!J23&gt;0,TEXT('BP4'!J23,"0.00")&amp;" SM",""),IF('BP4'!J23&gt;0,TEXT('BP4'!J23,"0.00")&amp;" SM","---")))</f>
        <v>---</v>
      </c>
      <c r="R23" s="693" t="str">
        <f>IF('BP5'!H23&gt;0,TEXT('BP5'!H23,"0.00")&amp;" CM",IF('BP5'!I23&gt;0,TEXT('BP5'!I23,"0.00")&amp;" AM"&amp;IF(AND('BP5'!I23&gt;0,'BP5'!J23&gt;0),"; ","")&amp;IF('BP5'!J23&gt;0,TEXT('BP5'!J23,"0.00")&amp;" SM",""),IF('BP5'!J23&gt;0,TEXT('BP5'!J23,"0.00")&amp;" SM","---")))</f>
        <v>---</v>
      </c>
      <c r="S23" s="693" t="str">
        <f>IF('Cumulative Budget'!H23&gt;0,TEXT('Cumulative Budget'!H23,"0.00")&amp;" CM",IF('Cumulative Budget'!I23&gt;0,TEXT('Cumulative Budget'!I23,"0.00")&amp;" AM"&amp;IF(AND('Cumulative Budget'!I23&gt;0,'Cumulative Budget'!J23&gt;0),"; ","")&amp;IF('Cumulative Budget'!J23&gt;0,TEXT('Cumulative Budget'!J23,"0.00")&amp;" SM",""),IF('Cumulative Budget'!J23&gt;0,TEXT('Cumulative Budget'!J23,"0.00")&amp;" SM","---")))</f>
        <v>---</v>
      </c>
    </row>
    <row r="24" spans="1:19" s="84" customFormat="1" hidden="1">
      <c r="A24" s="77" t="str">
        <f>CONCATENATE(K23," Fringe")</f>
        <v>Senior Personnel 9 Fringe</v>
      </c>
      <c r="B24" s="508">
        <f>'BP1'!$L$23</f>
        <v>0</v>
      </c>
      <c r="C24" s="508">
        <f ca="1">'BP2'!$L$23</f>
        <v>0</v>
      </c>
      <c r="D24" s="508">
        <f ca="1">'BP3'!$L$23</f>
        <v>0</v>
      </c>
      <c r="E24" s="508">
        <f ca="1">'BP4'!$L$23</f>
        <v>0</v>
      </c>
      <c r="F24" s="509">
        <f ca="1">'BP5'!$L$23</f>
        <v>0</v>
      </c>
      <c r="G24" s="508">
        <f t="shared" ca="1" si="0"/>
        <v>0</v>
      </c>
      <c r="I24" s="135" t="s">
        <v>492</v>
      </c>
      <c r="K24" s="705"/>
      <c r="L24" s="706"/>
      <c r="M24" s="707"/>
      <c r="N24" s="693"/>
      <c r="O24" s="693"/>
      <c r="P24" s="693"/>
      <c r="Q24" s="693"/>
      <c r="R24" s="693"/>
      <c r="S24" s="693"/>
    </row>
    <row r="25" spans="1:19" s="84" customFormat="1" hidden="1">
      <c r="A25" s="77" t="str">
        <f>CONCATENATE(K25," Salary")</f>
        <v>Senior Personnel 10 Salary</v>
      </c>
      <c r="B25" s="508">
        <f>'BP1'!$K$24</f>
        <v>0</v>
      </c>
      <c r="C25" s="508">
        <f ca="1">'BP2'!$K$24</f>
        <v>0</v>
      </c>
      <c r="D25" s="508">
        <f ca="1">'BP3'!$K$24</f>
        <v>0</v>
      </c>
      <c r="E25" s="508">
        <f ca="1">'BP4'!$K$24</f>
        <v>0</v>
      </c>
      <c r="F25" s="509">
        <f ca="1">'BP5'!$K$24</f>
        <v>0</v>
      </c>
      <c r="G25" s="508">
        <f t="shared" ca="1" si="0"/>
        <v>0</v>
      </c>
      <c r="I25" s="135" t="s">
        <v>492</v>
      </c>
      <c r="K25" s="702" t="str">
        <f>IF(ISBLANK('BP1'!$B$24),"Senior Personnel 10",""&amp;'BP1'!$B$24)</f>
        <v>Senior Personnel 10</v>
      </c>
      <c r="L25" s="703"/>
      <c r="M25" s="704"/>
      <c r="N25" s="693" t="str">
        <f>IF('BP1'!H24&gt;0,TEXT('BP1'!H24,"0.00")&amp;" CM",IF('BP1'!I24&gt;0,TEXT('BP1'!I24,"0.00")&amp;" AM"&amp;IF(AND('BP1'!I24&gt;0,'BP1'!J24&gt;0),"; ","")&amp;IF('BP1'!J24&gt;0,TEXT('BP1'!J24,"0.00")&amp;" SM",""),IF('BP1'!J24&gt;0,TEXT('BP1'!J24,"0.00")&amp;" SM","---")))</f>
        <v>---</v>
      </c>
      <c r="O25" s="693" t="str">
        <f>IF('BP2'!H24&gt;0,TEXT('BP2'!H24,"0.00")&amp;" CM",IF('BP2'!I24&gt;0,TEXT('BP2'!I24,"0.00")&amp;" AM"&amp;IF(AND('BP2'!I24&gt;0,'BP2'!J24&gt;0),"; ","")&amp;IF('BP2'!J24&gt;0,TEXT('BP2'!J24,"0.00")&amp;" SM",""),IF('BP2'!J24&gt;0,TEXT('BP2'!J24,"0.00")&amp;" SM","---")))</f>
        <v>---</v>
      </c>
      <c r="P25" s="693" t="str">
        <f>IF('BP3'!H24&gt;0,TEXT('BP3'!H24,"0.00")&amp;" CM",IF('BP3'!I24&gt;0,TEXT('BP3'!I24,"0.00")&amp;" AM"&amp;IF(AND('BP3'!I24&gt;0,'BP3'!J24&gt;0),"; ","")&amp;IF('BP3'!J24&gt;0,TEXT('BP3'!J24,"0.00")&amp;" SM",""),IF('BP3'!J24&gt;0,TEXT('BP3'!J24,"0.00")&amp;" SM","---")))</f>
        <v>---</v>
      </c>
      <c r="Q25" s="693" t="str">
        <f>IF('BP4'!H24&gt;0,TEXT('BP4'!H24,"0.00")&amp;" CM",IF('BP4'!I24&gt;0,TEXT('BP4'!I24,"0.00")&amp;" AM"&amp;IF(AND('BP4'!I24&gt;0,'BP4'!J24&gt;0),"; ","")&amp;IF('BP4'!J24&gt;0,TEXT('BP4'!J24,"0.00")&amp;" SM",""),IF('BP4'!J24&gt;0,TEXT('BP4'!J24,"0.00")&amp;" SM","---")))</f>
        <v>---</v>
      </c>
      <c r="R25" s="693" t="str">
        <f>IF('BP5'!H24&gt;0,TEXT('BP5'!H24,"0.00")&amp;" CM",IF('BP5'!I24&gt;0,TEXT('BP5'!I24,"0.00")&amp;" AM"&amp;IF(AND('BP5'!I24&gt;0,'BP5'!J24&gt;0),"; ","")&amp;IF('BP5'!J24&gt;0,TEXT('BP5'!J24,"0.00")&amp;" SM",""),IF('BP5'!J24&gt;0,TEXT('BP5'!J24,"0.00")&amp;" SM","---")))</f>
        <v>---</v>
      </c>
      <c r="S25" s="693" t="str">
        <f>IF('Cumulative Budget'!H24&gt;0,TEXT('Cumulative Budget'!H24,"0.00")&amp;" CM",IF('Cumulative Budget'!I24&gt;0,TEXT('Cumulative Budget'!I24,"0.00")&amp;" AM"&amp;IF(AND('Cumulative Budget'!I24&gt;0,'Cumulative Budget'!J24&gt;0),"; ","")&amp;IF('Cumulative Budget'!J24&gt;0,TEXT('Cumulative Budget'!J24,"0.00")&amp;" SM",""),IF('Cumulative Budget'!J24&gt;0,TEXT('Cumulative Budget'!J24,"0.00")&amp;" SM","---")))</f>
        <v>---</v>
      </c>
    </row>
    <row r="26" spans="1:19" s="84" customFormat="1" hidden="1">
      <c r="A26" s="77" t="str">
        <f>CONCATENATE(K25," Fringe")</f>
        <v>Senior Personnel 10 Fringe</v>
      </c>
      <c r="B26" s="508">
        <f>'BP1'!$L$24</f>
        <v>0</v>
      </c>
      <c r="C26" s="508">
        <f ca="1">'BP2'!$L$24</f>
        <v>0</v>
      </c>
      <c r="D26" s="508">
        <f ca="1">'BP3'!$L$24</f>
        <v>0</v>
      </c>
      <c r="E26" s="508">
        <f ca="1">'BP4'!$L$24</f>
        <v>0</v>
      </c>
      <c r="F26" s="509">
        <f ca="1">'BP5'!$L$24</f>
        <v>0</v>
      </c>
      <c r="G26" s="508">
        <f t="shared" ca="1" si="0"/>
        <v>0</v>
      </c>
      <c r="I26" s="135" t="s">
        <v>492</v>
      </c>
      <c r="K26" s="705"/>
      <c r="L26" s="706"/>
      <c r="M26" s="707"/>
      <c r="N26" s="693"/>
      <c r="O26" s="693"/>
      <c r="P26" s="693"/>
      <c r="Q26" s="693"/>
      <c r="R26" s="693"/>
      <c r="S26" s="693"/>
    </row>
    <row r="27" spans="1:19" s="84" customFormat="1" hidden="1">
      <c r="A27" s="77" t="str">
        <f>CONCATENATE(K27," Salary")</f>
        <v>Senior Personnel 11 Salary</v>
      </c>
      <c r="B27" s="508">
        <f>'BP1'!$K$25</f>
        <v>0</v>
      </c>
      <c r="C27" s="508">
        <f ca="1">'BP2'!$K$25</f>
        <v>0</v>
      </c>
      <c r="D27" s="508">
        <f ca="1">'BP3'!$K$25</f>
        <v>0</v>
      </c>
      <c r="E27" s="508">
        <f ca="1">'BP4'!$K$25</f>
        <v>0</v>
      </c>
      <c r="F27" s="509">
        <f ca="1">'BP5'!$K$25</f>
        <v>0</v>
      </c>
      <c r="G27" s="508">
        <f t="shared" ca="1" si="0"/>
        <v>0</v>
      </c>
      <c r="I27" s="135" t="s">
        <v>493</v>
      </c>
      <c r="K27" s="702" t="str">
        <f>IF(ISBLANK('BP1'!$B$25),"Senior Personnel 11",""&amp;'BP1'!$B$25)</f>
        <v>Senior Personnel 11</v>
      </c>
      <c r="L27" s="703"/>
      <c r="M27" s="704"/>
      <c r="N27" s="693" t="str">
        <f>IF('BP1'!H25&gt;0,TEXT('BP1'!H25,"0.00")&amp;" CM",IF('BP1'!I25&gt;0,TEXT('BP1'!I25,"0.00")&amp;" AM"&amp;IF(AND('BP1'!I25&gt;0,'BP1'!J25&gt;0),"; ","")&amp;IF('BP1'!J25&gt;0,TEXT('BP1'!J25,"0.00")&amp;" SM",""),IF('BP1'!J25&gt;0,TEXT('BP1'!J25,"0.00")&amp;" SM","---")))</f>
        <v>---</v>
      </c>
      <c r="O27" s="693" t="str">
        <f>IF('BP2'!H25&gt;0,TEXT('BP2'!H25,"0.00")&amp;" CM",IF('BP2'!I25&gt;0,TEXT('BP2'!I25,"0.00")&amp;" AM"&amp;IF(AND('BP2'!I25&gt;0,'BP2'!J25&gt;0),"; ","")&amp;IF('BP2'!J25&gt;0,TEXT('BP2'!J25,"0.00")&amp;" SM",""),IF('BP2'!J25&gt;0,TEXT('BP2'!J25,"0.00")&amp;" SM","---")))</f>
        <v>---</v>
      </c>
      <c r="P27" s="693" t="str">
        <f>IF('BP3'!H25&gt;0,TEXT('BP3'!H25,"0.00")&amp;" CM",IF('BP3'!I25&gt;0,TEXT('BP3'!I25,"0.00")&amp;" AM"&amp;IF(AND('BP3'!I25&gt;0,'BP3'!J25&gt;0),"; ","")&amp;IF('BP3'!J25&gt;0,TEXT('BP3'!J25,"0.00")&amp;" SM",""),IF('BP3'!J25&gt;0,TEXT('BP3'!J25,"0.00")&amp;" SM","---")))</f>
        <v>---</v>
      </c>
      <c r="Q27" s="693" t="str">
        <f>IF('BP4'!H25&gt;0,TEXT('BP4'!H25,"0.00")&amp;" CM",IF('BP4'!I25&gt;0,TEXT('BP4'!I25,"0.00")&amp;" AM"&amp;IF(AND('BP4'!I25&gt;0,'BP4'!J25&gt;0),"; ","")&amp;IF('BP4'!J25&gt;0,TEXT('BP4'!J25,"0.00")&amp;" SM",""),IF('BP4'!J25&gt;0,TEXT('BP4'!J25,"0.00")&amp;" SM","---")))</f>
        <v>---</v>
      </c>
      <c r="R27" s="693" t="str">
        <f>IF('BP5'!H25&gt;0,TEXT('BP5'!H25,"0.00")&amp;" CM",IF('BP5'!I25&gt;0,TEXT('BP5'!I25,"0.00")&amp;" AM"&amp;IF(AND('BP5'!I25&gt;0,'BP5'!J25&gt;0),"; ","")&amp;IF('BP5'!J25&gt;0,TEXT('BP5'!J25,"0.00")&amp;" SM",""),IF('BP5'!J25&gt;0,TEXT('BP5'!J25,"0.00")&amp;" SM","---")))</f>
        <v>---</v>
      </c>
      <c r="S27" s="693" t="str">
        <f>IF('Cumulative Budget'!H25&gt;0,TEXT('Cumulative Budget'!H25,"0.00")&amp;" CM",IF('Cumulative Budget'!I25&gt;0,TEXT('Cumulative Budget'!I25,"0.00")&amp;" AM"&amp;IF(AND('Cumulative Budget'!I25&gt;0,'Cumulative Budget'!J25&gt;0),"; ","")&amp;IF('Cumulative Budget'!J25&gt;0,TEXT('Cumulative Budget'!J25,"0.00")&amp;" SM",""),IF('Cumulative Budget'!J25&gt;0,TEXT('Cumulative Budget'!J25,"0.00")&amp;" SM","---")))</f>
        <v>---</v>
      </c>
    </row>
    <row r="28" spans="1:19" s="84" customFormat="1" hidden="1">
      <c r="A28" s="77" t="str">
        <f>CONCATENATE(K27," Fringe")</f>
        <v>Senior Personnel 11 Fringe</v>
      </c>
      <c r="B28" s="508">
        <f>'BP1'!$L$25</f>
        <v>0</v>
      </c>
      <c r="C28" s="508">
        <f ca="1">'BP2'!$L$25</f>
        <v>0</v>
      </c>
      <c r="D28" s="508">
        <f ca="1">'BP3'!$L$25</f>
        <v>0</v>
      </c>
      <c r="E28" s="508">
        <f ca="1">'BP4'!$L$25</f>
        <v>0</v>
      </c>
      <c r="F28" s="509">
        <f ca="1">'BP5'!$L$25</f>
        <v>0</v>
      </c>
      <c r="G28" s="508">
        <f t="shared" ca="1" si="0"/>
        <v>0</v>
      </c>
      <c r="I28" s="135" t="s">
        <v>493</v>
      </c>
      <c r="K28" s="705"/>
      <c r="L28" s="706"/>
      <c r="M28" s="707"/>
      <c r="N28" s="693"/>
      <c r="O28" s="693"/>
      <c r="P28" s="693"/>
      <c r="Q28" s="693"/>
      <c r="R28" s="693"/>
      <c r="S28" s="693"/>
    </row>
    <row r="29" spans="1:19" s="84" customFormat="1" hidden="1">
      <c r="A29" s="77" t="str">
        <f>CONCATENATE(K29," Salary")</f>
        <v>Senior Personnel 12 Salary</v>
      </c>
      <c r="B29" s="508">
        <f>'BP1'!$K$26</f>
        <v>0</v>
      </c>
      <c r="C29" s="508">
        <f ca="1">'BP2'!$K$26</f>
        <v>0</v>
      </c>
      <c r="D29" s="508">
        <f ca="1">'BP3'!$K$26</f>
        <v>0</v>
      </c>
      <c r="E29" s="508">
        <f ca="1">'BP4'!$K$26</f>
        <v>0</v>
      </c>
      <c r="F29" s="509">
        <f ca="1">'BP5'!$K$26</f>
        <v>0</v>
      </c>
      <c r="G29" s="508">
        <f t="shared" ca="1" si="0"/>
        <v>0</v>
      </c>
      <c r="I29" s="135" t="s">
        <v>493</v>
      </c>
      <c r="K29" s="702" t="str">
        <f>IF(ISBLANK('BP1'!$B$26),"Senior Personnel 12",""&amp;'BP1'!$B$26)</f>
        <v>Senior Personnel 12</v>
      </c>
      <c r="L29" s="703"/>
      <c r="M29" s="704"/>
      <c r="N29" s="693" t="str">
        <f>IF('BP1'!H26&gt;0,TEXT('BP1'!H26,"0.00")&amp;" CM",IF('BP1'!I26&gt;0,TEXT('BP1'!I26,"0.00")&amp;" AM"&amp;IF(AND('BP1'!I26&gt;0,'BP1'!J26&gt;0),"; ","")&amp;IF('BP1'!J26&gt;0,TEXT('BP1'!J26,"0.00")&amp;" SM",""),IF('BP1'!J26&gt;0,TEXT('BP1'!J26,"0.00")&amp;" SM","---")))</f>
        <v>---</v>
      </c>
      <c r="O29" s="693" t="str">
        <f>IF('BP2'!H26&gt;0,TEXT('BP2'!H26,"0.00")&amp;" CM",IF('BP2'!I26&gt;0,TEXT('BP2'!I26,"0.00")&amp;" AM"&amp;IF(AND('BP2'!I26&gt;0,'BP2'!J26&gt;0),"; ","")&amp;IF('BP2'!J26&gt;0,TEXT('BP2'!J26,"0.00")&amp;" SM",""),IF('BP2'!J26&gt;0,TEXT('BP2'!J26,"0.00")&amp;" SM","---")))</f>
        <v>---</v>
      </c>
      <c r="P29" s="693" t="str">
        <f>IF('BP3'!H26&gt;0,TEXT('BP3'!H26,"0.00")&amp;" CM",IF('BP3'!I26&gt;0,TEXT('BP3'!I26,"0.00")&amp;" AM"&amp;IF(AND('BP3'!I26&gt;0,'BP3'!J26&gt;0),"; ","")&amp;IF('BP3'!J26&gt;0,TEXT('BP3'!J26,"0.00")&amp;" SM",""),IF('BP3'!J26&gt;0,TEXT('BP3'!J26,"0.00")&amp;" SM","---")))</f>
        <v>---</v>
      </c>
      <c r="Q29" s="693" t="str">
        <f>IF('BP4'!H26&gt;0,TEXT('BP4'!H26,"0.00")&amp;" CM",IF('BP4'!I26&gt;0,TEXT('BP4'!I26,"0.00")&amp;" AM"&amp;IF(AND('BP4'!I26&gt;0,'BP4'!J26&gt;0),"; ","")&amp;IF('BP4'!J26&gt;0,TEXT('BP4'!J26,"0.00")&amp;" SM",""),IF('BP4'!J26&gt;0,TEXT('BP4'!J26,"0.00")&amp;" SM","---")))</f>
        <v>---</v>
      </c>
      <c r="R29" s="693" t="str">
        <f>IF('BP5'!H26&gt;0,TEXT('BP5'!H26,"0.00")&amp;" CM",IF('BP5'!I26&gt;0,TEXT('BP5'!I26,"0.00")&amp;" AM"&amp;IF(AND('BP5'!I26&gt;0,'BP5'!J26&gt;0),"; ","")&amp;IF('BP5'!J26&gt;0,TEXT('BP5'!J26,"0.00")&amp;" SM",""),IF('BP5'!J26&gt;0,TEXT('BP5'!J26,"0.00")&amp;" SM","---")))</f>
        <v>---</v>
      </c>
      <c r="S29" s="693" t="str">
        <f>IF('Cumulative Budget'!H26&gt;0,TEXT('Cumulative Budget'!H26,"0.00")&amp;" CM",IF('Cumulative Budget'!I26&gt;0,TEXT('Cumulative Budget'!I26,"0.00")&amp;" AM"&amp;IF(AND('Cumulative Budget'!I26&gt;0,'Cumulative Budget'!J26&gt;0),"; ","")&amp;IF('Cumulative Budget'!J26&gt;0,TEXT('Cumulative Budget'!J26,"0.00")&amp;" SM",""),IF('Cumulative Budget'!J26&gt;0,TEXT('Cumulative Budget'!J26,"0.00")&amp;" SM","---")))</f>
        <v>---</v>
      </c>
    </row>
    <row r="30" spans="1:19" s="84" customFormat="1" hidden="1">
      <c r="A30" s="77" t="str">
        <f>CONCATENATE(K29," Fringe")</f>
        <v>Senior Personnel 12 Fringe</v>
      </c>
      <c r="B30" s="508">
        <f>'BP1'!$L$26</f>
        <v>0</v>
      </c>
      <c r="C30" s="508">
        <f ca="1">'BP2'!$L$26</f>
        <v>0</v>
      </c>
      <c r="D30" s="508">
        <f ca="1">'BP3'!$L$26</f>
        <v>0</v>
      </c>
      <c r="E30" s="508">
        <f ca="1">'BP4'!$L$26</f>
        <v>0</v>
      </c>
      <c r="F30" s="509">
        <f ca="1">'BP5'!$L$26</f>
        <v>0</v>
      </c>
      <c r="G30" s="508">
        <f t="shared" ca="1" si="0"/>
        <v>0</v>
      </c>
      <c r="I30" s="135" t="s">
        <v>493</v>
      </c>
      <c r="K30" s="705"/>
      <c r="L30" s="706"/>
      <c r="M30" s="707"/>
      <c r="N30" s="693"/>
      <c r="O30" s="693"/>
      <c r="P30" s="693"/>
      <c r="Q30" s="693"/>
      <c r="R30" s="693"/>
      <c r="S30" s="693"/>
    </row>
    <row r="31" spans="1:19" s="84" customFormat="1" hidden="1">
      <c r="A31" s="77" t="str">
        <f>CONCATENATE(K31," Salary")</f>
        <v>Senior Personnel 13 Salary</v>
      </c>
      <c r="B31" s="508">
        <f>'BP1'!$K$27</f>
        <v>0</v>
      </c>
      <c r="C31" s="508">
        <f ca="1">'BP2'!$K$27</f>
        <v>0</v>
      </c>
      <c r="D31" s="508">
        <f ca="1">'BP3'!$K$27</f>
        <v>0</v>
      </c>
      <c r="E31" s="508">
        <f ca="1">'BP4'!$K$27</f>
        <v>0</v>
      </c>
      <c r="F31" s="509">
        <f ca="1">'BP5'!$K$27</f>
        <v>0</v>
      </c>
      <c r="G31" s="508">
        <f t="shared" ca="1" si="0"/>
        <v>0</v>
      </c>
      <c r="I31" s="135" t="s">
        <v>493</v>
      </c>
      <c r="K31" s="702" t="str">
        <f>IF(ISBLANK('BP1'!$B$27),"Senior Personnel 13",""&amp;'BP1'!$B$27)</f>
        <v>Senior Personnel 13</v>
      </c>
      <c r="L31" s="703"/>
      <c r="M31" s="704"/>
      <c r="N31" s="693" t="str">
        <f>IF('BP1'!H27&gt;0,TEXT('BP1'!H27,"0.00")&amp;" CM",IF('BP1'!I27&gt;0,TEXT('BP1'!I27,"0.00")&amp;" AM"&amp;IF(AND('BP1'!I27&gt;0,'BP1'!J27&gt;0),"; ","")&amp;IF('BP1'!J27&gt;0,TEXT('BP1'!J27,"0.00")&amp;" SM",""),IF('BP1'!J27&gt;0,TEXT('BP1'!J27,"0.00")&amp;" SM","---")))</f>
        <v>---</v>
      </c>
      <c r="O31" s="693" t="str">
        <f>IF('BP2'!H27&gt;0,TEXT('BP2'!H27,"0.00")&amp;" CM",IF('BP2'!I27&gt;0,TEXT('BP2'!I27,"0.00")&amp;" AM"&amp;IF(AND('BP2'!I27&gt;0,'BP2'!J27&gt;0),"; ","")&amp;IF('BP2'!J27&gt;0,TEXT('BP2'!J27,"0.00")&amp;" SM",""),IF('BP2'!J27&gt;0,TEXT('BP2'!J27,"0.00")&amp;" SM","---")))</f>
        <v>---</v>
      </c>
      <c r="P31" s="693" t="str">
        <f>IF('BP3'!H27&gt;0,TEXT('BP3'!H27,"0.00")&amp;" CM",IF('BP3'!I27&gt;0,TEXT('BP3'!I27,"0.00")&amp;" AM"&amp;IF(AND('BP3'!I27&gt;0,'BP3'!J27&gt;0),"; ","")&amp;IF('BP3'!J27&gt;0,TEXT('BP3'!J27,"0.00")&amp;" SM",""),IF('BP3'!J27&gt;0,TEXT('BP3'!J27,"0.00")&amp;" SM","---")))</f>
        <v>---</v>
      </c>
      <c r="Q31" s="693" t="str">
        <f>IF('BP4'!H27&gt;0,TEXT('BP4'!H27,"0.00")&amp;" CM",IF('BP4'!I27&gt;0,TEXT('BP4'!I27,"0.00")&amp;" AM"&amp;IF(AND('BP4'!I27&gt;0,'BP4'!J27&gt;0),"; ","")&amp;IF('BP4'!J27&gt;0,TEXT('BP4'!J27,"0.00")&amp;" SM",""),IF('BP4'!J27&gt;0,TEXT('BP4'!J27,"0.00")&amp;" SM","---")))</f>
        <v>---</v>
      </c>
      <c r="R31" s="693" t="str">
        <f>IF('BP5'!H27&gt;0,TEXT('BP5'!H27,"0.00")&amp;" CM",IF('BP5'!I27&gt;0,TEXT('BP5'!I27,"0.00")&amp;" AM"&amp;IF(AND('BP5'!I27&gt;0,'BP5'!J27&gt;0),"; ","")&amp;IF('BP5'!J27&gt;0,TEXT('BP5'!J27,"0.00")&amp;" SM",""),IF('BP5'!J27&gt;0,TEXT('BP5'!J27,"0.00")&amp;" SM","---")))</f>
        <v>---</v>
      </c>
      <c r="S31" s="693" t="str">
        <f>IF('Cumulative Budget'!H27&gt;0,TEXT('Cumulative Budget'!H27,"0.00")&amp;" CM",IF('Cumulative Budget'!I27&gt;0,TEXT('Cumulative Budget'!I27,"0.00")&amp;" AM"&amp;IF(AND('Cumulative Budget'!I27&gt;0,'Cumulative Budget'!J27&gt;0),"; ","")&amp;IF('Cumulative Budget'!J27&gt;0,TEXT('Cumulative Budget'!J27,"0.00")&amp;" SM",""),IF('Cumulative Budget'!J27&gt;0,TEXT('Cumulative Budget'!J27,"0.00")&amp;" SM","---")))</f>
        <v>---</v>
      </c>
    </row>
    <row r="32" spans="1:19" s="84" customFormat="1" hidden="1">
      <c r="A32" s="77" t="str">
        <f>CONCATENATE(K31," Fringe")</f>
        <v>Senior Personnel 13 Fringe</v>
      </c>
      <c r="B32" s="508">
        <f>'BP1'!$L$27</f>
        <v>0</v>
      </c>
      <c r="C32" s="508">
        <f ca="1">'BP2'!$L$27</f>
        <v>0</v>
      </c>
      <c r="D32" s="508">
        <f ca="1">'BP3'!$L$27</f>
        <v>0</v>
      </c>
      <c r="E32" s="508">
        <f ca="1">'BP4'!$L$27</f>
        <v>0</v>
      </c>
      <c r="F32" s="509">
        <f ca="1">'BP5'!$L$27</f>
        <v>0</v>
      </c>
      <c r="G32" s="508">
        <f t="shared" ca="1" si="0"/>
        <v>0</v>
      </c>
      <c r="I32" s="135" t="s">
        <v>493</v>
      </c>
      <c r="K32" s="705"/>
      <c r="L32" s="706"/>
      <c r="M32" s="707"/>
      <c r="N32" s="693"/>
      <c r="O32" s="693"/>
      <c r="P32" s="693"/>
      <c r="Q32" s="693"/>
      <c r="R32" s="693"/>
      <c r="S32" s="693"/>
    </row>
    <row r="33" spans="1:19" s="84" customFormat="1" hidden="1">
      <c r="A33" s="77" t="str">
        <f>CONCATENATE(K33," Salary")</f>
        <v>Senior Personnel 14 Salary</v>
      </c>
      <c r="B33" s="508">
        <f>'BP1'!$K$28</f>
        <v>0</v>
      </c>
      <c r="C33" s="508">
        <f ca="1">'BP2'!$K$28</f>
        <v>0</v>
      </c>
      <c r="D33" s="508">
        <f ca="1">'BP3'!$K$28</f>
        <v>0</v>
      </c>
      <c r="E33" s="508">
        <f ca="1">'BP4'!$K$28</f>
        <v>0</v>
      </c>
      <c r="F33" s="509">
        <f ca="1">'BP5'!$K$28</f>
        <v>0</v>
      </c>
      <c r="G33" s="508">
        <f t="shared" ca="1" si="0"/>
        <v>0</v>
      </c>
      <c r="I33" s="135" t="s">
        <v>493</v>
      </c>
      <c r="K33" s="702" t="str">
        <f>IF(ISBLANK('BP1'!$B$28),"Senior Personnel 14",""&amp;'BP1'!$B$28)</f>
        <v>Senior Personnel 14</v>
      </c>
      <c r="L33" s="703"/>
      <c r="M33" s="704"/>
      <c r="N33" s="693" t="str">
        <f>IF('BP1'!H28&gt;0,TEXT('BP1'!H28,"0.00")&amp;" CM",IF('BP1'!I28&gt;0,TEXT('BP1'!I28,"0.00")&amp;" AM"&amp;IF(AND('BP1'!I28&gt;0,'BP1'!J28&gt;0),"; ","")&amp;IF('BP1'!J28&gt;0,TEXT('BP1'!J28,"0.00")&amp;" SM",""),IF('BP1'!J28&gt;0,TEXT('BP1'!J28,"0.00")&amp;" SM","---")))</f>
        <v>---</v>
      </c>
      <c r="O33" s="693" t="str">
        <f>IF('BP2'!H28&gt;0,TEXT('BP2'!H28,"0.00")&amp;" CM",IF('BP2'!I28&gt;0,TEXT('BP2'!I28,"0.00")&amp;" AM"&amp;IF(AND('BP2'!I28&gt;0,'BP2'!J28&gt;0),"; ","")&amp;IF('BP2'!J28&gt;0,TEXT('BP2'!J28,"0.00")&amp;" SM",""),IF('BP2'!J28&gt;0,TEXT('BP2'!J28,"0.00")&amp;" SM","---")))</f>
        <v>---</v>
      </c>
      <c r="P33" s="693" t="str">
        <f>IF('BP3'!H28&gt;0,TEXT('BP3'!H28,"0.00")&amp;" CM",IF('BP3'!I28&gt;0,TEXT('BP3'!I28,"0.00")&amp;" AM"&amp;IF(AND('BP3'!I28&gt;0,'BP3'!J28&gt;0),"; ","")&amp;IF('BP3'!J28&gt;0,TEXT('BP3'!J28,"0.00")&amp;" SM",""),IF('BP3'!J28&gt;0,TEXT('BP3'!J28,"0.00")&amp;" SM","---")))</f>
        <v>---</v>
      </c>
      <c r="Q33" s="693" t="str">
        <f>IF('BP4'!H28&gt;0,TEXT('BP4'!H28,"0.00")&amp;" CM",IF('BP4'!I28&gt;0,TEXT('BP4'!I28,"0.00")&amp;" AM"&amp;IF(AND('BP4'!I28&gt;0,'BP4'!J28&gt;0),"; ","")&amp;IF('BP4'!J28&gt;0,TEXT('BP4'!J28,"0.00")&amp;" SM",""),IF('BP4'!J28&gt;0,TEXT('BP4'!J28,"0.00")&amp;" SM","---")))</f>
        <v>---</v>
      </c>
      <c r="R33" s="693" t="str">
        <f>IF('BP5'!H28&gt;0,TEXT('BP5'!H28,"0.00")&amp;" CM",IF('BP5'!I28&gt;0,TEXT('BP5'!I28,"0.00")&amp;" AM"&amp;IF(AND('BP5'!I28&gt;0,'BP5'!J28&gt;0),"; ","")&amp;IF('BP5'!J28&gt;0,TEXT('BP5'!J28,"0.00")&amp;" SM",""),IF('BP5'!J28&gt;0,TEXT('BP5'!J28,"0.00")&amp;" SM","---")))</f>
        <v>---</v>
      </c>
      <c r="S33" s="693" t="str">
        <f>IF('Cumulative Budget'!H28&gt;0,TEXT('Cumulative Budget'!H28,"0.00")&amp;" CM",IF('Cumulative Budget'!I28&gt;0,TEXT('Cumulative Budget'!I28,"0.00")&amp;" AM"&amp;IF(AND('Cumulative Budget'!I28&gt;0,'Cumulative Budget'!J28&gt;0),"; ","")&amp;IF('Cumulative Budget'!J28&gt;0,TEXT('Cumulative Budget'!J28,"0.00")&amp;" SM",""),IF('Cumulative Budget'!J28&gt;0,TEXT('Cumulative Budget'!J28,"0.00")&amp;" SM","---")))</f>
        <v>---</v>
      </c>
    </row>
    <row r="34" spans="1:19" s="84" customFormat="1" hidden="1">
      <c r="A34" s="77" t="str">
        <f>CONCATENATE(K33," Fringe")</f>
        <v>Senior Personnel 14 Fringe</v>
      </c>
      <c r="B34" s="508">
        <f>'BP1'!$L$28</f>
        <v>0</v>
      </c>
      <c r="C34" s="508">
        <f ca="1">'BP2'!$L$28</f>
        <v>0</v>
      </c>
      <c r="D34" s="508">
        <f ca="1">'BP3'!$L$28</f>
        <v>0</v>
      </c>
      <c r="E34" s="508">
        <f ca="1">'BP4'!$L$28</f>
        <v>0</v>
      </c>
      <c r="F34" s="509">
        <f ca="1">'BP5'!$L$28</f>
        <v>0</v>
      </c>
      <c r="G34" s="508">
        <f t="shared" ca="1" si="0"/>
        <v>0</v>
      </c>
      <c r="I34" s="135" t="s">
        <v>493</v>
      </c>
      <c r="K34" s="705"/>
      <c r="L34" s="706"/>
      <c r="M34" s="707"/>
      <c r="N34" s="693"/>
      <c r="O34" s="693"/>
      <c r="P34" s="693"/>
      <c r="Q34" s="693"/>
      <c r="R34" s="693"/>
      <c r="S34" s="693"/>
    </row>
    <row r="35" spans="1:19" s="84" customFormat="1" hidden="1">
      <c r="A35" s="77" t="str">
        <f>CONCATENATE(K35," Salary")</f>
        <v>Senior Personnel 15 Salary</v>
      </c>
      <c r="B35" s="508">
        <f>'BP1'!$K$29</f>
        <v>0</v>
      </c>
      <c r="C35" s="508">
        <f ca="1">'BP2'!$K$29</f>
        <v>0</v>
      </c>
      <c r="D35" s="508">
        <f ca="1">'BP3'!$K$29</f>
        <v>0</v>
      </c>
      <c r="E35" s="508">
        <f ca="1">'BP4'!$K$29</f>
        <v>0</v>
      </c>
      <c r="F35" s="509">
        <f ca="1">'BP5'!$K$29</f>
        <v>0</v>
      </c>
      <c r="G35" s="508">
        <f t="shared" ca="1" si="0"/>
        <v>0</v>
      </c>
      <c r="I35" s="135" t="s">
        <v>493</v>
      </c>
      <c r="K35" s="702" t="str">
        <f>IF(ISBLANK('BP1'!$B$29),"Senior Personnel 15",""&amp;'BP1'!$B$29)</f>
        <v>Senior Personnel 15</v>
      </c>
      <c r="L35" s="703"/>
      <c r="M35" s="704"/>
      <c r="N35" s="693" t="str">
        <f>IF('BP1'!H29&gt;0,TEXT('BP1'!H29,"0.00")&amp;" CM",IF('BP1'!I29&gt;0,TEXT('BP1'!I29,"0.00")&amp;" AM"&amp;IF(AND('BP1'!I29&gt;0,'BP1'!J29&gt;0),"; ","")&amp;IF('BP1'!J29&gt;0,TEXT('BP1'!J29,"0.00")&amp;" SM",""),IF('BP1'!J29&gt;0,TEXT('BP1'!J29,"0.00")&amp;" SM","---")))</f>
        <v>---</v>
      </c>
      <c r="O35" s="693" t="str">
        <f>IF('BP2'!H29&gt;0,TEXT('BP2'!H29,"0.00")&amp;" CM",IF('BP2'!I29&gt;0,TEXT('BP2'!I29,"0.00")&amp;" AM"&amp;IF(AND('BP2'!I29&gt;0,'BP2'!J29&gt;0),"; ","")&amp;IF('BP2'!J29&gt;0,TEXT('BP2'!J29,"0.00")&amp;" SM",""),IF('BP2'!J29&gt;0,TEXT('BP2'!J29,"0.00")&amp;" SM","---")))</f>
        <v>---</v>
      </c>
      <c r="P35" s="693" t="str">
        <f>IF('BP3'!H29&gt;0,TEXT('BP3'!H29,"0.00")&amp;" CM",IF('BP3'!I29&gt;0,TEXT('BP3'!I29,"0.00")&amp;" AM"&amp;IF(AND('BP3'!I29&gt;0,'BP3'!J29&gt;0),"; ","")&amp;IF('BP3'!J29&gt;0,TEXT('BP3'!J29,"0.00")&amp;" SM",""),IF('BP3'!J29&gt;0,TEXT('BP3'!J29,"0.00")&amp;" SM","---")))</f>
        <v>---</v>
      </c>
      <c r="Q35" s="693" t="str">
        <f>IF('BP4'!H29&gt;0,TEXT('BP4'!H29,"0.00")&amp;" CM",IF('BP4'!I29&gt;0,TEXT('BP4'!I29,"0.00")&amp;" AM"&amp;IF(AND('BP4'!I29&gt;0,'BP4'!J29&gt;0),"; ","")&amp;IF('BP4'!J29&gt;0,TEXT('BP4'!J29,"0.00")&amp;" SM",""),IF('BP4'!J29&gt;0,TEXT('BP4'!J29,"0.00")&amp;" SM","---")))</f>
        <v>---</v>
      </c>
      <c r="R35" s="693" t="str">
        <f>IF('BP5'!H29&gt;0,TEXT('BP5'!H29,"0.00")&amp;" CM",IF('BP5'!I29&gt;0,TEXT('BP5'!I29,"0.00")&amp;" AM"&amp;IF(AND('BP5'!I29&gt;0,'BP5'!J29&gt;0),"; ","")&amp;IF('BP5'!J29&gt;0,TEXT('BP5'!J29,"0.00")&amp;" SM",""),IF('BP5'!J29&gt;0,TEXT('BP5'!J29,"0.00")&amp;" SM","---")))</f>
        <v>---</v>
      </c>
      <c r="S35" s="693" t="str">
        <f>IF('Cumulative Budget'!H29&gt;0,TEXT('Cumulative Budget'!H29,"0.00")&amp;" CM",IF('Cumulative Budget'!I29&gt;0,TEXT('Cumulative Budget'!I29,"0.00")&amp;" AM"&amp;IF(AND('Cumulative Budget'!I29&gt;0,'Cumulative Budget'!J29&gt;0),"; ","")&amp;IF('Cumulative Budget'!J29&gt;0,TEXT('Cumulative Budget'!J29,"0.00")&amp;" SM",""),IF('Cumulative Budget'!J29&gt;0,TEXT('Cumulative Budget'!J29,"0.00")&amp;" SM","---")))</f>
        <v>---</v>
      </c>
    </row>
    <row r="36" spans="1:19" s="84" customFormat="1" hidden="1">
      <c r="A36" s="77" t="str">
        <f>CONCATENATE(K35," Fringe")</f>
        <v>Senior Personnel 15 Fringe</v>
      </c>
      <c r="B36" s="514">
        <f>'BP1'!$L$29</f>
        <v>0</v>
      </c>
      <c r="C36" s="514">
        <f ca="1">'BP2'!$L$29</f>
        <v>0</v>
      </c>
      <c r="D36" s="514">
        <f ca="1">'BP3'!$L$29</f>
        <v>0</v>
      </c>
      <c r="E36" s="514">
        <f ca="1">'BP4'!$L$29</f>
        <v>0</v>
      </c>
      <c r="F36" s="515">
        <f ca="1">'BP5'!$L$29</f>
        <v>0</v>
      </c>
      <c r="G36" s="508">
        <f t="shared" ca="1" si="0"/>
        <v>0</v>
      </c>
      <c r="I36" s="135" t="s">
        <v>493</v>
      </c>
      <c r="K36" s="705"/>
      <c r="L36" s="706"/>
      <c r="M36" s="707"/>
      <c r="N36" s="693"/>
      <c r="O36" s="693"/>
      <c r="P36" s="693"/>
      <c r="Q36" s="693"/>
      <c r="R36" s="693"/>
      <c r="S36" s="693"/>
    </row>
    <row r="37" spans="1:19">
      <c r="A37" s="83" t="s">
        <v>90</v>
      </c>
      <c r="B37" s="510">
        <f>'BP1'!$K30</f>
        <v>0</v>
      </c>
      <c r="C37" s="510">
        <f ca="1">'BP2'!$K30</f>
        <v>0</v>
      </c>
      <c r="D37" s="510">
        <f ca="1">'BP3'!$K30</f>
        <v>0</v>
      </c>
      <c r="E37" s="510">
        <f ca="1">'BP4'!$K30</f>
        <v>0</v>
      </c>
      <c r="F37" s="511">
        <f ca="1">'BP5'!$K30</f>
        <v>0</v>
      </c>
      <c r="G37" s="510">
        <f t="shared" ca="1" si="0"/>
        <v>0</v>
      </c>
      <c r="I37" s="135" t="s">
        <v>225</v>
      </c>
    </row>
    <row r="38" spans="1:19">
      <c r="A38" s="76" t="s">
        <v>91</v>
      </c>
      <c r="B38" s="512">
        <f>'BP1'!$L30</f>
        <v>0</v>
      </c>
      <c r="C38" s="512">
        <f ca="1">'BP2'!$L30</f>
        <v>0</v>
      </c>
      <c r="D38" s="512">
        <f ca="1">'BP3'!$L30</f>
        <v>0</v>
      </c>
      <c r="E38" s="512">
        <f ca="1">'BP4'!$L30</f>
        <v>0</v>
      </c>
      <c r="F38" s="513">
        <f ca="1">'BP5'!$L30</f>
        <v>0</v>
      </c>
      <c r="G38" s="512">
        <f t="shared" ca="1" si="0"/>
        <v>0</v>
      </c>
      <c r="I38" s="135" t="s">
        <v>225</v>
      </c>
    </row>
    <row r="39" spans="1:19" ht="30">
      <c r="A39" s="79"/>
      <c r="B39" s="483"/>
      <c r="C39" s="483"/>
      <c r="D39" s="483"/>
      <c r="E39" s="483"/>
      <c r="F39" s="483"/>
      <c r="G39" s="483"/>
      <c r="I39" s="135" t="s">
        <v>225</v>
      </c>
      <c r="K39" s="708" t="s">
        <v>233</v>
      </c>
      <c r="L39" s="708"/>
      <c r="M39" s="708"/>
      <c r="N39" s="428" t="s">
        <v>431</v>
      </c>
      <c r="O39" s="428" t="s">
        <v>432</v>
      </c>
      <c r="P39" s="428" t="s">
        <v>433</v>
      </c>
      <c r="Q39" s="428" t="s">
        <v>434</v>
      </c>
      <c r="R39" s="428" t="s">
        <v>435</v>
      </c>
      <c r="S39" s="258" t="s">
        <v>99</v>
      </c>
    </row>
    <row r="40" spans="1:19" s="84" customFormat="1">
      <c r="A40" s="77" t="str">
        <f>CONCATENATE('BP1'!$D$32," Salary")</f>
        <v>Postdoctoral Associate Salary</v>
      </c>
      <c r="B40" s="508">
        <f>'BP1'!$K$32</f>
        <v>0</v>
      </c>
      <c r="C40" s="508">
        <f ca="1">'BP2'!$K$32</f>
        <v>0</v>
      </c>
      <c r="D40" s="508">
        <f ca="1">'BP3'!$K$32</f>
        <v>0</v>
      </c>
      <c r="E40" s="508">
        <f ca="1">'BP4'!$K$32</f>
        <v>0</v>
      </c>
      <c r="F40" s="509">
        <f ca="1">'BP5'!$K$32</f>
        <v>0</v>
      </c>
      <c r="G40" s="508">
        <f t="shared" ca="1" si="0"/>
        <v>0</v>
      </c>
      <c r="I40" s="135" t="s">
        <v>225</v>
      </c>
      <c r="K40" s="694" t="str">
        <f>'BP1'!$D$32</f>
        <v>Postdoctoral Associate</v>
      </c>
      <c r="L40" s="694"/>
      <c r="M40" s="694"/>
      <c r="N40" s="693" t="str">
        <f>IF('BP1'!H32&gt;0,TEXT('BP1'!H32,"0.00")&amp;" CM","---")</f>
        <v>---</v>
      </c>
      <c r="O40" s="693" t="str">
        <f>IF('BP2'!H32&gt;0,TEXT('BP2'!H32,"0.00")&amp;" CM","---")</f>
        <v>---</v>
      </c>
      <c r="P40" s="693" t="str">
        <f>IF('BP3'!H32&gt;0,TEXT('BP3'!H32,"0.00")&amp;" CM","---")</f>
        <v>---</v>
      </c>
      <c r="Q40" s="693" t="str">
        <f>IF('BP4'!H32&gt;0,TEXT('BP4'!H32,"0.00")&amp;" CM","---")</f>
        <v>---</v>
      </c>
      <c r="R40" s="693" t="str">
        <f>IF('BP5'!H32&gt;0,TEXT('BP5'!H32,"0.00")&amp;" CM","---")</f>
        <v>---</v>
      </c>
      <c r="S40" s="693" t="str">
        <f>IF('Cumulative Budget'!H32&gt;0,TEXT('Cumulative Budget'!H32,"0.00")&amp;" CM","---")</f>
        <v>---</v>
      </c>
    </row>
    <row r="41" spans="1:19" s="84" customFormat="1">
      <c r="A41" s="77" t="str">
        <f>CONCATENATE('BP1'!$D$32," Fringe")</f>
        <v>Postdoctoral Associate Fringe</v>
      </c>
      <c r="B41" s="508">
        <f>'BP1'!$L$32</f>
        <v>0</v>
      </c>
      <c r="C41" s="508">
        <f>'BP2'!$L$32</f>
        <v>0</v>
      </c>
      <c r="D41" s="508">
        <f>'BP3'!$L$32</f>
        <v>0</v>
      </c>
      <c r="E41" s="508">
        <f>'BP4'!$L$32</f>
        <v>0</v>
      </c>
      <c r="F41" s="509">
        <f>'BP5'!$L$32</f>
        <v>0</v>
      </c>
      <c r="G41" s="508">
        <f t="shared" si="0"/>
        <v>0</v>
      </c>
      <c r="I41" s="135" t="s">
        <v>225</v>
      </c>
      <c r="K41" s="694"/>
      <c r="L41" s="694"/>
      <c r="M41" s="694"/>
      <c r="N41" s="693"/>
      <c r="O41" s="693"/>
      <c r="P41" s="693"/>
      <c r="Q41" s="693"/>
      <c r="R41" s="693"/>
      <c r="S41" s="693"/>
    </row>
    <row r="42" spans="1:19" s="84" customFormat="1">
      <c r="A42" s="77" t="str">
        <f>CONCATENATE('BP1'!$D$33," Salary")</f>
        <v>Other Professional Salary</v>
      </c>
      <c r="B42" s="508">
        <f>'BP1'!$K$33</f>
        <v>0</v>
      </c>
      <c r="C42" s="508">
        <f ca="1">'BP2'!$K$33</f>
        <v>0</v>
      </c>
      <c r="D42" s="508">
        <f ca="1">'BP3'!$K$33</f>
        <v>0</v>
      </c>
      <c r="E42" s="508">
        <f ca="1">'BP4'!$K$33</f>
        <v>0</v>
      </c>
      <c r="F42" s="509">
        <f ca="1">'BP5'!$K$33</f>
        <v>0</v>
      </c>
      <c r="G42" s="508">
        <f t="shared" ca="1" si="0"/>
        <v>0</v>
      </c>
      <c r="I42" s="135" t="s">
        <v>225</v>
      </c>
      <c r="K42" s="694" t="str">
        <f>'BP1'!$D$33</f>
        <v>Other Professional</v>
      </c>
      <c r="L42" s="694"/>
      <c r="M42" s="694"/>
      <c r="N42" s="693" t="str">
        <f>IF('BP1'!H33&gt;0,TEXT('BP1'!H33,"0.00")&amp;" CM","---")</f>
        <v>---</v>
      </c>
      <c r="O42" s="695" t="str">
        <f>IF('BP2'!H33&gt;0,TEXT('BP2'!H33,"0.00")&amp;" CM","---")</f>
        <v>---</v>
      </c>
      <c r="P42" s="693" t="str">
        <f>IF('BP3'!H33&gt;0,TEXT('BP3'!H33,"0.00")&amp;" CM","---")</f>
        <v>---</v>
      </c>
      <c r="Q42" s="693" t="str">
        <f>IF('BP4'!H33&gt;0,TEXT('BP4'!H33,"0.00")&amp;" CM","---")</f>
        <v>---</v>
      </c>
      <c r="R42" s="693" t="str">
        <f>IF('BP5'!H33&gt;0,TEXT('BP5'!H33,"0.00")&amp;" CM","---")</f>
        <v>---</v>
      </c>
      <c r="S42" s="693" t="str">
        <f>IF('Cumulative Budget'!H33&gt;0,TEXT('Cumulative Budget'!H33,"0.00")&amp;" CM","---")</f>
        <v>---</v>
      </c>
    </row>
    <row r="43" spans="1:19" s="84" customFormat="1">
      <c r="A43" s="77" t="str">
        <f>CONCATENATE('BP1'!$D$33," Fringe")</f>
        <v>Other Professional Fringe</v>
      </c>
      <c r="B43" s="508">
        <f>'BP1'!$L$33</f>
        <v>0</v>
      </c>
      <c r="C43" s="508">
        <f>'BP2'!$L$33</f>
        <v>0</v>
      </c>
      <c r="D43" s="508">
        <f>'BP3'!$L$33</f>
        <v>0</v>
      </c>
      <c r="E43" s="508">
        <f>'BP4'!$L$33</f>
        <v>0</v>
      </c>
      <c r="F43" s="509">
        <f>'BP5'!$L$33</f>
        <v>0</v>
      </c>
      <c r="G43" s="508">
        <f t="shared" si="0"/>
        <v>0</v>
      </c>
      <c r="I43" s="135" t="s">
        <v>225</v>
      </c>
      <c r="K43" s="694"/>
      <c r="L43" s="694"/>
      <c r="M43" s="694"/>
      <c r="N43" s="693"/>
      <c r="O43" s="696"/>
      <c r="P43" s="693"/>
      <c r="Q43" s="693"/>
      <c r="R43" s="693"/>
      <c r="S43" s="693"/>
    </row>
    <row r="44" spans="1:19" s="84" customFormat="1" hidden="1">
      <c r="A44" s="77" t="str">
        <f>CONCATENATE('BP1'!$D$34," Salary")</f>
        <v>Other Professional Salary</v>
      </c>
      <c r="B44" s="508">
        <f>'BP1'!$K$34</f>
        <v>0</v>
      </c>
      <c r="C44" s="508">
        <f ca="1">'BP2'!$K$34</f>
        <v>0</v>
      </c>
      <c r="D44" s="508">
        <f ca="1">'BP3'!$K$34</f>
        <v>0</v>
      </c>
      <c r="E44" s="508">
        <f ca="1">'BP4'!$K$34</f>
        <v>0</v>
      </c>
      <c r="F44" s="509">
        <f ca="1">'BP5'!$K$34</f>
        <v>0</v>
      </c>
      <c r="G44" s="508">
        <f t="shared" ca="1" si="0"/>
        <v>0</v>
      </c>
      <c r="I44" s="135" t="s">
        <v>500</v>
      </c>
      <c r="K44" s="694" t="str">
        <f>'BP1'!$D$34</f>
        <v>Other Professional</v>
      </c>
      <c r="L44" s="694"/>
      <c r="M44" s="694"/>
      <c r="N44" s="693" t="str">
        <f>IF('BP1'!H34&gt;0,TEXT('BP1'!H34,"0.00")&amp;" CM","---")</f>
        <v>---</v>
      </c>
      <c r="O44" s="695" t="str">
        <f>IF('BP2'!H34&gt;0,TEXT('BP2'!H34,"0.00")&amp;" CM","---")</f>
        <v>---</v>
      </c>
      <c r="P44" s="693" t="str">
        <f>IF('BP3'!H34&gt;0,TEXT('BP3'!H34,"0.00")&amp;" CM","---")</f>
        <v>---</v>
      </c>
      <c r="Q44" s="693" t="str">
        <f>IF('BP4'!H34&gt;0,TEXT('BP4'!H34,"0.00")&amp;" CM","---")</f>
        <v>---</v>
      </c>
      <c r="R44" s="693" t="str">
        <f>IF('BP5'!H34&gt;0,TEXT('BP5'!H34,"0.00")&amp;" CM","---")</f>
        <v>---</v>
      </c>
      <c r="S44" s="693" t="str">
        <f>IF('Cumulative Budget'!H34&gt;0,TEXT('Cumulative Budget'!H34,"0.00")&amp;" CM","---")</f>
        <v>---</v>
      </c>
    </row>
    <row r="45" spans="1:19" s="84" customFormat="1" hidden="1">
      <c r="A45" s="77" t="str">
        <f>CONCATENATE('BP1'!$D$34," Fringe")</f>
        <v>Other Professional Fringe</v>
      </c>
      <c r="B45" s="508">
        <f>'BP1'!$L$34</f>
        <v>0</v>
      </c>
      <c r="C45" s="508">
        <f>'BP2'!$L$34</f>
        <v>0</v>
      </c>
      <c r="D45" s="508">
        <f>'BP3'!$L$34</f>
        <v>0</v>
      </c>
      <c r="E45" s="508">
        <f>'BP4'!$L$34</f>
        <v>0</v>
      </c>
      <c r="F45" s="509">
        <f>'BP5'!$L$34</f>
        <v>0</v>
      </c>
      <c r="G45" s="508">
        <f t="shared" si="0"/>
        <v>0</v>
      </c>
      <c r="I45" s="135" t="s">
        <v>500</v>
      </c>
      <c r="K45" s="694"/>
      <c r="L45" s="694"/>
      <c r="M45" s="694"/>
      <c r="N45" s="693"/>
      <c r="O45" s="696"/>
      <c r="P45" s="693"/>
      <c r="Q45" s="693"/>
      <c r="R45" s="693"/>
      <c r="S45" s="693"/>
    </row>
    <row r="46" spans="1:19" s="84" customFormat="1" hidden="1">
      <c r="A46" s="77" t="str">
        <f>CONCATENATE('BP1'!$D$35," Salary")</f>
        <v>Other Professional Salary</v>
      </c>
      <c r="B46" s="508">
        <f>'BP1'!$K$35</f>
        <v>0</v>
      </c>
      <c r="C46" s="508">
        <f ca="1">'BP2'!$K$35</f>
        <v>0</v>
      </c>
      <c r="D46" s="508">
        <f ca="1">'BP3'!$K$35</f>
        <v>0</v>
      </c>
      <c r="E46" s="508">
        <f ca="1">'BP4'!$K$35</f>
        <v>0</v>
      </c>
      <c r="F46" s="509">
        <f ca="1">'BP5'!$K$35</f>
        <v>0</v>
      </c>
      <c r="G46" s="508">
        <f t="shared" ca="1" si="0"/>
        <v>0</v>
      </c>
      <c r="I46" s="135" t="s">
        <v>500</v>
      </c>
      <c r="K46" s="694" t="str">
        <f>'BP1'!$D$35</f>
        <v>Other Professional</v>
      </c>
      <c r="L46" s="694"/>
      <c r="M46" s="694"/>
      <c r="N46" s="693" t="str">
        <f>IF('BP1'!H35&gt;0,TEXT('BP1'!H35,"0.00")&amp;" CM","---")</f>
        <v>---</v>
      </c>
      <c r="O46" s="695" t="str">
        <f>IF('BP2'!H35&gt;0,TEXT('BP2'!H35,"0.00")&amp;" CM","---")</f>
        <v>---</v>
      </c>
      <c r="P46" s="693" t="str">
        <f>IF('BP3'!H35&gt;0,TEXT('BP3'!H35,"0.00")&amp;" CM","---")</f>
        <v>---</v>
      </c>
      <c r="Q46" s="693" t="str">
        <f>IF('BP4'!H35&gt;0,TEXT('BP4'!H35,"0.00")&amp;" CM","---")</f>
        <v>---</v>
      </c>
      <c r="R46" s="693" t="str">
        <f>IF('BP5'!H35&gt;0,TEXT('BP5'!H35,"0.00")&amp;" CM","---")</f>
        <v>---</v>
      </c>
      <c r="S46" s="693" t="str">
        <f>IF('Cumulative Budget'!H35&gt;0,TEXT('Cumulative Budget'!H35,"0.00")&amp;" CM","---")</f>
        <v>---</v>
      </c>
    </row>
    <row r="47" spans="1:19" s="84" customFormat="1" hidden="1">
      <c r="A47" s="77" t="str">
        <f>CONCATENATE('BP1'!$D$35," Fringe")</f>
        <v>Other Professional Fringe</v>
      </c>
      <c r="B47" s="508">
        <f>'BP1'!$L$35</f>
        <v>0</v>
      </c>
      <c r="C47" s="508">
        <f>'BP2'!$L$35</f>
        <v>0</v>
      </c>
      <c r="D47" s="508">
        <f>'BP3'!$L$35</f>
        <v>0</v>
      </c>
      <c r="E47" s="508">
        <f>'BP4'!$L$35</f>
        <v>0</v>
      </c>
      <c r="F47" s="509">
        <f>'BP5'!$L$35</f>
        <v>0</v>
      </c>
      <c r="G47" s="508">
        <f t="shared" si="0"/>
        <v>0</v>
      </c>
      <c r="I47" s="135" t="s">
        <v>500</v>
      </c>
      <c r="K47" s="694"/>
      <c r="L47" s="694"/>
      <c r="M47" s="694"/>
      <c r="N47" s="693"/>
      <c r="O47" s="696"/>
      <c r="P47" s="693"/>
      <c r="Q47" s="693"/>
      <c r="R47" s="693"/>
      <c r="S47" s="693"/>
    </row>
    <row r="48" spans="1:19" s="84" customFormat="1" hidden="1">
      <c r="A48" s="77" t="str">
        <f>CONCATENATE('BP1'!$D$36," Salary")</f>
        <v>Other Professional Salary</v>
      </c>
      <c r="B48" s="508">
        <f>'BP1'!$K$36</f>
        <v>0</v>
      </c>
      <c r="C48" s="508">
        <f ca="1">'BP2'!$K$36</f>
        <v>0</v>
      </c>
      <c r="D48" s="508">
        <f ca="1">'BP3'!$K$36</f>
        <v>0</v>
      </c>
      <c r="E48" s="508">
        <f ca="1">'BP4'!$K$36</f>
        <v>0</v>
      </c>
      <c r="F48" s="509">
        <f ca="1">'BP5'!$K$36</f>
        <v>0</v>
      </c>
      <c r="G48" s="508">
        <f t="shared" ca="1" si="0"/>
        <v>0</v>
      </c>
      <c r="I48" s="135" t="s">
        <v>500</v>
      </c>
      <c r="K48" s="694" t="str">
        <f>'BP1'!$D$36</f>
        <v>Other Professional</v>
      </c>
      <c r="L48" s="694"/>
      <c r="M48" s="694"/>
      <c r="N48" s="693" t="str">
        <f>IF('BP1'!H36&gt;0,TEXT('BP1'!H36,"0.00")&amp;" CM","---")</f>
        <v>---</v>
      </c>
      <c r="O48" s="695" t="str">
        <f>IF('BP2'!H36&gt;0,TEXT('BP2'!H36,"0.00")&amp;" CM","---")</f>
        <v>---</v>
      </c>
      <c r="P48" s="693" t="str">
        <f>IF('BP3'!H36&gt;0,TEXT('BP3'!H36,"0.00")&amp;" CM","---")</f>
        <v>---</v>
      </c>
      <c r="Q48" s="693" t="str">
        <f>IF('BP4'!H36&gt;0,TEXT('BP4'!H36,"0.00")&amp;" CM","---")</f>
        <v>---</v>
      </c>
      <c r="R48" s="693" t="str">
        <f>IF('BP5'!H36&gt;0,TEXT('BP5'!H36,"0.00")&amp;" CM","---")</f>
        <v>---</v>
      </c>
      <c r="S48" s="693" t="str">
        <f>IF('Cumulative Budget'!H36&gt;0,TEXT('Cumulative Budget'!H36,"0.00")&amp;" CM","---")</f>
        <v>---</v>
      </c>
    </row>
    <row r="49" spans="1:19" s="84" customFormat="1" hidden="1">
      <c r="A49" s="77" t="str">
        <f>CONCATENATE('BP1'!$D$36," Fringe")</f>
        <v>Other Professional Fringe</v>
      </c>
      <c r="B49" s="508">
        <f>'BP1'!$L$36</f>
        <v>0</v>
      </c>
      <c r="C49" s="508">
        <f>'BP2'!$L$36</f>
        <v>0</v>
      </c>
      <c r="D49" s="508">
        <f>'BP3'!$L$36</f>
        <v>0</v>
      </c>
      <c r="E49" s="508">
        <f>'BP4'!$L$36</f>
        <v>0</v>
      </c>
      <c r="F49" s="509">
        <f>'BP5'!$L$36</f>
        <v>0</v>
      </c>
      <c r="G49" s="508">
        <f t="shared" si="0"/>
        <v>0</v>
      </c>
      <c r="I49" s="135" t="s">
        <v>500</v>
      </c>
      <c r="K49" s="694"/>
      <c r="L49" s="694"/>
      <c r="M49" s="694"/>
      <c r="N49" s="693"/>
      <c r="O49" s="696"/>
      <c r="P49" s="693"/>
      <c r="Q49" s="693"/>
      <c r="R49" s="693"/>
      <c r="S49" s="693"/>
    </row>
    <row r="50" spans="1:19" s="84" customFormat="1" hidden="1">
      <c r="A50" s="77" t="str">
        <f>CONCATENATE('BP1'!$D$37," Salary")</f>
        <v>Other Professional Salary</v>
      </c>
      <c r="B50" s="508">
        <f>'BP1'!$K$37</f>
        <v>0</v>
      </c>
      <c r="C50" s="508">
        <f ca="1">'BP2'!$K$37</f>
        <v>0</v>
      </c>
      <c r="D50" s="508">
        <f ca="1">'BP3'!$K$37</f>
        <v>0</v>
      </c>
      <c r="E50" s="508">
        <f ca="1">'BP4'!$K$37</f>
        <v>0</v>
      </c>
      <c r="F50" s="509">
        <f ca="1">'BP5'!$K$37</f>
        <v>0</v>
      </c>
      <c r="G50" s="508">
        <f t="shared" ca="1" si="0"/>
        <v>0</v>
      </c>
      <c r="I50" s="135" t="s">
        <v>500</v>
      </c>
      <c r="K50" s="694" t="str">
        <f>'BP1'!$D$37</f>
        <v>Other Professional</v>
      </c>
      <c r="L50" s="694"/>
      <c r="M50" s="694"/>
      <c r="N50" s="693" t="str">
        <f>IF('BP1'!H37&gt;0,TEXT('BP1'!H37,"0.00")&amp;" CM","---")</f>
        <v>---</v>
      </c>
      <c r="O50" s="695" t="str">
        <f>IF('BP2'!H37&gt;0,TEXT('BP2'!H37,"0.00")&amp;" CM","---")</f>
        <v>---</v>
      </c>
      <c r="P50" s="693" t="str">
        <f>IF('BP3'!H37&gt;0,TEXT('BP3'!H37,"0.00")&amp;" CM","---")</f>
        <v>---</v>
      </c>
      <c r="Q50" s="693" t="str">
        <f>IF('BP4'!H37&gt;0,TEXT('BP4'!H37,"0.00")&amp;" CM","---")</f>
        <v>---</v>
      </c>
      <c r="R50" s="693" t="str">
        <f>IF('BP5'!H37&gt;0,TEXT('BP5'!H37,"0.00")&amp;" CM","---")</f>
        <v>---</v>
      </c>
      <c r="S50" s="693" t="str">
        <f>IF('Cumulative Budget'!H37&gt;0,TEXT('Cumulative Budget'!H37,"0.00")&amp;" CM","---")</f>
        <v>---</v>
      </c>
    </row>
    <row r="51" spans="1:19" s="84" customFormat="1" hidden="1">
      <c r="A51" s="77" t="str">
        <f>CONCATENATE('BP1'!$D$37," Fringe")</f>
        <v>Other Professional Fringe</v>
      </c>
      <c r="B51" s="508">
        <f>'BP1'!$L$37</f>
        <v>0</v>
      </c>
      <c r="C51" s="508">
        <f>'BP2'!$L$37</f>
        <v>0</v>
      </c>
      <c r="D51" s="508">
        <f>'BP3'!$L$37</f>
        <v>0</v>
      </c>
      <c r="E51" s="508">
        <f>'BP4'!$L$37</f>
        <v>0</v>
      </c>
      <c r="F51" s="509">
        <f>'BP5'!$L$37</f>
        <v>0</v>
      </c>
      <c r="G51" s="508">
        <f t="shared" si="0"/>
        <v>0</v>
      </c>
      <c r="I51" s="135" t="s">
        <v>500</v>
      </c>
      <c r="K51" s="694"/>
      <c r="L51" s="694"/>
      <c r="M51" s="694"/>
      <c r="N51" s="693"/>
      <c r="O51" s="696"/>
      <c r="P51" s="693"/>
      <c r="Q51" s="693"/>
      <c r="R51" s="693"/>
      <c r="S51" s="693"/>
    </row>
    <row r="52" spans="1:19" s="84" customFormat="1">
      <c r="A52" s="77" t="str">
        <f>CONCATENATE('BP1'!$D$38," Salary")</f>
        <v>Graduate Student Salary</v>
      </c>
      <c r="B52" s="508">
        <f>'BP1'!$K$38</f>
        <v>0</v>
      </c>
      <c r="C52" s="508">
        <f ca="1">'BP2'!$K$38</f>
        <v>0</v>
      </c>
      <c r="D52" s="508">
        <f ca="1">'BP3'!$K$38</f>
        <v>0</v>
      </c>
      <c r="E52" s="508">
        <f ca="1">'BP4'!$K$38</f>
        <v>0</v>
      </c>
      <c r="F52" s="509">
        <f ca="1">'BP5'!$K$38</f>
        <v>0</v>
      </c>
      <c r="G52" s="508">
        <f t="shared" ca="1" si="0"/>
        <v>0</v>
      </c>
      <c r="I52" s="135" t="s">
        <v>225</v>
      </c>
      <c r="K52" s="694" t="str">
        <f>'BP1'!$D$38</f>
        <v>Graduate Student</v>
      </c>
      <c r="L52" s="694"/>
      <c r="M52" s="694"/>
      <c r="N52" s="693" t="str">
        <f>IF('BP1'!H38&gt;0,TEXT('BP1'!H38,"0.00")&amp;" CM","---")</f>
        <v>---</v>
      </c>
      <c r="O52" s="693" t="str">
        <f>IF('BP2'!H38&gt;0,TEXT('BP2'!H38,"0.00")&amp;" CM","---")</f>
        <v>---</v>
      </c>
      <c r="P52" s="693" t="str">
        <f>IF('BP3'!H38&gt;0,TEXT('BP3'!H38,"0.00")&amp;" CM","---")</f>
        <v>---</v>
      </c>
      <c r="Q52" s="693" t="str">
        <f>IF('BP4'!H38&gt;0,TEXT('BP4'!H38,"0.00")&amp;" CM","---")</f>
        <v>---</v>
      </c>
      <c r="R52" s="693" t="str">
        <f>IF('BP5'!H38&gt;0,TEXT('BP5'!H38,"0.00")&amp;" CM","---")</f>
        <v>---</v>
      </c>
      <c r="S52" s="693" t="str">
        <f>IF('Cumulative Budget'!H38&gt;0,TEXT('Cumulative Budget'!H38,"0.00")&amp;" CM","---")</f>
        <v>---</v>
      </c>
    </row>
    <row r="53" spans="1:19" s="84" customFormat="1">
      <c r="A53" s="77" t="str">
        <f>CONCATENATE('BP1'!$D$38," Fringe")</f>
        <v>Graduate Student Fringe</v>
      </c>
      <c r="B53" s="508">
        <f>'BP1'!$L$38</f>
        <v>0</v>
      </c>
      <c r="C53" s="508">
        <f>'BP2'!$L$38</f>
        <v>0</v>
      </c>
      <c r="D53" s="508">
        <f>'BP3'!$L$38</f>
        <v>0</v>
      </c>
      <c r="E53" s="508">
        <f>'BP4'!$L$38</f>
        <v>0</v>
      </c>
      <c r="F53" s="509">
        <f>'BP5'!$L$38</f>
        <v>0</v>
      </c>
      <c r="G53" s="508">
        <f t="shared" si="0"/>
        <v>0</v>
      </c>
      <c r="I53" s="135" t="s">
        <v>225</v>
      </c>
      <c r="K53" s="694"/>
      <c r="L53" s="694"/>
      <c r="M53" s="694"/>
      <c r="N53" s="693"/>
      <c r="O53" s="693"/>
      <c r="P53" s="693"/>
      <c r="Q53" s="693"/>
      <c r="R53" s="693"/>
      <c r="S53" s="693"/>
    </row>
    <row r="54" spans="1:19" s="84" customFormat="1" ht="15.75" customHeight="1">
      <c r="A54" s="77" t="str">
        <f>CONCATENATE('BP1'!$D$39," Salary")</f>
        <v>Undergraduate Student Salary</v>
      </c>
      <c r="B54" s="508">
        <f>'BP1'!$K$39</f>
        <v>0</v>
      </c>
      <c r="C54" s="508">
        <f ca="1">'BP2'!$K$39</f>
        <v>0</v>
      </c>
      <c r="D54" s="508">
        <f ca="1">'BP3'!$K$39</f>
        <v>0</v>
      </c>
      <c r="E54" s="508">
        <f ca="1">'BP4'!$K$39</f>
        <v>0</v>
      </c>
      <c r="F54" s="509">
        <f ca="1">'BP5'!$K$39</f>
        <v>0</v>
      </c>
      <c r="G54" s="508">
        <f t="shared" ca="1" si="0"/>
        <v>0</v>
      </c>
      <c r="I54" s="135" t="s">
        <v>225</v>
      </c>
      <c r="K54" s="694" t="str">
        <f>'BP1'!$D$39</f>
        <v>Undergraduate Student</v>
      </c>
      <c r="L54" s="694"/>
      <c r="M54" s="694"/>
      <c r="N54" s="474" t="str">
        <f>IF('BP1'!H39&gt;0,TEXT('BP1'!H39,"0.00")&amp;" CM","---")</f>
        <v>---</v>
      </c>
      <c r="O54" s="474" t="str">
        <f>IF('BP2'!H39&gt;0,TEXT('BP2'!H39,"0.00")&amp;" CM","---")</f>
        <v>---</v>
      </c>
      <c r="P54" s="474" t="str">
        <f>IF('BP3'!H39&gt;0,TEXT('BP3'!H39,"0.00")&amp;" CM","---")</f>
        <v>---</v>
      </c>
      <c r="Q54" s="474" t="str">
        <f>IF('BP4'!H39&gt;0,TEXT('BP4'!H39,"0.00")&amp;" CM","---")</f>
        <v>---</v>
      </c>
      <c r="R54" s="474" t="str">
        <f>IF('BP5'!H39&gt;0,TEXT('BP5'!H39,"0.00")&amp;" CM","---")</f>
        <v>---</v>
      </c>
      <c r="S54" s="474" t="str">
        <f>IF('Cumulative Budget'!H39&gt;0,TEXT('Cumulative Budget'!H39,"0.00")&amp;" CM","---")</f>
        <v>---</v>
      </c>
    </row>
    <row r="55" spans="1:19" s="84" customFormat="1">
      <c r="A55" s="77" t="str">
        <f>CONCATENATE('BP1'!$D$40," Salary")</f>
        <v>Other (Carrying Statutory Benefits) Salary</v>
      </c>
      <c r="B55" s="508">
        <f>'BP1'!$K$40</f>
        <v>0</v>
      </c>
      <c r="C55" s="508">
        <f ca="1">'BP2'!$K$40</f>
        <v>0</v>
      </c>
      <c r="D55" s="508">
        <f ca="1">'BP3'!$K$40</f>
        <v>0</v>
      </c>
      <c r="E55" s="508">
        <f ca="1">'BP4'!$K$40</f>
        <v>0</v>
      </c>
      <c r="F55" s="509">
        <f ca="1">'BP5'!$K$40</f>
        <v>0</v>
      </c>
      <c r="G55" s="508">
        <f t="shared" ca="1" si="0"/>
        <v>0</v>
      </c>
      <c r="I55" s="135" t="s">
        <v>225</v>
      </c>
      <c r="K55" s="694" t="str">
        <f>'BP1'!$D$40</f>
        <v>Other (Carrying Statutory Benefits)</v>
      </c>
      <c r="L55" s="694"/>
      <c r="M55" s="694"/>
      <c r="N55" s="693" t="str">
        <f>IF('BP1'!H40&gt;0,TEXT('BP1'!H40,"0.00")&amp;" CM","---")</f>
        <v>---</v>
      </c>
      <c r="O55" s="693" t="str">
        <f>IF('BP2'!H40&gt;0,TEXT('BP2'!H40,"0.00")&amp;" CM","---")</f>
        <v>---</v>
      </c>
      <c r="P55" s="693" t="str">
        <f>IF('BP3'!H40&gt;0,TEXT('BP3'!H40,"0.00")&amp;" CM","---")</f>
        <v>---</v>
      </c>
      <c r="Q55" s="693" t="str">
        <f>IF('BP4'!H40&gt;0,TEXT('BP4'!H40,"0.00")&amp;" CM","---")</f>
        <v>---</v>
      </c>
      <c r="R55" s="693" t="str">
        <f>IF('BP5'!H40&gt;0,TEXT('BP5'!H40,"0.00")&amp;" CM","---")</f>
        <v>---</v>
      </c>
      <c r="S55" s="693" t="str">
        <f>IF('Cumulative Budget'!H40&gt;0,TEXT('Cumulative Budget'!H40,"0.00")&amp;" CM","---")</f>
        <v>---</v>
      </c>
    </row>
    <row r="56" spans="1:19" s="84" customFormat="1">
      <c r="A56" s="78" t="str">
        <f>CONCATENATE('BP1'!$D$40," Fringe")</f>
        <v>Other (Carrying Statutory Benefits) Fringe</v>
      </c>
      <c r="B56" s="514">
        <f>'BP1'!$L$40</f>
        <v>0</v>
      </c>
      <c r="C56" s="514">
        <f>'BP2'!$L$40</f>
        <v>0</v>
      </c>
      <c r="D56" s="514">
        <f>'BP3'!$L$40</f>
        <v>0</v>
      </c>
      <c r="E56" s="514">
        <f>'BP4'!$L$40</f>
        <v>0</v>
      </c>
      <c r="F56" s="515">
        <f>'BP5'!$L$40</f>
        <v>0</v>
      </c>
      <c r="G56" s="514">
        <f t="shared" si="0"/>
        <v>0</v>
      </c>
      <c r="I56" s="135" t="s">
        <v>225</v>
      </c>
      <c r="K56" s="694"/>
      <c r="L56" s="694"/>
      <c r="M56" s="694"/>
      <c r="N56" s="693"/>
      <c r="O56" s="693"/>
      <c r="P56" s="693"/>
      <c r="Q56" s="693"/>
      <c r="R56" s="693"/>
      <c r="S56" s="693"/>
    </row>
    <row r="57" spans="1:19">
      <c r="A57" s="82" t="s">
        <v>92</v>
      </c>
      <c r="B57" s="516">
        <f>'BP1'!K41</f>
        <v>0</v>
      </c>
      <c r="C57" s="516">
        <f>'BP2'!K41</f>
        <v>0</v>
      </c>
      <c r="D57" s="516">
        <f>'BP3'!K41</f>
        <v>0</v>
      </c>
      <c r="E57" s="516">
        <f>'BP4'!K41</f>
        <v>0</v>
      </c>
      <c r="F57" s="517">
        <f>'BP5'!K41</f>
        <v>0</v>
      </c>
      <c r="G57" s="516">
        <f t="shared" si="0"/>
        <v>0</v>
      </c>
      <c r="I57" s="135" t="s">
        <v>225</v>
      </c>
    </row>
    <row r="58" spans="1:19">
      <c r="A58" s="76" t="s">
        <v>93</v>
      </c>
      <c r="B58" s="518">
        <f>'BP1'!K42</f>
        <v>0</v>
      </c>
      <c r="C58" s="518">
        <f>'BP2'!K42</f>
        <v>0</v>
      </c>
      <c r="D58" s="518">
        <f>'BP3'!K42</f>
        <v>0</v>
      </c>
      <c r="E58" s="518">
        <f>'BP4'!K42</f>
        <v>0</v>
      </c>
      <c r="F58" s="519">
        <f>'BP5'!K42</f>
        <v>0</v>
      </c>
      <c r="G58" s="518">
        <f t="shared" si="0"/>
        <v>0</v>
      </c>
      <c r="I58" s="135" t="s">
        <v>225</v>
      </c>
    </row>
    <row r="59" spans="1:19">
      <c r="A59" s="82" t="s">
        <v>102</v>
      </c>
      <c r="B59" s="516">
        <f>'BP1'!K43</f>
        <v>0</v>
      </c>
      <c r="C59" s="516">
        <f>'BP2'!K43</f>
        <v>0</v>
      </c>
      <c r="D59" s="516">
        <f>'BP3'!K43</f>
        <v>0</v>
      </c>
      <c r="E59" s="516">
        <f>'BP4'!K43</f>
        <v>0</v>
      </c>
      <c r="F59" s="517">
        <f>'BP5'!K43</f>
        <v>0</v>
      </c>
      <c r="G59" s="516">
        <f t="shared" si="0"/>
        <v>0</v>
      </c>
      <c r="I59" s="135" t="s">
        <v>225</v>
      </c>
    </row>
    <row r="60" spans="1:19">
      <c r="A60" s="79"/>
      <c r="B60" s="483"/>
      <c r="C60" s="483"/>
      <c r="D60" s="483"/>
      <c r="E60" s="483"/>
      <c r="F60" s="483"/>
      <c r="G60" s="483"/>
      <c r="I60" s="135" t="s">
        <v>225</v>
      </c>
    </row>
    <row r="61" spans="1:19">
      <c r="A61" s="77" t="str">
        <f>'BP1'!$A$44</f>
        <v>Capital Equipment</v>
      </c>
      <c r="B61" s="508">
        <f>'BP1'!K50</f>
        <v>0</v>
      </c>
      <c r="C61" s="508">
        <f>'BP2'!K50</f>
        <v>0</v>
      </c>
      <c r="D61" s="508">
        <f>'BP3'!K50</f>
        <v>0</v>
      </c>
      <c r="E61" s="508">
        <f>'BP4'!K50</f>
        <v>0</v>
      </c>
      <c r="F61" s="509">
        <f>'BP5'!K50</f>
        <v>0</v>
      </c>
      <c r="G61" s="508">
        <f t="shared" si="0"/>
        <v>0</v>
      </c>
      <c r="I61" s="135" t="s">
        <v>225</v>
      </c>
    </row>
    <row r="62" spans="1:19">
      <c r="A62" s="93" t="s">
        <v>150</v>
      </c>
      <c r="B62" s="520">
        <f>'BP1'!K50</f>
        <v>0</v>
      </c>
      <c r="C62" s="520">
        <f>'BP2'!K50</f>
        <v>0</v>
      </c>
      <c r="D62" s="520">
        <f>'BP3'!K50</f>
        <v>0</v>
      </c>
      <c r="E62" s="520">
        <f>'BP4'!K50</f>
        <v>0</v>
      </c>
      <c r="F62" s="520">
        <f>'BP5'!K50</f>
        <v>0</v>
      </c>
      <c r="G62" s="520">
        <f t="shared" si="0"/>
        <v>0</v>
      </c>
      <c r="I62" s="135" t="s">
        <v>225</v>
      </c>
    </row>
    <row r="63" spans="1:19">
      <c r="A63" s="91"/>
      <c r="B63" s="521"/>
      <c r="C63" s="521"/>
      <c r="D63" s="521"/>
      <c r="E63" s="521"/>
      <c r="F63" s="521"/>
      <c r="G63" s="521"/>
      <c r="I63" s="135" t="s">
        <v>225</v>
      </c>
    </row>
    <row r="64" spans="1:19">
      <c r="A64" s="77" t="str">
        <f>'BP1'!$H$51</f>
        <v>Domestic Travel</v>
      </c>
      <c r="B64" s="508">
        <f>'BP1'!K51</f>
        <v>0</v>
      </c>
      <c r="C64" s="508">
        <f>'BP2'!K51</f>
        <v>0</v>
      </c>
      <c r="D64" s="508">
        <f>'BP3'!K51</f>
        <v>0</v>
      </c>
      <c r="E64" s="508">
        <f>'BP4'!K51</f>
        <v>0</v>
      </c>
      <c r="F64" s="509">
        <f>'BP5'!K51</f>
        <v>0</v>
      </c>
      <c r="G64" s="508">
        <f t="shared" si="0"/>
        <v>0</v>
      </c>
      <c r="I64" s="135" t="s">
        <v>225</v>
      </c>
    </row>
    <row r="65" spans="1:14">
      <c r="A65" s="77" t="str">
        <f>'BP1'!$H$52</f>
        <v>Foreign Travel</v>
      </c>
      <c r="B65" s="508">
        <f>'BP1'!K52</f>
        <v>0</v>
      </c>
      <c r="C65" s="508">
        <f>'BP2'!K52</f>
        <v>0</v>
      </c>
      <c r="D65" s="508">
        <f>'BP3'!K52</f>
        <v>0</v>
      </c>
      <c r="E65" s="508">
        <f>'BP4'!K52</f>
        <v>0</v>
      </c>
      <c r="F65" s="509">
        <f>'BP5'!K52</f>
        <v>0</v>
      </c>
      <c r="G65" s="508">
        <f t="shared" si="0"/>
        <v>0</v>
      </c>
      <c r="I65" s="135" t="s">
        <v>225</v>
      </c>
    </row>
    <row r="66" spans="1:14">
      <c r="A66" s="93" t="str">
        <f>'BP1'!H53</f>
        <v>Total Travel</v>
      </c>
      <c r="B66" s="520">
        <f>'BP1'!K53</f>
        <v>0</v>
      </c>
      <c r="C66" s="520">
        <f>'BP2'!K53</f>
        <v>0</v>
      </c>
      <c r="D66" s="520">
        <f>'BP3'!K53</f>
        <v>0</v>
      </c>
      <c r="E66" s="520">
        <f>'BP4'!K53</f>
        <v>0</v>
      </c>
      <c r="F66" s="520">
        <f>'BP5'!K53</f>
        <v>0</v>
      </c>
      <c r="G66" s="520">
        <f t="shared" si="0"/>
        <v>0</v>
      </c>
      <c r="I66" s="135" t="s">
        <v>225</v>
      </c>
      <c r="K66" s="92"/>
      <c r="L66" s="92"/>
      <c r="M66" s="92"/>
      <c r="N66" s="92"/>
    </row>
    <row r="67" spans="1:14" s="92" customFormat="1">
      <c r="A67" s="91"/>
      <c r="B67" s="521"/>
      <c r="C67" s="521"/>
      <c r="D67" s="521"/>
      <c r="E67" s="521"/>
      <c r="F67" s="521"/>
      <c r="G67" s="521"/>
      <c r="I67" s="135" t="s">
        <v>225</v>
      </c>
      <c r="K67" s="73"/>
      <c r="L67" s="73"/>
      <c r="M67" s="73"/>
      <c r="N67" s="73"/>
    </row>
    <row r="68" spans="1:14">
      <c r="A68" s="77" t="str">
        <f>'BP1'!$C$55</f>
        <v>Materials and Supplies</v>
      </c>
      <c r="B68" s="508">
        <f>'BP1'!K55</f>
        <v>0</v>
      </c>
      <c r="C68" s="508">
        <f>'BP2'!K55</f>
        <v>0</v>
      </c>
      <c r="D68" s="508">
        <f>'BP3'!K55</f>
        <v>0</v>
      </c>
      <c r="E68" s="508">
        <f>'BP4'!K55</f>
        <v>0</v>
      </c>
      <c r="F68" s="509">
        <f>'BP5'!K55</f>
        <v>0</v>
      </c>
      <c r="G68" s="508">
        <f t="shared" si="0"/>
        <v>0</v>
      </c>
      <c r="I68" s="135" t="s">
        <v>225</v>
      </c>
    </row>
    <row r="69" spans="1:14">
      <c r="A69" s="77" t="str">
        <f>'BP1'!$C$56</f>
        <v>Publication Costs</v>
      </c>
      <c r="B69" s="508">
        <f>'BP1'!K56</f>
        <v>0</v>
      </c>
      <c r="C69" s="508">
        <f>'BP2'!K56</f>
        <v>0</v>
      </c>
      <c r="D69" s="508">
        <f>'BP3'!K56</f>
        <v>0</v>
      </c>
      <c r="E69" s="508">
        <f>'BP4'!K56</f>
        <v>0</v>
      </c>
      <c r="F69" s="509">
        <f>'BP5'!K56</f>
        <v>0</v>
      </c>
      <c r="G69" s="508">
        <f t="shared" si="0"/>
        <v>0</v>
      </c>
      <c r="H69" s="74"/>
      <c r="I69" s="135" t="s">
        <v>225</v>
      </c>
    </row>
    <row r="70" spans="1:14">
      <c r="A70" s="77" t="str">
        <f>'BP1'!$C$57</f>
        <v>Consultant Services</v>
      </c>
      <c r="B70" s="508">
        <f>'BP1'!K57</f>
        <v>0</v>
      </c>
      <c r="C70" s="508">
        <f>'BP2'!K57</f>
        <v>0</v>
      </c>
      <c r="D70" s="508">
        <f>'BP3'!K57</f>
        <v>0</v>
      </c>
      <c r="E70" s="508">
        <f>'BP4'!K57</f>
        <v>0</v>
      </c>
      <c r="F70" s="509">
        <f>'BP5'!K57</f>
        <v>0</v>
      </c>
      <c r="G70" s="508">
        <f t="shared" si="0"/>
        <v>0</v>
      </c>
      <c r="I70" s="135" t="s">
        <v>225</v>
      </c>
    </row>
    <row r="71" spans="1:14">
      <c r="A71" s="77" t="str">
        <f>'BP1'!$C$58</f>
        <v>Computer Services</v>
      </c>
      <c r="B71" s="508">
        <f>'BP1'!K58</f>
        <v>0</v>
      </c>
      <c r="C71" s="508">
        <f>'BP2'!K58</f>
        <v>0</v>
      </c>
      <c r="D71" s="508">
        <f>'BP3'!K58</f>
        <v>0</v>
      </c>
      <c r="E71" s="508">
        <f>'BP4'!K58</f>
        <v>0</v>
      </c>
      <c r="F71" s="509">
        <f>'BP5'!K58</f>
        <v>0</v>
      </c>
      <c r="G71" s="508">
        <f t="shared" si="0"/>
        <v>0</v>
      </c>
      <c r="I71" s="135" t="s">
        <v>225</v>
      </c>
    </row>
    <row r="72" spans="1:14">
      <c r="A72" s="77" t="str">
        <f>'BP1'!$C$59</f>
        <v>Tuition</v>
      </c>
      <c r="B72" s="508">
        <f>'BP1'!K59</f>
        <v>0</v>
      </c>
      <c r="C72" s="508">
        <f>'BP2'!K59</f>
        <v>0</v>
      </c>
      <c r="D72" s="508">
        <f>'BP3'!K59</f>
        <v>0</v>
      </c>
      <c r="E72" s="508">
        <f>'BP4'!K59</f>
        <v>0</v>
      </c>
      <c r="F72" s="509">
        <f>'BP5'!K59</f>
        <v>0</v>
      </c>
      <c r="G72" s="508">
        <f t="shared" si="0"/>
        <v>0</v>
      </c>
      <c r="I72" s="135" t="s">
        <v>225</v>
      </c>
    </row>
    <row r="73" spans="1:14">
      <c r="A73" s="77" t="str">
        <f>'BP1'!$C$60</f>
        <v>MTDC Other</v>
      </c>
      <c r="B73" s="508">
        <f>'BP1'!K60</f>
        <v>0</v>
      </c>
      <c r="C73" s="508">
        <f>'BP2'!K60</f>
        <v>0</v>
      </c>
      <c r="D73" s="508">
        <f>'BP3'!K60</f>
        <v>0</v>
      </c>
      <c r="E73" s="508">
        <f>'BP4'!K60</f>
        <v>0</v>
      </c>
      <c r="F73" s="509">
        <f>'BP5'!K60</f>
        <v>0</v>
      </c>
      <c r="G73" s="508">
        <f t="shared" si="0"/>
        <v>0</v>
      </c>
      <c r="I73" s="135" t="s">
        <v>225</v>
      </c>
    </row>
    <row r="74" spans="1:14">
      <c r="A74" s="77" t="str">
        <f>'BP1'!$C$61</f>
        <v>Non-MTDC Other (no indirect costs)</v>
      </c>
      <c r="B74" s="508">
        <f>'BP1'!K61</f>
        <v>0</v>
      </c>
      <c r="C74" s="508">
        <f>'BP2'!K61</f>
        <v>0</v>
      </c>
      <c r="D74" s="508">
        <f>'BP3'!K61</f>
        <v>0</v>
      </c>
      <c r="E74" s="508">
        <f>'BP4'!K61</f>
        <v>0</v>
      </c>
      <c r="F74" s="509">
        <f>'BP5'!K61</f>
        <v>0</v>
      </c>
      <c r="G74" s="508">
        <f t="shared" si="0"/>
        <v>0</v>
      </c>
      <c r="I74" s="135" t="s">
        <v>225</v>
      </c>
    </row>
    <row r="75" spans="1:14" ht="15.75" customHeight="1">
      <c r="A75" s="77" t="str">
        <f>IF(G75&gt;0,"Subaward - "&amp;'Subaward Calculator'!B8,'BP1'!C62)</f>
        <v>Subaward I</v>
      </c>
      <c r="B75" s="508">
        <f>'BP1'!K62</f>
        <v>0</v>
      </c>
      <c r="C75" s="508">
        <f>IF('BP2'!K62="",0,'BP2'!K62)</f>
        <v>0</v>
      </c>
      <c r="D75" s="508">
        <f>IF('BP3'!K62="",0,'BP3'!K62)</f>
        <v>0</v>
      </c>
      <c r="E75" s="508">
        <f>IF('BP4'!K62="",0,'BP4'!K62)</f>
        <v>0</v>
      </c>
      <c r="F75" s="509">
        <f>IF('BP5'!K62="",0,'BP5'!K62)</f>
        <v>0</v>
      </c>
      <c r="G75" s="508">
        <f t="shared" si="0"/>
        <v>0</v>
      </c>
      <c r="I75" s="135" t="s">
        <v>225</v>
      </c>
    </row>
    <row r="76" spans="1:14" ht="15.75" hidden="1" customHeight="1">
      <c r="A76" s="77" t="str">
        <f>IF(G76&gt;0,"Subaward - "&amp;'Subaward Calculator'!B11,'BP1'!C63)</f>
        <v>Subaward II</v>
      </c>
      <c r="B76" s="508">
        <f>'BP1'!K63</f>
        <v>0</v>
      </c>
      <c r="C76" s="508">
        <f>IF('BP2'!K63="",0,'BP2'!K63)</f>
        <v>0</v>
      </c>
      <c r="D76" s="508">
        <f>IF('BP3'!K63="",0,'BP3'!K63)</f>
        <v>0</v>
      </c>
      <c r="E76" s="508">
        <f>IF('BP4'!K63="",0,'BP4'!K63)</f>
        <v>0</v>
      </c>
      <c r="F76" s="509">
        <f>IF('BP5'!K63="",0,'BP5'!K63)</f>
        <v>0</v>
      </c>
      <c r="G76" s="508">
        <f t="shared" si="0"/>
        <v>0</v>
      </c>
      <c r="I76" s="135" t="s">
        <v>227</v>
      </c>
    </row>
    <row r="77" spans="1:14" ht="15.75" hidden="1" customHeight="1">
      <c r="A77" s="77" t="str">
        <f>IF(G77&gt;0,"Subaward - "&amp;'Subaward Calculator'!B14,'BP1'!C64)</f>
        <v>Subaward III</v>
      </c>
      <c r="B77" s="508">
        <f>'BP1'!K64</f>
        <v>0</v>
      </c>
      <c r="C77" s="508">
        <f>IF('BP2'!K64="",0,'BP2'!K64)</f>
        <v>0</v>
      </c>
      <c r="D77" s="508">
        <f>IF('BP3'!K64="",0,'BP3'!K64)</f>
        <v>0</v>
      </c>
      <c r="E77" s="508">
        <f>IF('BP4'!K64="",0,'BP4'!K64)</f>
        <v>0</v>
      </c>
      <c r="F77" s="509">
        <f>IF('BP5'!K64="",0,'BP5'!K64)</f>
        <v>0</v>
      </c>
      <c r="G77" s="508">
        <f t="shared" si="0"/>
        <v>0</v>
      </c>
      <c r="I77" s="135" t="s">
        <v>227</v>
      </c>
    </row>
    <row r="78" spans="1:14" ht="15.75" hidden="1" customHeight="1">
      <c r="A78" s="77" t="str">
        <f>IF(G78&gt;0,"Subaward - "&amp;'Subaward Calculator'!B17,'BP1'!C65)</f>
        <v>Subaward IV</v>
      </c>
      <c r="B78" s="508">
        <f>'BP1'!K65</f>
        <v>0</v>
      </c>
      <c r="C78" s="508">
        <f>IF('BP2'!K65="",0,'BP2'!K65)</f>
        <v>0</v>
      </c>
      <c r="D78" s="508">
        <f>IF('BP3'!K65="",0,'BP3'!K65)</f>
        <v>0</v>
      </c>
      <c r="E78" s="508">
        <f>IF('BP4'!K65="",0,'BP4'!K65)</f>
        <v>0</v>
      </c>
      <c r="F78" s="509">
        <f>IF('BP5'!K65="",0,'BP5'!K65)</f>
        <v>0</v>
      </c>
      <c r="G78" s="508">
        <f t="shared" si="0"/>
        <v>0</v>
      </c>
      <c r="I78" s="135" t="s">
        <v>227</v>
      </c>
    </row>
    <row r="79" spans="1:14" ht="15.75" hidden="1" customHeight="1">
      <c r="A79" s="77" t="str">
        <f>IF(G79&gt;0,"Subaward - "&amp;'Subaward Calculator'!B20,'BP1'!C66)</f>
        <v>Subaward V</v>
      </c>
      <c r="B79" s="508">
        <f>'BP1'!K66</f>
        <v>0</v>
      </c>
      <c r="C79" s="508">
        <f>IF('BP2'!K66="",0,'BP2'!K66)</f>
        <v>0</v>
      </c>
      <c r="D79" s="508">
        <f>IF('BP3'!K66="",0,'BP3'!K66)</f>
        <v>0</v>
      </c>
      <c r="E79" s="508">
        <f>IF('BP4'!K66="",0,'BP4'!K66)</f>
        <v>0</v>
      </c>
      <c r="F79" s="509">
        <f>IF('BP5'!K66="",0,'BP5'!K66)</f>
        <v>0</v>
      </c>
      <c r="G79" s="508">
        <f t="shared" ref="G79:G93" si="1">SUM(B79:F79)</f>
        <v>0</v>
      </c>
      <c r="I79" s="135" t="s">
        <v>227</v>
      </c>
    </row>
    <row r="80" spans="1:14" ht="15.75" hidden="1" customHeight="1">
      <c r="A80" s="77" t="str">
        <f>IF(G80&gt;0,"Subaward - "&amp;'Subaward Calculator'!B23,'BP1'!C67)</f>
        <v>Subaward VI</v>
      </c>
      <c r="B80" s="508">
        <f>'BP1'!K67</f>
        <v>0</v>
      </c>
      <c r="C80" s="508">
        <f>IF('BP2'!K67="",0,'BP2'!K67)</f>
        <v>0</v>
      </c>
      <c r="D80" s="508">
        <f>IF('BP3'!K67="",0,'BP3'!K67)</f>
        <v>0</v>
      </c>
      <c r="E80" s="508">
        <f>IF('BP4'!K67="",0,'BP4'!K67)</f>
        <v>0</v>
      </c>
      <c r="F80" s="509">
        <f>IF('BP5'!K67="",0,'BP5'!K67)</f>
        <v>0</v>
      </c>
      <c r="G80" s="508">
        <f t="shared" si="1"/>
        <v>0</v>
      </c>
      <c r="I80" s="135" t="s">
        <v>227</v>
      </c>
    </row>
    <row r="81" spans="1:9" ht="15.75" hidden="1" customHeight="1">
      <c r="A81" s="77" t="str">
        <f>IF(G81&gt;0,"Subaward - "&amp;'Subaward Calculator'!B26,'BP1'!C68)</f>
        <v>Subaward VII</v>
      </c>
      <c r="B81" s="508">
        <f>'BP1'!K68</f>
        <v>0</v>
      </c>
      <c r="C81" s="508">
        <f>IF('BP2'!K68="",0,'BP2'!K68)</f>
        <v>0</v>
      </c>
      <c r="D81" s="508">
        <f>IF('BP3'!K68="",0,'BP3'!K68)</f>
        <v>0</v>
      </c>
      <c r="E81" s="508">
        <f>IF('BP4'!K68="",0,'BP4'!K68)</f>
        <v>0</v>
      </c>
      <c r="F81" s="509">
        <f>IF('BP5'!K68="",0,'BP5'!K68)</f>
        <v>0</v>
      </c>
      <c r="G81" s="508">
        <f t="shared" si="1"/>
        <v>0</v>
      </c>
      <c r="I81" s="135" t="s">
        <v>226</v>
      </c>
    </row>
    <row r="82" spans="1:9" ht="15.75" hidden="1" customHeight="1">
      <c r="A82" s="77" t="str">
        <f>IF(G82&gt;0,"Subaward - "&amp;'Subaward Calculator'!B29,'BP1'!C69)</f>
        <v>Subaward VIII</v>
      </c>
      <c r="B82" s="508">
        <f>'BP1'!K69</f>
        <v>0</v>
      </c>
      <c r="C82" s="508">
        <f>IF('BP2'!K69="",0,'BP2'!K69)</f>
        <v>0</v>
      </c>
      <c r="D82" s="508">
        <f>IF('BP3'!K69="",0,'BP3'!K69)</f>
        <v>0</v>
      </c>
      <c r="E82" s="508">
        <f>IF('BP4'!K69="",0,'BP4'!K69)</f>
        <v>0</v>
      </c>
      <c r="F82" s="509">
        <f>IF('BP5'!K69="",0,'BP5'!K69)</f>
        <v>0</v>
      </c>
      <c r="G82" s="508">
        <f t="shared" si="1"/>
        <v>0</v>
      </c>
      <c r="I82" s="135" t="s">
        <v>226</v>
      </c>
    </row>
    <row r="83" spans="1:9" ht="15.75" hidden="1" customHeight="1">
      <c r="A83" s="77" t="str">
        <f>IF(G83&gt;0,"Subaward - "&amp;'Subaward Calculator'!B32,'BP1'!C70)</f>
        <v>Subaward IX</v>
      </c>
      <c r="B83" s="508">
        <f>'BP1'!K70</f>
        <v>0</v>
      </c>
      <c r="C83" s="508">
        <f>IF('BP2'!K70="",0,'BP2'!K70)</f>
        <v>0</v>
      </c>
      <c r="D83" s="508">
        <f>IF('BP3'!K70="",0,'BP3'!K70)</f>
        <v>0</v>
      </c>
      <c r="E83" s="508">
        <f>IF('BP4'!K70="",0,'BP4'!K70)</f>
        <v>0</v>
      </c>
      <c r="F83" s="509">
        <f>IF('BP5'!K70="",0,'BP5'!K70)</f>
        <v>0</v>
      </c>
      <c r="G83" s="508">
        <f t="shared" si="1"/>
        <v>0</v>
      </c>
      <c r="I83" s="135" t="s">
        <v>226</v>
      </c>
    </row>
    <row r="84" spans="1:9" ht="15.75" hidden="1" customHeight="1">
      <c r="A84" s="77" t="str">
        <f>IF(G84&gt;0,"Subaward - "&amp;'Subaward Calculator'!B35,'BP1'!C71)</f>
        <v>Subaward X</v>
      </c>
      <c r="B84" s="508">
        <f>'BP1'!K71</f>
        <v>0</v>
      </c>
      <c r="C84" s="508">
        <f>IF('BP2'!K71="",0,'BP2'!K71)</f>
        <v>0</v>
      </c>
      <c r="D84" s="508">
        <f>IF('BP3'!K71="",0,'BP3'!K71)</f>
        <v>0</v>
      </c>
      <c r="E84" s="508">
        <f>IF('BP4'!K71="",0,'BP4'!K71)</f>
        <v>0</v>
      </c>
      <c r="F84" s="509">
        <f>IF('BP5'!K71="",0,'BP5'!K71)</f>
        <v>0</v>
      </c>
      <c r="G84" s="508">
        <f t="shared" si="1"/>
        <v>0</v>
      </c>
      <c r="I84" s="135" t="s">
        <v>226</v>
      </c>
    </row>
    <row r="85" spans="1:9" ht="15.75" hidden="1" customHeight="1">
      <c r="A85" s="77" t="str">
        <f>IF(G85&gt;0,"Subaward - "&amp;'Subaward Calculator'!B38,'BP1'!C72)</f>
        <v>Subaward XI</v>
      </c>
      <c r="B85" s="508">
        <f>'BP1'!K72</f>
        <v>0</v>
      </c>
      <c r="C85" s="508">
        <f>IF('BP2'!K72="",0,'BP2'!K72)</f>
        <v>0</v>
      </c>
      <c r="D85" s="508">
        <f>IF('BP3'!K72="",0,'BP3'!K72)</f>
        <v>0</v>
      </c>
      <c r="E85" s="508">
        <f>IF('BP4'!K72="",0,'BP4'!K72)</f>
        <v>0</v>
      </c>
      <c r="F85" s="509">
        <f>IF('BP5'!K72="",0,'BP5'!K72)</f>
        <v>0</v>
      </c>
      <c r="G85" s="508">
        <f t="shared" si="1"/>
        <v>0</v>
      </c>
      <c r="I85" s="135" t="s">
        <v>226</v>
      </c>
    </row>
    <row r="86" spans="1:9" ht="15.75" hidden="1" customHeight="1">
      <c r="A86" s="77" t="str">
        <f>IF(G86&gt;0,"Subaward - "&amp;'Subaward Calculator'!B41,'BP1'!C73)</f>
        <v>Subaward XII</v>
      </c>
      <c r="B86" s="508">
        <f>'BP1'!K73</f>
        <v>0</v>
      </c>
      <c r="C86" s="508">
        <f>IF('BP2'!K73="",0,'BP2'!K73)</f>
        <v>0</v>
      </c>
      <c r="D86" s="508">
        <f>IF('BP3'!K73="",0,'BP3'!K73)</f>
        <v>0</v>
      </c>
      <c r="E86" s="508">
        <f>IF('BP4'!K73="",0,'BP4'!K73)</f>
        <v>0</v>
      </c>
      <c r="F86" s="509">
        <f>IF('BP5'!K73="",0,'BP5'!K73)</f>
        <v>0</v>
      </c>
      <c r="G86" s="508">
        <f t="shared" si="1"/>
        <v>0</v>
      </c>
      <c r="I86" s="135" t="s">
        <v>226</v>
      </c>
    </row>
    <row r="87" spans="1:9">
      <c r="A87" s="82" t="s">
        <v>96</v>
      </c>
      <c r="B87" s="516">
        <f>'BP1'!K74</f>
        <v>0</v>
      </c>
      <c r="C87" s="516">
        <f>'BP2'!K74</f>
        <v>0</v>
      </c>
      <c r="D87" s="516">
        <f>'BP3'!K74</f>
        <v>0</v>
      </c>
      <c r="E87" s="516">
        <f>'BP4'!K74</f>
        <v>0</v>
      </c>
      <c r="F87" s="517">
        <f>'BP5'!K74</f>
        <v>0</v>
      </c>
      <c r="G87" s="516">
        <f t="shared" si="1"/>
        <v>0</v>
      </c>
      <c r="I87" s="135" t="s">
        <v>225</v>
      </c>
    </row>
    <row r="88" spans="1:9">
      <c r="A88" s="79"/>
      <c r="B88" s="483"/>
      <c r="C88" s="483"/>
      <c r="D88" s="483"/>
      <c r="E88" s="483"/>
      <c r="F88" s="483"/>
      <c r="G88" s="483"/>
      <c r="I88" s="135" t="s">
        <v>225</v>
      </c>
    </row>
    <row r="89" spans="1:9">
      <c r="A89" s="82" t="s">
        <v>589</v>
      </c>
      <c r="B89" s="516">
        <f>'BP1'!K75</f>
        <v>0</v>
      </c>
      <c r="C89" s="516">
        <f>'BP2'!K75</f>
        <v>0</v>
      </c>
      <c r="D89" s="516">
        <f>'BP3'!K75</f>
        <v>0</v>
      </c>
      <c r="E89" s="516">
        <f>'BP4'!K75</f>
        <v>0</v>
      </c>
      <c r="F89" s="517">
        <f>'BP5'!K75</f>
        <v>0</v>
      </c>
      <c r="G89" s="516">
        <f>SUM(B89:F89)</f>
        <v>0</v>
      </c>
      <c r="I89" s="135" t="s">
        <v>225</v>
      </c>
    </row>
    <row r="90" spans="1:9">
      <c r="A90" s="76" t="str">
        <f>IF('Appendix C-Grants.gov Form Info'!J1&gt;0,IF(AND(SUM(G76:G86)&gt;0,'Subaward Calculator'!AD46=0),"","     Total NU Direct Costs and Subaward Direct Costs"),"")</f>
        <v/>
      </c>
      <c r="B90" s="516" t="str">
        <f>'BP1'!K76</f>
        <v/>
      </c>
      <c r="C90" s="516" t="str">
        <f>'BP2'!K76</f>
        <v/>
      </c>
      <c r="D90" s="516" t="str">
        <f>'BP3'!K76</f>
        <v/>
      </c>
      <c r="E90" s="516" t="str">
        <f>'BP4'!K76</f>
        <v/>
      </c>
      <c r="F90" s="517" t="str">
        <f>'BP5'!K76</f>
        <v/>
      </c>
      <c r="G90" s="516" t="str">
        <f>IF('Appendix C-Grants.gov Form Info'!J1&gt;0,IF(AND(SUM(G76:G86)&gt;0,'Subaward Calculator'!AD46=0),"",SUM(B90:F90)),"")</f>
        <v/>
      </c>
      <c r="I90" s="135" t="s">
        <v>225</v>
      </c>
    </row>
    <row r="91" spans="1:9">
      <c r="A91" s="594" t="s">
        <v>101</v>
      </c>
      <c r="B91" s="518">
        <f>'BP1'!G78</f>
        <v>0</v>
      </c>
      <c r="C91" s="518">
        <f>'BP2'!G78</f>
        <v>0</v>
      </c>
      <c r="D91" s="518">
        <f>'BP3'!G78</f>
        <v>0</v>
      </c>
      <c r="E91" s="518">
        <f>'BP4'!G78</f>
        <v>0</v>
      </c>
      <c r="F91" s="519">
        <f>'BP5'!G78</f>
        <v>0</v>
      </c>
      <c r="G91" s="518">
        <f>SUM(B91:F91)</f>
        <v>0</v>
      </c>
      <c r="I91" s="135" t="s">
        <v>225</v>
      </c>
    </row>
    <row r="92" spans="1:9">
      <c r="A92" s="76" t="s">
        <v>97</v>
      </c>
      <c r="B92" s="512">
        <f ca="1">'BP1'!K79</f>
        <v>0</v>
      </c>
      <c r="C92" s="512">
        <f ca="1">'BP2'!K79</f>
        <v>0</v>
      </c>
      <c r="D92" s="512">
        <f ca="1">'BP3'!K79</f>
        <v>0</v>
      </c>
      <c r="E92" s="512">
        <f ca="1">'BP4'!K79</f>
        <v>0</v>
      </c>
      <c r="F92" s="513">
        <f ca="1">'BP5'!K79</f>
        <v>0</v>
      </c>
      <c r="G92" s="512">
        <f t="shared" ca="1" si="1"/>
        <v>0</v>
      </c>
      <c r="I92" s="135" t="s">
        <v>225</v>
      </c>
    </row>
    <row r="93" spans="1:9">
      <c r="A93" s="82" t="s">
        <v>98</v>
      </c>
      <c r="B93" s="516">
        <f ca="1">'BP1'!K80</f>
        <v>0</v>
      </c>
      <c r="C93" s="516">
        <f>'BP2'!K80</f>
        <v>0</v>
      </c>
      <c r="D93" s="516">
        <f>'BP3'!K80</f>
        <v>0</v>
      </c>
      <c r="E93" s="516">
        <f>'BP4'!K80</f>
        <v>0</v>
      </c>
      <c r="F93" s="517">
        <f>'BP5'!K80</f>
        <v>0</v>
      </c>
      <c r="G93" s="516">
        <f t="shared" ca="1" si="1"/>
        <v>0</v>
      </c>
      <c r="I93" s="135" t="s">
        <v>225</v>
      </c>
    </row>
  </sheetData>
  <autoFilter ref="I1:I93" xr:uid="{00000000-0009-0000-0000-000000000000}">
    <filterColumn colId="0">
      <filters>
        <filter val="A) Condensed"/>
      </filters>
    </filterColumn>
  </autoFilter>
  <mergeCells count="172">
    <mergeCell ref="K1:S1"/>
    <mergeCell ref="S25:S26"/>
    <mergeCell ref="S27:S28"/>
    <mergeCell ref="S29:S30"/>
    <mergeCell ref="N31:N32"/>
    <mergeCell ref="O31:O32"/>
    <mergeCell ref="P31:P32"/>
    <mergeCell ref="Q31:Q32"/>
    <mergeCell ref="R31:R32"/>
    <mergeCell ref="S31:S32"/>
    <mergeCell ref="O25:O26"/>
    <mergeCell ref="R25:R26"/>
    <mergeCell ref="O27:O28"/>
    <mergeCell ref="P27:P28"/>
    <mergeCell ref="Q27:Q28"/>
    <mergeCell ref="R27:R28"/>
    <mergeCell ref="O29:O30"/>
    <mergeCell ref="P29:P30"/>
    <mergeCell ref="Q29:Q30"/>
    <mergeCell ref="R29:R30"/>
    <mergeCell ref="P25:P26"/>
    <mergeCell ref="Q25:Q26"/>
    <mergeCell ref="N25:N26"/>
    <mergeCell ref="S13:S14"/>
    <mergeCell ref="S15:S16"/>
    <mergeCell ref="S17:S18"/>
    <mergeCell ref="S19:S20"/>
    <mergeCell ref="S21:S22"/>
    <mergeCell ref="S23:S24"/>
    <mergeCell ref="R13:R14"/>
    <mergeCell ref="N15:N16"/>
    <mergeCell ref="O15:O16"/>
    <mergeCell ref="P15:P16"/>
    <mergeCell ref="Q15:Q16"/>
    <mergeCell ref="R15:R16"/>
    <mergeCell ref="N13:N14"/>
    <mergeCell ref="R21:R22"/>
    <mergeCell ref="N23:N24"/>
    <mergeCell ref="O23:O24"/>
    <mergeCell ref="P23:P24"/>
    <mergeCell ref="Q23:Q24"/>
    <mergeCell ref="R23:R24"/>
    <mergeCell ref="N17:N18"/>
    <mergeCell ref="N19:N20"/>
    <mergeCell ref="N21:N22"/>
    <mergeCell ref="Q21:Q22"/>
    <mergeCell ref="Q13:Q14"/>
    <mergeCell ref="S35:S36"/>
    <mergeCell ref="O33:O34"/>
    <mergeCell ref="P33:P34"/>
    <mergeCell ref="Q33:Q34"/>
    <mergeCell ref="R33:R34"/>
    <mergeCell ref="N35:N36"/>
    <mergeCell ref="O35:O36"/>
    <mergeCell ref="P35:P36"/>
    <mergeCell ref="Q35:Q36"/>
    <mergeCell ref="R35:R36"/>
    <mergeCell ref="N33:N34"/>
    <mergeCell ref="S33:S34"/>
    <mergeCell ref="A1:G1"/>
    <mergeCell ref="O7:O8"/>
    <mergeCell ref="P7:P8"/>
    <mergeCell ref="Q7:Q8"/>
    <mergeCell ref="R7:R8"/>
    <mergeCell ref="S7:S8"/>
    <mergeCell ref="O11:O12"/>
    <mergeCell ref="P11:P12"/>
    <mergeCell ref="Q11:Q12"/>
    <mergeCell ref="R11:R12"/>
    <mergeCell ref="S11:S12"/>
    <mergeCell ref="O9:O10"/>
    <mergeCell ref="P9:P10"/>
    <mergeCell ref="Q9:Q10"/>
    <mergeCell ref="R9:R10"/>
    <mergeCell ref="S9:S10"/>
    <mergeCell ref="A4:G4"/>
    <mergeCell ref="N7:N8"/>
    <mergeCell ref="K6:M6"/>
    <mergeCell ref="N9:N10"/>
    <mergeCell ref="N11:N12"/>
    <mergeCell ref="A3:C3"/>
    <mergeCell ref="F2:G2"/>
    <mergeCell ref="K7:M8"/>
    <mergeCell ref="K9:M10"/>
    <mergeCell ref="S40:S41"/>
    <mergeCell ref="S42:S43"/>
    <mergeCell ref="S52:S53"/>
    <mergeCell ref="S55:S56"/>
    <mergeCell ref="N40:N41"/>
    <mergeCell ref="O40:O41"/>
    <mergeCell ref="P40:P41"/>
    <mergeCell ref="Q40:Q41"/>
    <mergeCell ref="R40:R41"/>
    <mergeCell ref="N42:N43"/>
    <mergeCell ref="O42:O43"/>
    <mergeCell ref="P42:P43"/>
    <mergeCell ref="Q42:Q43"/>
    <mergeCell ref="R42:R43"/>
    <mergeCell ref="N52:N53"/>
    <mergeCell ref="O52:O53"/>
    <mergeCell ref="P52:P53"/>
    <mergeCell ref="Q52:Q53"/>
    <mergeCell ref="R52:R53"/>
    <mergeCell ref="O55:O56"/>
    <mergeCell ref="P55:P56"/>
    <mergeCell ref="K11:M12"/>
    <mergeCell ref="K29:M30"/>
    <mergeCell ref="K33:M34"/>
    <mergeCell ref="K35:M36"/>
    <mergeCell ref="P21:P22"/>
    <mergeCell ref="K39:M39"/>
    <mergeCell ref="K15:M16"/>
    <mergeCell ref="K17:M18"/>
    <mergeCell ref="O17:O18"/>
    <mergeCell ref="P17:P18"/>
    <mergeCell ref="O19:O20"/>
    <mergeCell ref="P19:P20"/>
    <mergeCell ref="O21:O22"/>
    <mergeCell ref="N27:N28"/>
    <mergeCell ref="N29:N30"/>
    <mergeCell ref="B2:C2"/>
    <mergeCell ref="D2:E2"/>
    <mergeCell ref="E3:G3"/>
    <mergeCell ref="Q55:Q56"/>
    <mergeCell ref="R55:R56"/>
    <mergeCell ref="Q17:Q18"/>
    <mergeCell ref="R17:R18"/>
    <mergeCell ref="Q19:Q20"/>
    <mergeCell ref="R19:R20"/>
    <mergeCell ref="K13:M14"/>
    <mergeCell ref="O13:O14"/>
    <mergeCell ref="P13:P14"/>
    <mergeCell ref="K42:M43"/>
    <mergeCell ref="K52:M53"/>
    <mergeCell ref="K54:M54"/>
    <mergeCell ref="K40:M41"/>
    <mergeCell ref="K55:M56"/>
    <mergeCell ref="K19:M20"/>
    <mergeCell ref="K21:M22"/>
    <mergeCell ref="K23:M24"/>
    <mergeCell ref="K25:M26"/>
    <mergeCell ref="K27:M28"/>
    <mergeCell ref="N55:N56"/>
    <mergeCell ref="K31:M32"/>
    <mergeCell ref="K44:M45"/>
    <mergeCell ref="K46:M47"/>
    <mergeCell ref="K48:M49"/>
    <mergeCell ref="K50:M51"/>
    <mergeCell ref="N44:N45"/>
    <mergeCell ref="N46:N47"/>
    <mergeCell ref="N48:N49"/>
    <mergeCell ref="N50:N51"/>
    <mergeCell ref="O44:O45"/>
    <mergeCell ref="O46:O47"/>
    <mergeCell ref="O48:O49"/>
    <mergeCell ref="O50:O51"/>
    <mergeCell ref="S44:S45"/>
    <mergeCell ref="S46:S47"/>
    <mergeCell ref="S48:S49"/>
    <mergeCell ref="S50:S51"/>
    <mergeCell ref="P44:P45"/>
    <mergeCell ref="P46:P47"/>
    <mergeCell ref="P48:P49"/>
    <mergeCell ref="P50:P51"/>
    <mergeCell ref="Q44:Q45"/>
    <mergeCell ref="Q46:Q47"/>
    <mergeCell ref="Q48:Q49"/>
    <mergeCell ref="Q50:Q51"/>
    <mergeCell ref="R44:R45"/>
    <mergeCell ref="R46:R47"/>
    <mergeCell ref="R48:R49"/>
    <mergeCell ref="R50:R51"/>
  </mergeCells>
  <phoneticPr fontId="32" type="noConversion"/>
  <pageMargins left="0.75" right="0.75" top="1" bottom="1" header="0.5" footer="0.5"/>
  <pageSetup scale="74" orientation="portrait" r:id="rId1"/>
  <headerFooter alignWithMargins="0"/>
  <ignoredErrors>
    <ignoredError sqref="A55 A10:A34 A35 G9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AG50"/>
  <sheetViews>
    <sheetView zoomScaleNormal="100" workbookViewId="0">
      <selection activeCell="B8" sqref="B8"/>
    </sheetView>
  </sheetViews>
  <sheetFormatPr defaultRowHeight="12.75"/>
  <cols>
    <col min="1" max="1" width="14.28515625" style="10" customWidth="1"/>
    <col min="2" max="2" width="28.5703125" style="10" customWidth="1"/>
    <col min="3" max="3" width="1.28515625" style="10" customWidth="1"/>
    <col min="4" max="4" width="10.7109375" style="10" customWidth="1"/>
    <col min="5" max="8" width="5" style="10" customWidth="1"/>
    <col min="9" max="9" width="1" style="10" customWidth="1"/>
    <col min="10" max="13" width="5" style="10" customWidth="1"/>
    <col min="14" max="14" width="1" style="10" customWidth="1"/>
    <col min="15" max="18" width="5" style="10" customWidth="1"/>
    <col min="19" max="19" width="1" style="10" customWidth="1"/>
    <col min="20" max="23" width="5" style="10" customWidth="1"/>
    <col min="24" max="24" width="1" style="10" customWidth="1"/>
    <col min="25" max="28" width="5" style="10" customWidth="1"/>
    <col min="29" max="29" width="1" style="10" customWidth="1"/>
    <col min="30" max="33" width="5" style="10" customWidth="1"/>
    <col min="34" max="16384" width="9.140625" style="10"/>
  </cols>
  <sheetData>
    <row r="1" spans="1:33" ht="14.25" customHeight="1" thickBot="1">
      <c r="A1" s="1039" t="s">
        <v>302</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1040"/>
      <c r="AA1" s="1040"/>
      <c r="AB1" s="1040"/>
      <c r="AC1" s="1040"/>
      <c r="AD1" s="1040"/>
      <c r="AE1" s="1040"/>
      <c r="AF1" s="1040"/>
      <c r="AG1" s="1041"/>
    </row>
    <row r="2" spans="1:33" ht="14.25" customHeight="1" thickTop="1" thickBot="1">
      <c r="A2" s="1042" t="s">
        <v>590</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4"/>
    </row>
    <row r="3" spans="1:33" ht="3.75" customHeight="1"/>
    <row r="4" spans="1:33" ht="12" customHeight="1">
      <c r="A4" s="314"/>
      <c r="B4" s="314"/>
      <c r="C4" s="601"/>
      <c r="D4" s="601"/>
      <c r="E4" s="1010" t="s">
        <v>431</v>
      </c>
      <c r="F4" s="1010"/>
      <c r="G4" s="1010"/>
      <c r="H4" s="1010"/>
      <c r="I4" s="601"/>
      <c r="J4" s="1010" t="str">
        <f>IF('BP1'!$K$5&gt;1,"Budget Period 2","")</f>
        <v/>
      </c>
      <c r="K4" s="1010"/>
      <c r="L4" s="1010"/>
      <c r="M4" s="1010"/>
      <c r="N4" s="601"/>
      <c r="O4" s="1010" t="str">
        <f>IF('BP1'!$K$5&gt;2,"Budget Period 3","")</f>
        <v/>
      </c>
      <c r="P4" s="1010"/>
      <c r="Q4" s="1010"/>
      <c r="R4" s="1010"/>
      <c r="S4" s="601"/>
      <c r="T4" s="1010" t="str">
        <f>IF('BP1'!$K$5&gt;3,"Budget Period 4","")</f>
        <v/>
      </c>
      <c r="U4" s="1010"/>
      <c r="V4" s="1010"/>
      <c r="W4" s="1010"/>
      <c r="X4" s="601"/>
      <c r="Y4" s="1010" t="str">
        <f>IF('BP1'!$K$5&gt;4,"Budget Period 5","")</f>
        <v/>
      </c>
      <c r="Z4" s="1010"/>
      <c r="AA4" s="1010"/>
      <c r="AB4" s="1010"/>
      <c r="AC4" s="601"/>
      <c r="AD4" s="1010" t="s">
        <v>594</v>
      </c>
      <c r="AE4" s="1010"/>
      <c r="AF4" s="1010"/>
      <c r="AG4" s="1010"/>
    </row>
    <row r="5" spans="1:33" ht="12" customHeight="1" thickBot="1">
      <c r="A5" s="314"/>
      <c r="B5" s="597"/>
      <c r="E5" s="1035" t="str">
        <f>IF('BP1'!$K$5&gt;0,CONCATENATE(TEXT('BP1'!$K$8,"m/d/yy")," - ",TEXT('BP1'!$K$10,"m/d/yy")),"")</f>
        <v>9/1/19 - 8/31/20</v>
      </c>
      <c r="F5" s="1035"/>
      <c r="G5" s="1035"/>
      <c r="H5" s="1035"/>
      <c r="J5" s="1035" t="str">
        <f>IF('BP1'!$K$5&gt;1,CONCATENATE(TEXT('BP2'!$K$8,"m/d/yy")," - ",TEXT('BP2'!$K$10,"m/d/yy")),"")</f>
        <v/>
      </c>
      <c r="K5" s="1035"/>
      <c r="L5" s="1035"/>
      <c r="M5" s="1035"/>
      <c r="O5" s="1035" t="str">
        <f>IF('BP1'!$K$5&gt;2,CONCATENATE(TEXT('BP3'!$K$8,"m/d/yy")," - ",TEXT('BP3'!$K$10,"m/d/yy")),"")</f>
        <v/>
      </c>
      <c r="P5" s="1035"/>
      <c r="Q5" s="1035"/>
      <c r="R5" s="1035"/>
      <c r="T5" s="1035" t="str">
        <f>IF('BP1'!$K$5&gt;3,CONCATENATE(TEXT('BP4'!$K$8,"m/d/yy")," - ",TEXT('BP4'!$K$10,"m/d/yy")),"")</f>
        <v/>
      </c>
      <c r="U5" s="1035"/>
      <c r="V5" s="1035"/>
      <c r="W5" s="1035"/>
      <c r="Y5" s="1035" t="str">
        <f>IF('BP1'!$K$5&gt;4,CONCATENATE(TEXT('BP5'!$K$8,"m/d/yy")," - ",TEXT('BP5'!$K$10,"m/d/yy")),"")</f>
        <v/>
      </c>
      <c r="Z5" s="1035"/>
      <c r="AA5" s="1035"/>
      <c r="AB5" s="1035"/>
      <c r="AD5" s="1010" t="str">
        <f ca="1">CONCATENATE(TEXT('BP1'!K8,"m/d/yy")," - ",TEXT(INDIRECT("BP"&amp;'BP1'!K5&amp;"!K10"),"m/d/yy"))</f>
        <v>9/1/19 - 8/31/20</v>
      </c>
      <c r="AE5" s="1010"/>
      <c r="AF5" s="1010"/>
      <c r="AG5" s="1010"/>
    </row>
    <row r="6" spans="1:33" ht="12" customHeight="1" thickBot="1">
      <c r="A6" s="591"/>
      <c r="B6" s="603"/>
      <c r="E6" s="1025" t="s">
        <v>207</v>
      </c>
      <c r="F6" s="1026"/>
      <c r="G6" s="1011" t="s">
        <v>517</v>
      </c>
      <c r="H6" s="1012"/>
      <c r="J6" s="1025" t="s">
        <v>207</v>
      </c>
      <c r="K6" s="1026"/>
      <c r="L6" s="1011" t="s">
        <v>517</v>
      </c>
      <c r="M6" s="1012"/>
      <c r="O6" s="1025" t="s">
        <v>207</v>
      </c>
      <c r="P6" s="1026"/>
      <c r="Q6" s="1011" t="s">
        <v>517</v>
      </c>
      <c r="R6" s="1012"/>
      <c r="T6" s="1025" t="s">
        <v>207</v>
      </c>
      <c r="U6" s="1026"/>
      <c r="V6" s="1011" t="s">
        <v>517</v>
      </c>
      <c r="W6" s="1012"/>
      <c r="Y6" s="1025" t="s">
        <v>207</v>
      </c>
      <c r="Z6" s="1026"/>
      <c r="AA6" s="1011" t="s">
        <v>517</v>
      </c>
      <c r="AB6" s="1012"/>
      <c r="AD6" s="1025" t="s">
        <v>207</v>
      </c>
      <c r="AE6" s="1026"/>
      <c r="AF6" s="1011" t="s">
        <v>517</v>
      </c>
      <c r="AG6" s="1012"/>
    </row>
    <row r="7" spans="1:33" ht="12" customHeight="1">
      <c r="A7" s="1045" t="s">
        <v>573</v>
      </c>
      <c r="B7" s="1045"/>
      <c r="D7" s="602" t="s">
        <v>587</v>
      </c>
      <c r="E7" s="1029">
        <v>0</v>
      </c>
      <c r="F7" s="1030"/>
      <c r="G7" s="1031">
        <v>0</v>
      </c>
      <c r="H7" s="1032"/>
      <c r="I7" s="314"/>
      <c r="J7" s="1029">
        <v>0</v>
      </c>
      <c r="K7" s="1030"/>
      <c r="L7" s="1031">
        <v>0</v>
      </c>
      <c r="M7" s="1032"/>
      <c r="N7" s="314"/>
      <c r="O7" s="1029">
        <v>0</v>
      </c>
      <c r="P7" s="1030"/>
      <c r="Q7" s="1031">
        <v>0</v>
      </c>
      <c r="R7" s="1032"/>
      <c r="S7" s="314"/>
      <c r="T7" s="1029">
        <v>0</v>
      </c>
      <c r="U7" s="1030"/>
      <c r="V7" s="1031">
        <v>0</v>
      </c>
      <c r="W7" s="1032"/>
      <c r="X7" s="314"/>
      <c r="Y7" s="1029">
        <v>0</v>
      </c>
      <c r="Z7" s="1030"/>
      <c r="AA7" s="1031">
        <v>0</v>
      </c>
      <c r="AB7" s="1032"/>
      <c r="AD7" s="1013">
        <f>IF('BP1'!$K$5&gt;4,E7+J7+O7+T7+Y7,IF('BP1'!$K$5&gt;3,E7+J7+O7+T7,IF('BP1'!$K$5&gt;2,E7+J7+O7,IF('BP1'!$K$5&gt;1,E7+J7,E7))))</f>
        <v>0</v>
      </c>
      <c r="AE7" s="1014"/>
      <c r="AF7" s="1019">
        <f>IF('BP1'!$K$5&gt;4,G7+L7+Q7+V7+AA7,IF('BP1'!$K$5&gt;3,G7+L7+Q7+V7,IF('BP1'!$K$5&gt;2,G7+L7+Q7,IF('BP1'!$K$5&gt;1,G7+L7,G7))))</f>
        <v>0</v>
      </c>
      <c r="AG7" s="1020"/>
    </row>
    <row r="8" spans="1:33" ht="12" customHeight="1">
      <c r="A8" s="589" t="s">
        <v>585</v>
      </c>
      <c r="B8" s="590"/>
      <c r="D8" s="602" t="s">
        <v>588</v>
      </c>
      <c r="E8" s="1029">
        <v>0</v>
      </c>
      <c r="F8" s="1030"/>
      <c r="G8" s="1031">
        <v>0</v>
      </c>
      <c r="H8" s="1032"/>
      <c r="I8" s="314"/>
      <c r="J8" s="1029">
        <v>0</v>
      </c>
      <c r="K8" s="1030"/>
      <c r="L8" s="1031">
        <v>0</v>
      </c>
      <c r="M8" s="1032"/>
      <c r="N8" s="314"/>
      <c r="O8" s="1029">
        <v>0</v>
      </c>
      <c r="P8" s="1030"/>
      <c r="Q8" s="1031">
        <v>0</v>
      </c>
      <c r="R8" s="1032"/>
      <c r="S8" s="314"/>
      <c r="T8" s="1029">
        <v>0</v>
      </c>
      <c r="U8" s="1030"/>
      <c r="V8" s="1031">
        <v>0</v>
      </c>
      <c r="W8" s="1032"/>
      <c r="X8" s="314"/>
      <c r="Y8" s="1029">
        <v>0</v>
      </c>
      <c r="Z8" s="1030"/>
      <c r="AA8" s="1031">
        <v>0</v>
      </c>
      <c r="AB8" s="1032"/>
      <c r="AD8" s="1013">
        <f>IF('BP1'!$K$5&gt;4,E8+J8+O8+T8+Y8,IF('BP1'!$K$5&gt;3,E8+J8+O8+T8,IF('BP1'!$K$5&gt;2,E8+J8+O8,IF('BP1'!$K$5&gt;1,E8+J8,E8))))</f>
        <v>0</v>
      </c>
      <c r="AE8" s="1014"/>
      <c r="AF8" s="1019">
        <f>IF('BP1'!$K$5&gt;4,G8+L8+Q8+V8+AA8,IF('BP1'!$K$5&gt;3,G8+L8+Q8+V8,IF('BP1'!$K$5&gt;2,G8+L8+Q8,IF('BP1'!$K$5&gt;1,G8+L8,G8))))</f>
        <v>0</v>
      </c>
      <c r="AG8" s="1020"/>
    </row>
    <row r="9" spans="1:33" ht="12" customHeight="1" thickBot="1">
      <c r="A9" s="607" t="s">
        <v>586</v>
      </c>
      <c r="B9" s="608"/>
      <c r="C9" s="609"/>
      <c r="D9" s="610" t="s">
        <v>99</v>
      </c>
      <c r="E9" s="1015">
        <f>E7+E8</f>
        <v>0</v>
      </c>
      <c r="F9" s="1016"/>
      <c r="G9" s="1023">
        <f>G7+G8</f>
        <v>0</v>
      </c>
      <c r="H9" s="1024"/>
      <c r="I9" s="611"/>
      <c r="J9" s="1015">
        <f>J7+J8</f>
        <v>0</v>
      </c>
      <c r="K9" s="1016"/>
      <c r="L9" s="1023">
        <f>IF(AND(L7="",L8=""),"",L7+L8)</f>
        <v>0</v>
      </c>
      <c r="M9" s="1024"/>
      <c r="N9" s="611"/>
      <c r="O9" s="1015">
        <f>O7+O8</f>
        <v>0</v>
      </c>
      <c r="P9" s="1016"/>
      <c r="Q9" s="1023">
        <f>IF(AND(Q7="",Q8=""),"",Q7+Q8)</f>
        <v>0</v>
      </c>
      <c r="R9" s="1024"/>
      <c r="S9" s="611"/>
      <c r="T9" s="1015">
        <f>T7+T8</f>
        <v>0</v>
      </c>
      <c r="U9" s="1016"/>
      <c r="V9" s="1023">
        <f>IF(AND(V7="",V8=""),"",V7+V8)</f>
        <v>0</v>
      </c>
      <c r="W9" s="1024"/>
      <c r="X9" s="611"/>
      <c r="Y9" s="1015">
        <f>Y7+Y8</f>
        <v>0</v>
      </c>
      <c r="Z9" s="1016"/>
      <c r="AA9" s="1023">
        <f>IF(AND(AA7="",AA8=""),"",AA7+AA8)</f>
        <v>0</v>
      </c>
      <c r="AB9" s="1024"/>
      <c r="AC9" s="609"/>
      <c r="AD9" s="1015">
        <f>AD7+AD8</f>
        <v>0</v>
      </c>
      <c r="AE9" s="1016"/>
      <c r="AF9" s="1023">
        <f>AF7+AF8</f>
        <v>0</v>
      </c>
      <c r="AG9" s="1024"/>
    </row>
    <row r="10" spans="1:33" ht="12" customHeight="1" thickTop="1">
      <c r="A10" s="1046" t="s">
        <v>574</v>
      </c>
      <c r="B10" s="1046"/>
      <c r="D10" s="602" t="s">
        <v>587</v>
      </c>
      <c r="E10" s="1029">
        <v>0</v>
      </c>
      <c r="F10" s="1030"/>
      <c r="G10" s="1031">
        <v>0</v>
      </c>
      <c r="H10" s="1032"/>
      <c r="I10" s="314"/>
      <c r="J10" s="1029">
        <v>0</v>
      </c>
      <c r="K10" s="1030"/>
      <c r="L10" s="1031">
        <v>0</v>
      </c>
      <c r="M10" s="1032"/>
      <c r="N10" s="314"/>
      <c r="O10" s="1029">
        <v>0</v>
      </c>
      <c r="P10" s="1030"/>
      <c r="Q10" s="1031">
        <v>0</v>
      </c>
      <c r="R10" s="1032"/>
      <c r="S10" s="314"/>
      <c r="T10" s="1029">
        <v>0</v>
      </c>
      <c r="U10" s="1030"/>
      <c r="V10" s="1031">
        <v>0</v>
      </c>
      <c r="W10" s="1032"/>
      <c r="X10" s="314"/>
      <c r="Y10" s="1029">
        <v>0</v>
      </c>
      <c r="Z10" s="1030"/>
      <c r="AA10" s="1033" t="str">
        <f>IF('BP1'!$K$5&gt;4,V10,"")</f>
        <v/>
      </c>
      <c r="AB10" s="1034"/>
      <c r="AD10" s="1017">
        <f>IF('BP1'!$K$5&gt;4,E10+J10+O10+T10+Y10,IF('BP1'!$K$5&gt;3,E10+J10+O10+T10,IF('BP1'!$K$5&gt;2,E10+J10+O10,IF('BP1'!$K$5&gt;1,E10+J10,E10))))</f>
        <v>0</v>
      </c>
      <c r="AE10" s="1018"/>
      <c r="AF10" s="1021">
        <f>IF('BP1'!$K$5&gt;4,G10+L10+Q10+V10+AA10,IF('BP1'!$K$5&gt;3,G10+L10+Q10+V10,IF('BP1'!$K$5&gt;2,G10+L10+Q10,IF('BP1'!$K$5&gt;1,G10+L10,G10))))</f>
        <v>0</v>
      </c>
      <c r="AG10" s="1022"/>
    </row>
    <row r="11" spans="1:33" ht="12" customHeight="1">
      <c r="A11" s="589" t="s">
        <v>585</v>
      </c>
      <c r="B11" s="590"/>
      <c r="D11" s="602" t="s">
        <v>588</v>
      </c>
      <c r="E11" s="1029">
        <v>0</v>
      </c>
      <c r="F11" s="1030"/>
      <c r="G11" s="1031">
        <v>0</v>
      </c>
      <c r="H11" s="1032"/>
      <c r="I11" s="314"/>
      <c r="J11" s="1029">
        <v>0</v>
      </c>
      <c r="K11" s="1030"/>
      <c r="L11" s="1031">
        <v>0</v>
      </c>
      <c r="M11" s="1032"/>
      <c r="N11" s="314"/>
      <c r="O11" s="1029">
        <v>0</v>
      </c>
      <c r="P11" s="1030"/>
      <c r="Q11" s="1031">
        <v>0</v>
      </c>
      <c r="R11" s="1032"/>
      <c r="S11" s="314"/>
      <c r="T11" s="1029">
        <v>0</v>
      </c>
      <c r="U11" s="1030"/>
      <c r="V11" s="1031">
        <v>0</v>
      </c>
      <c r="W11" s="1032"/>
      <c r="X11" s="314"/>
      <c r="Y11" s="1029">
        <v>0</v>
      </c>
      <c r="Z11" s="1030"/>
      <c r="AA11" s="1031" t="str">
        <f>IF('BP1'!$K$5&gt;4,V11,"")</f>
        <v/>
      </c>
      <c r="AB11" s="1032"/>
      <c r="AD11" s="1013">
        <f>IF('BP1'!$K$5&gt;4,E11+J11+O11+T11+Y11,IF('BP1'!$K$5&gt;3,E11+J11+O11+T11,IF('BP1'!$K$5&gt;2,E11+J11+O11,IF('BP1'!$K$5&gt;1,E11+J11,E11))))</f>
        <v>0</v>
      </c>
      <c r="AE11" s="1014"/>
      <c r="AF11" s="1019">
        <f>IF('BP1'!$K$5&gt;4,G11+L11+Q11+V11+AA11,IF('BP1'!$K$5&gt;3,G11+L11+Q11+V11,IF('BP1'!$K$5&gt;2,G11+L11+Q11,IF('BP1'!$K$5&gt;1,G11+L11,G11))))</f>
        <v>0</v>
      </c>
      <c r="AG11" s="1020"/>
    </row>
    <row r="12" spans="1:33" ht="12" customHeight="1" thickBot="1">
      <c r="A12" s="607" t="s">
        <v>586</v>
      </c>
      <c r="B12" s="608"/>
      <c r="C12" s="609"/>
      <c r="D12" s="610" t="s">
        <v>99</v>
      </c>
      <c r="E12" s="1015">
        <f>E10+E11</f>
        <v>0</v>
      </c>
      <c r="F12" s="1016"/>
      <c r="G12" s="1023">
        <f>G10+G11</f>
        <v>0</v>
      </c>
      <c r="H12" s="1024"/>
      <c r="I12" s="611"/>
      <c r="J12" s="1015">
        <f>J10+J11</f>
        <v>0</v>
      </c>
      <c r="K12" s="1016"/>
      <c r="L12" s="1023">
        <f>IF(AND(L10="",L11=""),"",L10+L11)</f>
        <v>0</v>
      </c>
      <c r="M12" s="1024"/>
      <c r="N12" s="611"/>
      <c r="O12" s="1015">
        <f>O10+O11</f>
        <v>0</v>
      </c>
      <c r="P12" s="1016"/>
      <c r="Q12" s="1023">
        <f>IF(AND(Q10="",Q11=""),"",Q10+Q11)</f>
        <v>0</v>
      </c>
      <c r="R12" s="1024"/>
      <c r="S12" s="611"/>
      <c r="T12" s="1015">
        <f>T10+T11</f>
        <v>0</v>
      </c>
      <c r="U12" s="1016"/>
      <c r="V12" s="1023">
        <f>IF(AND(V10="",V11=""),"",V10+V11)</f>
        <v>0</v>
      </c>
      <c r="W12" s="1024"/>
      <c r="X12" s="611"/>
      <c r="Y12" s="1015">
        <f>Y10+Y11</f>
        <v>0</v>
      </c>
      <c r="Z12" s="1016"/>
      <c r="AA12" s="1023" t="str">
        <f>IF(AND(AA10="",AA11=""),"",AA10+AA11)</f>
        <v/>
      </c>
      <c r="AB12" s="1024"/>
      <c r="AC12" s="609"/>
      <c r="AD12" s="1015">
        <f>AD10+AD11</f>
        <v>0</v>
      </c>
      <c r="AE12" s="1016"/>
      <c r="AF12" s="1023">
        <f>AF10+AF11</f>
        <v>0</v>
      </c>
      <c r="AG12" s="1024"/>
    </row>
    <row r="13" spans="1:33" ht="12" customHeight="1" thickTop="1">
      <c r="A13" s="1046" t="s">
        <v>575</v>
      </c>
      <c r="B13" s="1046"/>
      <c r="D13" s="602" t="s">
        <v>587</v>
      </c>
      <c r="E13" s="1029">
        <v>0</v>
      </c>
      <c r="F13" s="1030"/>
      <c r="G13" s="1031">
        <v>0</v>
      </c>
      <c r="H13" s="1032"/>
      <c r="I13" s="314"/>
      <c r="J13" s="1029">
        <v>0</v>
      </c>
      <c r="K13" s="1030"/>
      <c r="L13" s="1031">
        <v>0</v>
      </c>
      <c r="M13" s="1032"/>
      <c r="N13" s="314"/>
      <c r="O13" s="1029">
        <v>0</v>
      </c>
      <c r="P13" s="1030"/>
      <c r="Q13" s="1031">
        <v>0</v>
      </c>
      <c r="R13" s="1032"/>
      <c r="S13" s="314"/>
      <c r="T13" s="1029">
        <v>0</v>
      </c>
      <c r="U13" s="1030"/>
      <c r="V13" s="1031">
        <v>0</v>
      </c>
      <c r="W13" s="1032"/>
      <c r="X13" s="314"/>
      <c r="Y13" s="1029">
        <v>0</v>
      </c>
      <c r="Z13" s="1030"/>
      <c r="AA13" s="1033" t="str">
        <f>IF('BP1'!$K$5&gt;4,V13,"")</f>
        <v/>
      </c>
      <c r="AB13" s="1034"/>
      <c r="AD13" s="1017">
        <f>IF('BP1'!$K$5&gt;4,E13+J13+O13+T13+Y13,IF('BP1'!$K$5&gt;3,E13+J13+O13+T13,IF('BP1'!$K$5&gt;2,E13+J13+O13,IF('BP1'!$K$5&gt;1,E13+J13,E13))))</f>
        <v>0</v>
      </c>
      <c r="AE13" s="1018"/>
      <c r="AF13" s="1021">
        <f>IF('BP1'!$K$5&gt;4,G13+L13+Q13+V13+AA13,IF('BP1'!$K$5&gt;3,G13+L13+Q13+V13,IF('BP1'!$K$5&gt;2,G13+L13+Q13,IF('BP1'!$K$5&gt;1,G13+L13,G13))))</f>
        <v>0</v>
      </c>
      <c r="AG13" s="1022"/>
    </row>
    <row r="14" spans="1:33" ht="12" customHeight="1">
      <c r="A14" s="589" t="s">
        <v>585</v>
      </c>
      <c r="B14" s="590"/>
      <c r="D14" s="602" t="s">
        <v>588</v>
      </c>
      <c r="E14" s="1029">
        <v>0</v>
      </c>
      <c r="F14" s="1030"/>
      <c r="G14" s="1031">
        <v>0</v>
      </c>
      <c r="H14" s="1032"/>
      <c r="I14" s="314"/>
      <c r="J14" s="1029">
        <v>0</v>
      </c>
      <c r="K14" s="1030"/>
      <c r="L14" s="1031">
        <v>0</v>
      </c>
      <c r="M14" s="1032"/>
      <c r="N14" s="314"/>
      <c r="O14" s="1029">
        <v>0</v>
      </c>
      <c r="P14" s="1030"/>
      <c r="Q14" s="1031">
        <v>0</v>
      </c>
      <c r="R14" s="1032"/>
      <c r="S14" s="314"/>
      <c r="T14" s="1029">
        <v>0</v>
      </c>
      <c r="U14" s="1030"/>
      <c r="V14" s="1031">
        <v>0</v>
      </c>
      <c r="W14" s="1032"/>
      <c r="X14" s="314"/>
      <c r="Y14" s="1029">
        <v>0</v>
      </c>
      <c r="Z14" s="1030"/>
      <c r="AA14" s="1031" t="str">
        <f>IF('BP1'!$K$5&gt;4,V143,"")</f>
        <v/>
      </c>
      <c r="AB14" s="1032"/>
      <c r="AD14" s="1013">
        <f>IF('BP1'!$K$5&gt;4,E14+J14+O14+T14+Y14,IF('BP1'!$K$5&gt;3,E14+J14+O14+T14,IF('BP1'!$K$5&gt;2,E14+J14+O14,IF('BP1'!$K$5&gt;1,E14+J14,E14))))</f>
        <v>0</v>
      </c>
      <c r="AE14" s="1014"/>
      <c r="AF14" s="1019">
        <f>IF('BP1'!$K$5&gt;4,G14+L14+Q14+V14+AA14,IF('BP1'!$K$5&gt;3,G14+L14+Q14+V14,IF('BP1'!$K$5&gt;2,G14+L14+Q14,IF('BP1'!$K$5&gt;1,G14+L14,G14))))</f>
        <v>0</v>
      </c>
      <c r="AG14" s="1020"/>
    </row>
    <row r="15" spans="1:33" ht="12" customHeight="1" thickBot="1">
      <c r="A15" s="607" t="s">
        <v>586</v>
      </c>
      <c r="B15" s="608"/>
      <c r="C15" s="609"/>
      <c r="D15" s="610" t="s">
        <v>99</v>
      </c>
      <c r="E15" s="1015">
        <f>E13+E14</f>
        <v>0</v>
      </c>
      <c r="F15" s="1016"/>
      <c r="G15" s="1023">
        <f>G13+G14</f>
        <v>0</v>
      </c>
      <c r="H15" s="1024"/>
      <c r="I15" s="611"/>
      <c r="J15" s="1015">
        <f>J13+J14</f>
        <v>0</v>
      </c>
      <c r="K15" s="1016"/>
      <c r="L15" s="1023">
        <f>IF(AND(L13="",L14=""),"",L13+L14)</f>
        <v>0</v>
      </c>
      <c r="M15" s="1024"/>
      <c r="N15" s="611"/>
      <c r="O15" s="1015">
        <f>O13+O14</f>
        <v>0</v>
      </c>
      <c r="P15" s="1016"/>
      <c r="Q15" s="1023">
        <f>IF(AND(Q13="",Q14=""),"",Q13+Q14)</f>
        <v>0</v>
      </c>
      <c r="R15" s="1024"/>
      <c r="S15" s="611"/>
      <c r="T15" s="1015">
        <f>T13+T14</f>
        <v>0</v>
      </c>
      <c r="U15" s="1016"/>
      <c r="V15" s="1023">
        <f>IF(AND(V13="",V14=""),"",V13+V14)</f>
        <v>0</v>
      </c>
      <c r="W15" s="1024"/>
      <c r="X15" s="611"/>
      <c r="Y15" s="1015">
        <f>Y13+Y14</f>
        <v>0</v>
      </c>
      <c r="Z15" s="1016"/>
      <c r="AA15" s="1023" t="str">
        <f>IF(AND(AA13="",AA14=""),"",AA13+AA14)</f>
        <v/>
      </c>
      <c r="AB15" s="1024"/>
      <c r="AC15" s="609"/>
      <c r="AD15" s="1015">
        <f>AD13+AD14</f>
        <v>0</v>
      </c>
      <c r="AE15" s="1016"/>
      <c r="AF15" s="1023">
        <f>AF13+AF14</f>
        <v>0</v>
      </c>
      <c r="AG15" s="1024"/>
    </row>
    <row r="16" spans="1:33" ht="12" customHeight="1" thickTop="1">
      <c r="A16" s="1046" t="s">
        <v>576</v>
      </c>
      <c r="B16" s="1046"/>
      <c r="D16" s="602" t="s">
        <v>587</v>
      </c>
      <c r="E16" s="1029">
        <v>0</v>
      </c>
      <c r="F16" s="1030"/>
      <c r="G16" s="1031">
        <v>0</v>
      </c>
      <c r="H16" s="1032"/>
      <c r="I16" s="314"/>
      <c r="J16" s="1029">
        <v>0</v>
      </c>
      <c r="K16" s="1030"/>
      <c r="L16" s="1031">
        <v>0</v>
      </c>
      <c r="M16" s="1032"/>
      <c r="N16" s="314"/>
      <c r="O16" s="1029">
        <v>0</v>
      </c>
      <c r="P16" s="1030"/>
      <c r="Q16" s="1031">
        <v>0</v>
      </c>
      <c r="R16" s="1032"/>
      <c r="S16" s="314"/>
      <c r="T16" s="1029">
        <v>0</v>
      </c>
      <c r="U16" s="1030"/>
      <c r="V16" s="1031">
        <v>0</v>
      </c>
      <c r="W16" s="1032"/>
      <c r="X16" s="314"/>
      <c r="Y16" s="1029">
        <v>0</v>
      </c>
      <c r="Z16" s="1030"/>
      <c r="AA16" s="1033" t="str">
        <f>IF('BP1'!$K$5&gt;4,V16,"")</f>
        <v/>
      </c>
      <c r="AB16" s="1034"/>
      <c r="AD16" s="1017">
        <f>IF('BP1'!$K$5&gt;4,E16+J16+O16+T16+Y16,IF('BP1'!$K$5&gt;3,E16+J16+O16+T16,IF('BP1'!$K$5&gt;2,E16+J16+O16,IF('BP1'!$K$5&gt;1,E16+J16,E16))))</f>
        <v>0</v>
      </c>
      <c r="AE16" s="1018"/>
      <c r="AF16" s="1021">
        <f>IF('BP1'!$K$5&gt;4,G16+L16+Q16+V16+AA16,IF('BP1'!$K$5&gt;3,G16+L16+Q16+V16,IF('BP1'!$K$5&gt;2,G16+L16+Q16,IF('BP1'!$K$5&gt;1,G16+L16,G16))))</f>
        <v>0</v>
      </c>
      <c r="AG16" s="1022"/>
    </row>
    <row r="17" spans="1:33" ht="12" customHeight="1">
      <c r="A17" s="589" t="s">
        <v>585</v>
      </c>
      <c r="B17" s="590"/>
      <c r="D17" s="602" t="s">
        <v>588</v>
      </c>
      <c r="E17" s="1029">
        <v>0</v>
      </c>
      <c r="F17" s="1030"/>
      <c r="G17" s="1031">
        <v>0</v>
      </c>
      <c r="H17" s="1032"/>
      <c r="I17" s="314"/>
      <c r="J17" s="1029">
        <v>0</v>
      </c>
      <c r="K17" s="1030"/>
      <c r="L17" s="1031">
        <v>0</v>
      </c>
      <c r="M17" s="1032"/>
      <c r="N17" s="314"/>
      <c r="O17" s="1029">
        <v>0</v>
      </c>
      <c r="P17" s="1030"/>
      <c r="Q17" s="1031">
        <v>0</v>
      </c>
      <c r="R17" s="1032"/>
      <c r="S17" s="314"/>
      <c r="T17" s="1029">
        <v>0</v>
      </c>
      <c r="U17" s="1030"/>
      <c r="V17" s="1031">
        <v>0</v>
      </c>
      <c r="W17" s="1032"/>
      <c r="X17" s="314"/>
      <c r="Y17" s="1029">
        <v>0</v>
      </c>
      <c r="Z17" s="1030"/>
      <c r="AA17" s="1031" t="str">
        <f>IF('BP1'!$K$5&gt;4,V17,"")</f>
        <v/>
      </c>
      <c r="AB17" s="1032"/>
      <c r="AD17" s="1013">
        <f>IF('BP1'!$K$5&gt;4,E17+J17+O17+T17+Y17,IF('BP1'!$K$5&gt;3,E17+J17+O17+T17,IF('BP1'!$K$5&gt;2,E17+J17+O17,IF('BP1'!$K$5&gt;1,E17+J17,E17))))</f>
        <v>0</v>
      </c>
      <c r="AE17" s="1014"/>
      <c r="AF17" s="1019">
        <f>IF('BP1'!$K$5&gt;4,G17+L17+Q17+V17+AA17,IF('BP1'!$K$5&gt;3,G17+L17+Q17+V17,IF('BP1'!$K$5&gt;2,G17+L17+Q17,IF('BP1'!$K$5&gt;1,G17+L17,G17))))</f>
        <v>0</v>
      </c>
      <c r="AG17" s="1020"/>
    </row>
    <row r="18" spans="1:33" ht="12" customHeight="1" thickBot="1">
      <c r="A18" s="607" t="s">
        <v>586</v>
      </c>
      <c r="B18" s="608"/>
      <c r="C18" s="609"/>
      <c r="D18" s="610" t="s">
        <v>99</v>
      </c>
      <c r="E18" s="1015">
        <f>E16+E17</f>
        <v>0</v>
      </c>
      <c r="F18" s="1016"/>
      <c r="G18" s="1023">
        <f>G16+G17</f>
        <v>0</v>
      </c>
      <c r="H18" s="1024"/>
      <c r="I18" s="611"/>
      <c r="J18" s="1015">
        <f>J16+J17</f>
        <v>0</v>
      </c>
      <c r="K18" s="1016"/>
      <c r="L18" s="1023">
        <f>IF(AND(L16="",L17=""),"",L16+L17)</f>
        <v>0</v>
      </c>
      <c r="M18" s="1024"/>
      <c r="N18" s="611"/>
      <c r="O18" s="1015">
        <f>O16+O17</f>
        <v>0</v>
      </c>
      <c r="P18" s="1016"/>
      <c r="Q18" s="1023">
        <f>IF(AND(Q16="",Q17=""),"",Q16+Q17)</f>
        <v>0</v>
      </c>
      <c r="R18" s="1024"/>
      <c r="S18" s="611"/>
      <c r="T18" s="1015">
        <f>T16+T17</f>
        <v>0</v>
      </c>
      <c r="U18" s="1016"/>
      <c r="V18" s="1023">
        <f>IF(AND(V16="",V17=""),"",V16+V17)</f>
        <v>0</v>
      </c>
      <c r="W18" s="1024"/>
      <c r="X18" s="611"/>
      <c r="Y18" s="1015">
        <f>Y16+Y17</f>
        <v>0</v>
      </c>
      <c r="Z18" s="1016"/>
      <c r="AA18" s="1023" t="str">
        <f>IF(AND(AA16="",AA17=""),"",AA16+AA17)</f>
        <v/>
      </c>
      <c r="AB18" s="1024"/>
      <c r="AC18" s="609"/>
      <c r="AD18" s="1015">
        <f>AD16+AD17</f>
        <v>0</v>
      </c>
      <c r="AE18" s="1016"/>
      <c r="AF18" s="1023">
        <f>AF16+AF17</f>
        <v>0</v>
      </c>
      <c r="AG18" s="1024"/>
    </row>
    <row r="19" spans="1:33" ht="12" customHeight="1" thickTop="1">
      <c r="A19" s="1046" t="s">
        <v>577</v>
      </c>
      <c r="B19" s="1046"/>
      <c r="D19" s="602" t="s">
        <v>587</v>
      </c>
      <c r="E19" s="1029">
        <v>0</v>
      </c>
      <c r="F19" s="1030"/>
      <c r="G19" s="1031">
        <v>0</v>
      </c>
      <c r="H19" s="1032"/>
      <c r="I19" s="314"/>
      <c r="J19" s="1029">
        <v>0</v>
      </c>
      <c r="K19" s="1030"/>
      <c r="L19" s="1031">
        <v>0</v>
      </c>
      <c r="M19" s="1032"/>
      <c r="N19" s="314"/>
      <c r="O19" s="1029">
        <v>0</v>
      </c>
      <c r="P19" s="1030"/>
      <c r="Q19" s="1031">
        <v>0</v>
      </c>
      <c r="R19" s="1032"/>
      <c r="S19" s="314"/>
      <c r="T19" s="1029">
        <v>0</v>
      </c>
      <c r="U19" s="1030"/>
      <c r="V19" s="1031">
        <v>0</v>
      </c>
      <c r="W19" s="1032"/>
      <c r="X19" s="314"/>
      <c r="Y19" s="1029">
        <v>0</v>
      </c>
      <c r="Z19" s="1030"/>
      <c r="AA19" s="1033" t="str">
        <f>IF('BP1'!$K$5&gt;4,V19,"")</f>
        <v/>
      </c>
      <c r="AB19" s="1034"/>
      <c r="AD19" s="1017">
        <f>IF('BP1'!$K$5&gt;4,E19+J19+O19+T19+Y19,IF('BP1'!$K$5&gt;3,E19+J19+O19+T19,IF('BP1'!$K$5&gt;2,E19+J19+O19,IF('BP1'!$K$5&gt;1,E19+J19,E19))))</f>
        <v>0</v>
      </c>
      <c r="AE19" s="1018"/>
      <c r="AF19" s="1021">
        <f>IF('BP1'!$K$5&gt;4,G19+L19+Q19+V19+AA19,IF('BP1'!$K$5&gt;3,G19+L19+Q19+V19,IF('BP1'!$K$5&gt;2,G19+L19+Q19,IF('BP1'!$K$5&gt;1,G19+L19,G19))))</f>
        <v>0</v>
      </c>
      <c r="AG19" s="1022"/>
    </row>
    <row r="20" spans="1:33" ht="12" customHeight="1">
      <c r="A20" s="589" t="s">
        <v>585</v>
      </c>
      <c r="B20" s="590"/>
      <c r="D20" s="602" t="s">
        <v>588</v>
      </c>
      <c r="E20" s="1029">
        <v>0</v>
      </c>
      <c r="F20" s="1030"/>
      <c r="G20" s="1031">
        <v>0</v>
      </c>
      <c r="H20" s="1032"/>
      <c r="I20" s="314"/>
      <c r="J20" s="1029">
        <v>0</v>
      </c>
      <c r="K20" s="1030"/>
      <c r="L20" s="1031">
        <v>0</v>
      </c>
      <c r="M20" s="1032"/>
      <c r="N20" s="314"/>
      <c r="O20" s="1029">
        <v>0</v>
      </c>
      <c r="P20" s="1030"/>
      <c r="Q20" s="1031">
        <v>0</v>
      </c>
      <c r="R20" s="1032"/>
      <c r="S20" s="314"/>
      <c r="T20" s="1029">
        <v>0</v>
      </c>
      <c r="U20" s="1030"/>
      <c r="V20" s="1031">
        <v>0</v>
      </c>
      <c r="W20" s="1032"/>
      <c r="X20" s="314"/>
      <c r="Y20" s="1029">
        <v>0</v>
      </c>
      <c r="Z20" s="1030"/>
      <c r="AA20" s="1031" t="str">
        <f>IF('BP1'!$K$5&gt;4,V20,"")</f>
        <v/>
      </c>
      <c r="AB20" s="1032"/>
      <c r="AD20" s="1013">
        <f>IF('BP1'!$K$5&gt;4,E20+J20+O20+T20+Y20,IF('BP1'!$K$5&gt;3,E20+J20+O20+T20,IF('BP1'!$K$5&gt;2,E20+J20+O20,IF('BP1'!$K$5&gt;1,E20+J20,E20))))</f>
        <v>0</v>
      </c>
      <c r="AE20" s="1014"/>
      <c r="AF20" s="1019">
        <f>IF('BP1'!$K$5&gt;4,G20+L20+Q20+V20+AA20,IF('BP1'!$K$5&gt;3,G20+L20+Q20+V20,IF('BP1'!$K$5&gt;2,G20+L20+Q20,IF('BP1'!$K$5&gt;1,G20+L20,G20))))</f>
        <v>0</v>
      </c>
      <c r="AG20" s="1020"/>
    </row>
    <row r="21" spans="1:33" ht="12" customHeight="1" thickBot="1">
      <c r="A21" s="607" t="s">
        <v>586</v>
      </c>
      <c r="B21" s="608"/>
      <c r="C21" s="609"/>
      <c r="D21" s="610" t="s">
        <v>99</v>
      </c>
      <c r="E21" s="1015">
        <f>E19+E20</f>
        <v>0</v>
      </c>
      <c r="F21" s="1016"/>
      <c r="G21" s="1023">
        <f>G19+G20</f>
        <v>0</v>
      </c>
      <c r="H21" s="1024"/>
      <c r="I21" s="611"/>
      <c r="J21" s="1015">
        <f>J19+J20</f>
        <v>0</v>
      </c>
      <c r="K21" s="1016"/>
      <c r="L21" s="1023">
        <f>IF(AND(L19="",L20=""),"",L19+L20)</f>
        <v>0</v>
      </c>
      <c r="M21" s="1024"/>
      <c r="N21" s="611"/>
      <c r="O21" s="1015">
        <f>O19+O20</f>
        <v>0</v>
      </c>
      <c r="P21" s="1016"/>
      <c r="Q21" s="1023">
        <f>IF(AND(Q19="",Q20=""),"",Q19+Q20)</f>
        <v>0</v>
      </c>
      <c r="R21" s="1024"/>
      <c r="S21" s="611"/>
      <c r="T21" s="1015">
        <f>T19+T20</f>
        <v>0</v>
      </c>
      <c r="U21" s="1016"/>
      <c r="V21" s="1023">
        <f>IF(AND(V19="",V20=""),"",V19+V20)</f>
        <v>0</v>
      </c>
      <c r="W21" s="1024"/>
      <c r="X21" s="611"/>
      <c r="Y21" s="1015">
        <f>Y19+Y20</f>
        <v>0</v>
      </c>
      <c r="Z21" s="1016"/>
      <c r="AA21" s="1023" t="str">
        <f>IF(AND(AA19="",AA20=""),"",AA19+AA20)</f>
        <v/>
      </c>
      <c r="AB21" s="1024"/>
      <c r="AC21" s="609"/>
      <c r="AD21" s="1015">
        <f>AD19+AD20</f>
        <v>0</v>
      </c>
      <c r="AE21" s="1016"/>
      <c r="AF21" s="1023">
        <f>AF19+AF20</f>
        <v>0</v>
      </c>
      <c r="AG21" s="1024"/>
    </row>
    <row r="22" spans="1:33" ht="12" customHeight="1" thickTop="1">
      <c r="A22" s="1046" t="s">
        <v>578</v>
      </c>
      <c r="B22" s="1046"/>
      <c r="D22" s="602" t="s">
        <v>587</v>
      </c>
      <c r="E22" s="1029">
        <v>0</v>
      </c>
      <c r="F22" s="1030"/>
      <c r="G22" s="1031">
        <v>0</v>
      </c>
      <c r="H22" s="1032"/>
      <c r="I22" s="314"/>
      <c r="J22" s="1029">
        <v>0</v>
      </c>
      <c r="K22" s="1030"/>
      <c r="L22" s="1031">
        <v>0</v>
      </c>
      <c r="M22" s="1032"/>
      <c r="N22" s="314"/>
      <c r="O22" s="1029">
        <v>0</v>
      </c>
      <c r="P22" s="1030"/>
      <c r="Q22" s="1031">
        <v>0</v>
      </c>
      <c r="R22" s="1032"/>
      <c r="S22" s="314"/>
      <c r="T22" s="1029">
        <v>0</v>
      </c>
      <c r="U22" s="1030"/>
      <c r="V22" s="1031">
        <v>0</v>
      </c>
      <c r="W22" s="1032"/>
      <c r="X22" s="314"/>
      <c r="Y22" s="1029">
        <v>0</v>
      </c>
      <c r="Z22" s="1030"/>
      <c r="AA22" s="1033" t="str">
        <f>IF('BP1'!$K$5&gt;4,V22,"")</f>
        <v/>
      </c>
      <c r="AB22" s="1034"/>
      <c r="AD22" s="1017">
        <f>IF('BP1'!$K$5&gt;4,E22+J22+O22+T22+Y22,IF('BP1'!$K$5&gt;3,E22+J22+O22+T22,IF('BP1'!$K$5&gt;2,E22+J22+O22,IF('BP1'!$K$5&gt;1,E22+J22,E22))))</f>
        <v>0</v>
      </c>
      <c r="AE22" s="1018"/>
      <c r="AF22" s="1021">
        <f>IF('BP1'!$K$5&gt;4,G22+L22+Q22+V22+AA22,IF('BP1'!$K$5&gt;3,G22+L22+Q22+V22,IF('BP1'!$K$5&gt;2,G22+L22+Q22,IF('BP1'!$K$5&gt;1,G22+L22,G22))))</f>
        <v>0</v>
      </c>
      <c r="AG22" s="1022"/>
    </row>
    <row r="23" spans="1:33" ht="12" customHeight="1">
      <c r="A23" s="589" t="s">
        <v>585</v>
      </c>
      <c r="B23" s="590"/>
      <c r="D23" s="602" t="s">
        <v>588</v>
      </c>
      <c r="E23" s="1029">
        <v>0</v>
      </c>
      <c r="F23" s="1030"/>
      <c r="G23" s="1031">
        <v>0</v>
      </c>
      <c r="H23" s="1032"/>
      <c r="I23" s="314"/>
      <c r="J23" s="1029">
        <v>0</v>
      </c>
      <c r="K23" s="1030"/>
      <c r="L23" s="1031">
        <v>0</v>
      </c>
      <c r="M23" s="1032"/>
      <c r="N23" s="314"/>
      <c r="O23" s="1029">
        <v>0</v>
      </c>
      <c r="P23" s="1030"/>
      <c r="Q23" s="1031">
        <v>0</v>
      </c>
      <c r="R23" s="1032"/>
      <c r="S23" s="314"/>
      <c r="T23" s="1029">
        <v>0</v>
      </c>
      <c r="U23" s="1030"/>
      <c r="V23" s="1031">
        <v>0</v>
      </c>
      <c r="W23" s="1032"/>
      <c r="X23" s="314"/>
      <c r="Y23" s="1029">
        <v>0</v>
      </c>
      <c r="Z23" s="1030"/>
      <c r="AA23" s="1031" t="str">
        <f>IF('BP1'!$K$5&gt;4,V23,"")</f>
        <v/>
      </c>
      <c r="AB23" s="1032"/>
      <c r="AD23" s="1013">
        <f>IF('BP1'!$K$5&gt;4,E23+J23+O23+T23+Y23,IF('BP1'!$K$5&gt;3,E23+J23+O23+T23,IF('BP1'!$K$5&gt;2,E23+J23+O23,IF('BP1'!$K$5&gt;1,E23+J23,E23))))</f>
        <v>0</v>
      </c>
      <c r="AE23" s="1014"/>
      <c r="AF23" s="1019">
        <f>IF('BP1'!$K$5&gt;4,G23+L23+Q23+V23+AA23,IF('BP1'!$K$5&gt;3,G23+L23+Q23+V23,IF('BP1'!$K$5&gt;2,G23+L23+Q23,IF('BP1'!$K$5&gt;1,G23+L23,G23))))</f>
        <v>0</v>
      </c>
      <c r="AG23" s="1020"/>
    </row>
    <row r="24" spans="1:33" ht="12" customHeight="1" thickBot="1">
      <c r="A24" s="607" t="s">
        <v>586</v>
      </c>
      <c r="B24" s="608"/>
      <c r="C24" s="609"/>
      <c r="D24" s="610" t="s">
        <v>99</v>
      </c>
      <c r="E24" s="1015">
        <f>E22+E23</f>
        <v>0</v>
      </c>
      <c r="F24" s="1016"/>
      <c r="G24" s="1023">
        <f>G22+G23</f>
        <v>0</v>
      </c>
      <c r="H24" s="1024"/>
      <c r="I24" s="611"/>
      <c r="J24" s="1015">
        <f>J22+J23</f>
        <v>0</v>
      </c>
      <c r="K24" s="1016"/>
      <c r="L24" s="1023">
        <f>IF(AND(L22="",L23=""),"",L22+L23)</f>
        <v>0</v>
      </c>
      <c r="M24" s="1024"/>
      <c r="N24" s="611"/>
      <c r="O24" s="1015">
        <f>O22+O23</f>
        <v>0</v>
      </c>
      <c r="P24" s="1016"/>
      <c r="Q24" s="1023">
        <f>IF(AND(Q22="",Q23=""),"",Q22+Q23)</f>
        <v>0</v>
      </c>
      <c r="R24" s="1024"/>
      <c r="S24" s="611"/>
      <c r="T24" s="1015">
        <f>T22+T23</f>
        <v>0</v>
      </c>
      <c r="U24" s="1016"/>
      <c r="V24" s="1023">
        <f>IF(AND(V22="",V23=""),"",V22+V23)</f>
        <v>0</v>
      </c>
      <c r="W24" s="1024"/>
      <c r="X24" s="611"/>
      <c r="Y24" s="1015">
        <f>Y22+Y23</f>
        <v>0</v>
      </c>
      <c r="Z24" s="1016"/>
      <c r="AA24" s="1023" t="str">
        <f>IF(AND(AA22="",AA23=""),"",AA22+AA23)</f>
        <v/>
      </c>
      <c r="AB24" s="1024"/>
      <c r="AC24" s="609"/>
      <c r="AD24" s="1015">
        <f>AD22+AD23</f>
        <v>0</v>
      </c>
      <c r="AE24" s="1016"/>
      <c r="AF24" s="1023">
        <f>AF22+AF23</f>
        <v>0</v>
      </c>
      <c r="AG24" s="1024"/>
    </row>
    <row r="25" spans="1:33" ht="12" customHeight="1" thickTop="1">
      <c r="A25" s="1046" t="s">
        <v>579</v>
      </c>
      <c r="B25" s="1046"/>
      <c r="D25" s="602" t="s">
        <v>587</v>
      </c>
      <c r="E25" s="1029">
        <v>0</v>
      </c>
      <c r="F25" s="1030"/>
      <c r="G25" s="1031">
        <v>0</v>
      </c>
      <c r="H25" s="1032"/>
      <c r="I25" s="314"/>
      <c r="J25" s="1029">
        <v>0</v>
      </c>
      <c r="K25" s="1030"/>
      <c r="L25" s="1031">
        <v>0</v>
      </c>
      <c r="M25" s="1032"/>
      <c r="N25" s="314"/>
      <c r="O25" s="1029">
        <v>0</v>
      </c>
      <c r="P25" s="1030"/>
      <c r="Q25" s="1031">
        <v>0</v>
      </c>
      <c r="R25" s="1032"/>
      <c r="S25" s="314"/>
      <c r="T25" s="1029">
        <v>0</v>
      </c>
      <c r="U25" s="1030"/>
      <c r="V25" s="1031">
        <v>0</v>
      </c>
      <c r="W25" s="1032"/>
      <c r="X25" s="314"/>
      <c r="Y25" s="1029">
        <v>0</v>
      </c>
      <c r="Z25" s="1030"/>
      <c r="AA25" s="1033" t="str">
        <f>IF('BP1'!$K$5&gt;4,V25,"")</f>
        <v/>
      </c>
      <c r="AB25" s="1034"/>
      <c r="AD25" s="1017">
        <f>IF('BP1'!$K$5&gt;4,E25+J25+O25+T25+Y25,IF('BP1'!$K$5&gt;3,E25+J25+O25+T25,IF('BP1'!$K$5&gt;2,E25+J25+O25,IF('BP1'!$K$5&gt;1,E25+J25,E25))))</f>
        <v>0</v>
      </c>
      <c r="AE25" s="1018"/>
      <c r="AF25" s="1021">
        <f>IF('BP1'!$K$5&gt;4,G25+L25+Q25+V25+AA25,IF('BP1'!$K$5&gt;3,G25+L25+Q25+V25,IF('BP1'!$K$5&gt;2,G25+L25+Q25,IF('BP1'!$K$5&gt;1,G25+L25,G25))))</f>
        <v>0</v>
      </c>
      <c r="AG25" s="1022"/>
    </row>
    <row r="26" spans="1:33" ht="12" customHeight="1">
      <c r="A26" s="589" t="s">
        <v>585</v>
      </c>
      <c r="B26" s="590"/>
      <c r="D26" s="602" t="s">
        <v>588</v>
      </c>
      <c r="E26" s="1029">
        <v>0</v>
      </c>
      <c r="F26" s="1030"/>
      <c r="G26" s="1031">
        <v>0</v>
      </c>
      <c r="H26" s="1032"/>
      <c r="I26" s="314"/>
      <c r="J26" s="1029">
        <v>0</v>
      </c>
      <c r="K26" s="1030"/>
      <c r="L26" s="1031">
        <v>0</v>
      </c>
      <c r="M26" s="1032"/>
      <c r="N26" s="314"/>
      <c r="O26" s="1029">
        <v>0</v>
      </c>
      <c r="P26" s="1030"/>
      <c r="Q26" s="1031">
        <v>0</v>
      </c>
      <c r="R26" s="1032"/>
      <c r="S26" s="314"/>
      <c r="T26" s="1029">
        <v>0</v>
      </c>
      <c r="U26" s="1030"/>
      <c r="V26" s="1031">
        <v>0</v>
      </c>
      <c r="W26" s="1032"/>
      <c r="X26" s="314"/>
      <c r="Y26" s="1029">
        <v>0</v>
      </c>
      <c r="Z26" s="1030"/>
      <c r="AA26" s="1031" t="str">
        <f>IF('BP1'!$K$5&gt;4,V26,"")</f>
        <v/>
      </c>
      <c r="AB26" s="1032"/>
      <c r="AD26" s="1013">
        <f>IF('BP1'!$K$5&gt;4,E26+J26+O26+T26+Y26,IF('BP1'!$K$5&gt;3,E26+J26+O26+T26,IF('BP1'!$K$5&gt;2,E26+J26+O26,IF('BP1'!$K$5&gt;1,E26+J26,E26))))</f>
        <v>0</v>
      </c>
      <c r="AE26" s="1014"/>
      <c r="AF26" s="1019">
        <f>IF('BP1'!$K$5&gt;4,G26+L26+Q26+V26+AA26,IF('BP1'!$K$5&gt;3,G26+L26+Q26+V26,IF('BP1'!$K$5&gt;2,G26+L26+Q26,IF('BP1'!$K$5&gt;1,G26+L26,G26))))</f>
        <v>0</v>
      </c>
      <c r="AG26" s="1020"/>
    </row>
    <row r="27" spans="1:33" ht="12" customHeight="1" thickBot="1">
      <c r="A27" s="607" t="s">
        <v>586</v>
      </c>
      <c r="B27" s="608"/>
      <c r="C27" s="609"/>
      <c r="D27" s="610" t="s">
        <v>99</v>
      </c>
      <c r="E27" s="1015">
        <f>E25+E26</f>
        <v>0</v>
      </c>
      <c r="F27" s="1016"/>
      <c r="G27" s="1023">
        <f>G25+G26</f>
        <v>0</v>
      </c>
      <c r="H27" s="1024"/>
      <c r="I27" s="611"/>
      <c r="J27" s="1015">
        <f>J25+J26</f>
        <v>0</v>
      </c>
      <c r="K27" s="1016"/>
      <c r="L27" s="1023">
        <f>IF(AND(L25="",L26=""),"",L25+L26)</f>
        <v>0</v>
      </c>
      <c r="M27" s="1024"/>
      <c r="N27" s="611"/>
      <c r="O27" s="1015">
        <f>O25+O26</f>
        <v>0</v>
      </c>
      <c r="P27" s="1016"/>
      <c r="Q27" s="1023">
        <f>IF(AND(Q25="",Q26=""),"",Q25+Q26)</f>
        <v>0</v>
      </c>
      <c r="R27" s="1024"/>
      <c r="S27" s="611"/>
      <c r="T27" s="1015">
        <f>T25+T26</f>
        <v>0</v>
      </c>
      <c r="U27" s="1016"/>
      <c r="V27" s="1023">
        <f>IF(AND(V25="",V26=""),"",V25+V26)</f>
        <v>0</v>
      </c>
      <c r="W27" s="1024"/>
      <c r="X27" s="611"/>
      <c r="Y27" s="1015">
        <f>Y25+Y26</f>
        <v>0</v>
      </c>
      <c r="Z27" s="1016"/>
      <c r="AA27" s="1023" t="str">
        <f>IF(AND(AA25="",AA26=""),"",AA25+AA26)</f>
        <v/>
      </c>
      <c r="AB27" s="1024"/>
      <c r="AC27" s="609"/>
      <c r="AD27" s="1015">
        <f>AD25+AD26</f>
        <v>0</v>
      </c>
      <c r="AE27" s="1016"/>
      <c r="AF27" s="1023">
        <f>AF25+AF26</f>
        <v>0</v>
      </c>
      <c r="AG27" s="1024"/>
    </row>
    <row r="28" spans="1:33" ht="12" customHeight="1" thickTop="1">
      <c r="A28" s="1046" t="s">
        <v>580</v>
      </c>
      <c r="B28" s="1046"/>
      <c r="D28" s="602" t="s">
        <v>587</v>
      </c>
      <c r="E28" s="1029">
        <v>0</v>
      </c>
      <c r="F28" s="1030"/>
      <c r="G28" s="1031">
        <v>0</v>
      </c>
      <c r="H28" s="1032"/>
      <c r="I28" s="314"/>
      <c r="J28" s="1029">
        <v>0</v>
      </c>
      <c r="K28" s="1030"/>
      <c r="L28" s="1031">
        <v>0</v>
      </c>
      <c r="M28" s="1032"/>
      <c r="N28" s="314"/>
      <c r="O28" s="1029">
        <v>0</v>
      </c>
      <c r="P28" s="1030"/>
      <c r="Q28" s="1031">
        <v>0</v>
      </c>
      <c r="R28" s="1032"/>
      <c r="S28" s="314"/>
      <c r="T28" s="1029">
        <v>0</v>
      </c>
      <c r="U28" s="1030"/>
      <c r="V28" s="1031">
        <v>0</v>
      </c>
      <c r="W28" s="1032"/>
      <c r="X28" s="314"/>
      <c r="Y28" s="1029">
        <v>0</v>
      </c>
      <c r="Z28" s="1030"/>
      <c r="AA28" s="1033" t="str">
        <f>IF('BP1'!$K$5&gt;4,V28,"")</f>
        <v/>
      </c>
      <c r="AB28" s="1034"/>
      <c r="AD28" s="1017">
        <f>IF('BP1'!$K$5&gt;4,E28+J28+O28+T28+Y28,IF('BP1'!$K$5&gt;3,E28+J28+O28+T28,IF('BP1'!$K$5&gt;2,E28+J28+O28,IF('BP1'!$K$5&gt;1,E28+J28,E28))))</f>
        <v>0</v>
      </c>
      <c r="AE28" s="1018"/>
      <c r="AF28" s="1021">
        <f>IF('BP1'!$K$5&gt;4,G28+L28+Q28+V28+AA28,IF('BP1'!$K$5&gt;3,G28+L28+Q28+V28,IF('BP1'!$K$5&gt;2,G28+L28+Q28,IF('BP1'!$K$5&gt;1,G28+L28,G28))))</f>
        <v>0</v>
      </c>
      <c r="AG28" s="1022"/>
    </row>
    <row r="29" spans="1:33" ht="12" customHeight="1">
      <c r="A29" s="589" t="s">
        <v>585</v>
      </c>
      <c r="B29" s="590"/>
      <c r="D29" s="602" t="s">
        <v>588</v>
      </c>
      <c r="E29" s="1029">
        <v>0</v>
      </c>
      <c r="F29" s="1030"/>
      <c r="G29" s="1031">
        <v>0</v>
      </c>
      <c r="H29" s="1032"/>
      <c r="I29" s="314"/>
      <c r="J29" s="1029">
        <v>0</v>
      </c>
      <c r="K29" s="1030"/>
      <c r="L29" s="1031">
        <v>0</v>
      </c>
      <c r="M29" s="1032"/>
      <c r="N29" s="314"/>
      <c r="O29" s="1029">
        <v>0</v>
      </c>
      <c r="P29" s="1030"/>
      <c r="Q29" s="1031">
        <v>0</v>
      </c>
      <c r="R29" s="1032"/>
      <c r="S29" s="314"/>
      <c r="T29" s="1029">
        <v>0</v>
      </c>
      <c r="U29" s="1030"/>
      <c r="V29" s="1031">
        <v>0</v>
      </c>
      <c r="W29" s="1032"/>
      <c r="X29" s="314"/>
      <c r="Y29" s="1029">
        <v>0</v>
      </c>
      <c r="Z29" s="1030"/>
      <c r="AA29" s="1031" t="str">
        <f>IF('BP1'!$K$5&gt;4,V29,"")</f>
        <v/>
      </c>
      <c r="AB29" s="1032"/>
      <c r="AD29" s="1013">
        <f>IF('BP1'!$K$5&gt;4,E29+J29+O29+T29+Y29,IF('BP1'!$K$5&gt;3,E29+J29+O29+T29,IF('BP1'!$K$5&gt;2,E29+J29+O29,IF('BP1'!$K$5&gt;1,E29+J29,E29))))</f>
        <v>0</v>
      </c>
      <c r="AE29" s="1014"/>
      <c r="AF29" s="1019">
        <f>IF('BP1'!$K$5&gt;4,G29+L29+Q29+V29+AA29,IF('BP1'!$K$5&gt;3,G29+L29+Q29+V29,IF('BP1'!$K$5&gt;2,G29+L29+Q29,IF('BP1'!$K$5&gt;1,G29+L29,G29))))</f>
        <v>0</v>
      </c>
      <c r="AG29" s="1020"/>
    </row>
    <row r="30" spans="1:33" ht="12" customHeight="1" thickBot="1">
      <c r="A30" s="607" t="s">
        <v>586</v>
      </c>
      <c r="B30" s="608"/>
      <c r="C30" s="609"/>
      <c r="D30" s="610" t="s">
        <v>99</v>
      </c>
      <c r="E30" s="1015">
        <f>E28+E29</f>
        <v>0</v>
      </c>
      <c r="F30" s="1016"/>
      <c r="G30" s="1023">
        <f>G28+G29</f>
        <v>0</v>
      </c>
      <c r="H30" s="1024"/>
      <c r="I30" s="611"/>
      <c r="J30" s="1015">
        <f>J28+J29</f>
        <v>0</v>
      </c>
      <c r="K30" s="1016"/>
      <c r="L30" s="1023">
        <f>IF(AND(L28="",L29=""),"",L28+L29)</f>
        <v>0</v>
      </c>
      <c r="M30" s="1024"/>
      <c r="N30" s="611"/>
      <c r="O30" s="1015">
        <f>O28+O29</f>
        <v>0</v>
      </c>
      <c r="P30" s="1016"/>
      <c r="Q30" s="1023">
        <f>IF(AND(Q28="",Q29=""),"",Q28+Q29)</f>
        <v>0</v>
      </c>
      <c r="R30" s="1024"/>
      <c r="S30" s="611"/>
      <c r="T30" s="1015">
        <f>T28+T29</f>
        <v>0</v>
      </c>
      <c r="U30" s="1016"/>
      <c r="V30" s="1023">
        <f>IF(AND(V28="",V29=""),"",V28+V29)</f>
        <v>0</v>
      </c>
      <c r="W30" s="1024"/>
      <c r="X30" s="611"/>
      <c r="Y30" s="1015">
        <f>Y28+Y29</f>
        <v>0</v>
      </c>
      <c r="Z30" s="1016"/>
      <c r="AA30" s="1023" t="str">
        <f>IF(AND(AA28="",AA29=""),"",AA28+AA29)</f>
        <v/>
      </c>
      <c r="AB30" s="1024"/>
      <c r="AC30" s="609"/>
      <c r="AD30" s="1015">
        <f>AD28+AD29</f>
        <v>0</v>
      </c>
      <c r="AE30" s="1016"/>
      <c r="AF30" s="1023">
        <f>AF28+AF29</f>
        <v>0</v>
      </c>
      <c r="AG30" s="1024"/>
    </row>
    <row r="31" spans="1:33" ht="12" customHeight="1" thickTop="1">
      <c r="A31" s="1046" t="s">
        <v>581</v>
      </c>
      <c r="B31" s="1046"/>
      <c r="D31" s="602" t="s">
        <v>587</v>
      </c>
      <c r="E31" s="1029">
        <v>0</v>
      </c>
      <c r="F31" s="1030"/>
      <c r="G31" s="1031">
        <v>0</v>
      </c>
      <c r="H31" s="1032"/>
      <c r="I31" s="314"/>
      <c r="J31" s="1029">
        <v>0</v>
      </c>
      <c r="K31" s="1030"/>
      <c r="L31" s="1031">
        <v>0</v>
      </c>
      <c r="M31" s="1032"/>
      <c r="N31" s="314"/>
      <c r="O31" s="1029">
        <v>0</v>
      </c>
      <c r="P31" s="1030"/>
      <c r="Q31" s="1031">
        <v>0</v>
      </c>
      <c r="R31" s="1032"/>
      <c r="S31" s="314"/>
      <c r="T31" s="1029">
        <v>0</v>
      </c>
      <c r="U31" s="1030"/>
      <c r="V31" s="1031">
        <v>0</v>
      </c>
      <c r="W31" s="1032"/>
      <c r="X31" s="314"/>
      <c r="Y31" s="1029">
        <v>0</v>
      </c>
      <c r="Z31" s="1030"/>
      <c r="AA31" s="1033" t="str">
        <f>IF('BP1'!$K$5&gt;4,V31,"")</f>
        <v/>
      </c>
      <c r="AB31" s="1034"/>
      <c r="AD31" s="1017">
        <f>IF('BP1'!$K$5&gt;4,E31+J31+O31+T31+Y31,IF('BP1'!$K$5&gt;3,E31+J31+O31+T31,IF('BP1'!$K$5&gt;2,E31+J31+O31,IF('BP1'!$K$5&gt;1,E31+J31,E31))))</f>
        <v>0</v>
      </c>
      <c r="AE31" s="1018"/>
      <c r="AF31" s="1021">
        <f>IF('BP1'!$K$5&gt;4,G31+L31+Q31+V31+AA31,IF('BP1'!$K$5&gt;3,G31+L31+Q31+V31,IF('BP1'!$K$5&gt;2,G31+L31+Q31,IF('BP1'!$K$5&gt;1,G31+L31,G31))))</f>
        <v>0</v>
      </c>
      <c r="AG31" s="1022"/>
    </row>
    <row r="32" spans="1:33" ht="12" customHeight="1">
      <c r="A32" s="589" t="s">
        <v>585</v>
      </c>
      <c r="B32" s="590"/>
      <c r="D32" s="602" t="s">
        <v>588</v>
      </c>
      <c r="E32" s="1029">
        <v>0</v>
      </c>
      <c r="F32" s="1030"/>
      <c r="G32" s="1031">
        <v>0</v>
      </c>
      <c r="H32" s="1032"/>
      <c r="I32" s="314"/>
      <c r="J32" s="1029">
        <v>0</v>
      </c>
      <c r="K32" s="1030"/>
      <c r="L32" s="1031">
        <v>0</v>
      </c>
      <c r="M32" s="1032"/>
      <c r="N32" s="314"/>
      <c r="O32" s="1029">
        <v>0</v>
      </c>
      <c r="P32" s="1030"/>
      <c r="Q32" s="1031">
        <v>0</v>
      </c>
      <c r="R32" s="1032"/>
      <c r="S32" s="314"/>
      <c r="T32" s="1029">
        <v>0</v>
      </c>
      <c r="U32" s="1030"/>
      <c r="V32" s="1031">
        <v>0</v>
      </c>
      <c r="W32" s="1032"/>
      <c r="X32" s="314"/>
      <c r="Y32" s="1029">
        <v>0</v>
      </c>
      <c r="Z32" s="1030"/>
      <c r="AA32" s="1031" t="str">
        <f>IF('BP1'!$K$5&gt;4,V32,"")</f>
        <v/>
      </c>
      <c r="AB32" s="1032"/>
      <c r="AD32" s="1013">
        <f>IF('BP1'!$K$5&gt;4,E32+J32+O32+T32+Y32,IF('BP1'!$K$5&gt;3,E32+J32+O32+T32,IF('BP1'!$K$5&gt;2,E32+J32+O32,IF('BP1'!$K$5&gt;1,E32+J32,E32))))</f>
        <v>0</v>
      </c>
      <c r="AE32" s="1014"/>
      <c r="AF32" s="1019">
        <f>IF('BP1'!$K$5&gt;4,G32+L32+Q32+V32+AA32,IF('BP1'!$K$5&gt;3,G32+L32+Q32+V32,IF('BP1'!$K$5&gt;2,G32+L32+Q32,IF('BP1'!$K$5&gt;1,G32+L32,G32))))</f>
        <v>0</v>
      </c>
      <c r="AG32" s="1020"/>
    </row>
    <row r="33" spans="1:33" ht="12" customHeight="1" thickBot="1">
      <c r="A33" s="607" t="s">
        <v>586</v>
      </c>
      <c r="B33" s="608"/>
      <c r="C33" s="609"/>
      <c r="D33" s="610" t="s">
        <v>99</v>
      </c>
      <c r="E33" s="1015">
        <f>E31+E32</f>
        <v>0</v>
      </c>
      <c r="F33" s="1016"/>
      <c r="G33" s="1023">
        <f>G31+G32</f>
        <v>0</v>
      </c>
      <c r="H33" s="1024"/>
      <c r="I33" s="611"/>
      <c r="J33" s="1015">
        <f>J31+J32</f>
        <v>0</v>
      </c>
      <c r="K33" s="1016"/>
      <c r="L33" s="1023">
        <f>IF(AND(L31="",L32=""),"",L31+L32)</f>
        <v>0</v>
      </c>
      <c r="M33" s="1024"/>
      <c r="N33" s="611"/>
      <c r="O33" s="1015">
        <f>O31+O32</f>
        <v>0</v>
      </c>
      <c r="P33" s="1016"/>
      <c r="Q33" s="1023">
        <f>IF(AND(Q31="",Q32=""),"",Q31+Q32)</f>
        <v>0</v>
      </c>
      <c r="R33" s="1024"/>
      <c r="S33" s="611"/>
      <c r="T33" s="1015">
        <f>T31+T32</f>
        <v>0</v>
      </c>
      <c r="U33" s="1016"/>
      <c r="V33" s="1023">
        <f>IF(AND(V31="",V32=""),"",V31+V32)</f>
        <v>0</v>
      </c>
      <c r="W33" s="1024"/>
      <c r="X33" s="611"/>
      <c r="Y33" s="1015">
        <f>Y31+Y32</f>
        <v>0</v>
      </c>
      <c r="Z33" s="1016"/>
      <c r="AA33" s="1023" t="str">
        <f>IF(AND(AA31="",AA32=""),"",AA31+AA32)</f>
        <v/>
      </c>
      <c r="AB33" s="1024"/>
      <c r="AC33" s="609"/>
      <c r="AD33" s="1015">
        <f>AD31+AD32</f>
        <v>0</v>
      </c>
      <c r="AE33" s="1016"/>
      <c r="AF33" s="1023">
        <f>AF31+AF32</f>
        <v>0</v>
      </c>
      <c r="AG33" s="1024"/>
    </row>
    <row r="34" spans="1:33" ht="12" customHeight="1" thickTop="1">
      <c r="A34" s="1046" t="s">
        <v>582</v>
      </c>
      <c r="B34" s="1046"/>
      <c r="D34" s="602" t="s">
        <v>587</v>
      </c>
      <c r="E34" s="1029">
        <v>0</v>
      </c>
      <c r="F34" s="1030"/>
      <c r="G34" s="1031">
        <v>0</v>
      </c>
      <c r="H34" s="1032"/>
      <c r="I34" s="314"/>
      <c r="J34" s="1029">
        <v>0</v>
      </c>
      <c r="K34" s="1030"/>
      <c r="L34" s="1031">
        <v>0</v>
      </c>
      <c r="M34" s="1032"/>
      <c r="N34" s="314"/>
      <c r="O34" s="1029">
        <v>0</v>
      </c>
      <c r="P34" s="1030"/>
      <c r="Q34" s="1031">
        <v>0</v>
      </c>
      <c r="R34" s="1032"/>
      <c r="S34" s="314"/>
      <c r="T34" s="1029">
        <v>0</v>
      </c>
      <c r="U34" s="1030"/>
      <c r="V34" s="1031">
        <v>0</v>
      </c>
      <c r="W34" s="1032"/>
      <c r="X34" s="314"/>
      <c r="Y34" s="1029">
        <v>0</v>
      </c>
      <c r="Z34" s="1030"/>
      <c r="AA34" s="1033" t="str">
        <f>IF('BP1'!$K$5&gt;4,V34,"")</f>
        <v/>
      </c>
      <c r="AB34" s="1034"/>
      <c r="AD34" s="1017">
        <f>IF('BP1'!$K$5&gt;4,E34+J34+O34+T34+Y34,IF('BP1'!$K$5&gt;3,E34+J34+O34+T34,IF('BP1'!$K$5&gt;2,E34+J34+O34,IF('BP1'!$K$5&gt;1,E34+J34,E34))))</f>
        <v>0</v>
      </c>
      <c r="AE34" s="1018"/>
      <c r="AF34" s="1021">
        <f>IF('BP1'!$K$5&gt;4,G34+L34+Q34+V34+AA34,IF('BP1'!$K$5&gt;3,G34+L34+Q34+V34,IF('BP1'!$K$5&gt;2,G34+L34+Q34,IF('BP1'!$K$5&gt;1,G34+L34,G34))))</f>
        <v>0</v>
      </c>
      <c r="AG34" s="1022"/>
    </row>
    <row r="35" spans="1:33" ht="12" customHeight="1">
      <c r="A35" s="589" t="s">
        <v>585</v>
      </c>
      <c r="B35" s="590"/>
      <c r="D35" s="602" t="s">
        <v>588</v>
      </c>
      <c r="E35" s="1029">
        <v>0</v>
      </c>
      <c r="F35" s="1030"/>
      <c r="G35" s="1031">
        <v>0</v>
      </c>
      <c r="H35" s="1032"/>
      <c r="I35" s="314"/>
      <c r="J35" s="1029">
        <v>0</v>
      </c>
      <c r="K35" s="1030"/>
      <c r="L35" s="1031">
        <v>0</v>
      </c>
      <c r="M35" s="1032"/>
      <c r="N35" s="314"/>
      <c r="O35" s="1029">
        <v>0</v>
      </c>
      <c r="P35" s="1030"/>
      <c r="Q35" s="1031">
        <v>0</v>
      </c>
      <c r="R35" s="1032"/>
      <c r="S35" s="314"/>
      <c r="T35" s="1029">
        <v>0</v>
      </c>
      <c r="U35" s="1030"/>
      <c r="V35" s="1031">
        <v>0</v>
      </c>
      <c r="W35" s="1032"/>
      <c r="X35" s="314"/>
      <c r="Y35" s="1029">
        <v>0</v>
      </c>
      <c r="Z35" s="1030"/>
      <c r="AA35" s="1031" t="str">
        <f>IF('BP1'!$K$5&gt;4,V35,"")</f>
        <v/>
      </c>
      <c r="AB35" s="1032"/>
      <c r="AD35" s="1013">
        <f>IF('BP1'!$K$5&gt;4,E35+J35+O35+T35+Y35,IF('BP1'!$K$5&gt;3,E35+J35+O35+T35,IF('BP1'!$K$5&gt;2,E35+J35+O35,IF('BP1'!$K$5&gt;1,E35+J35,E35))))</f>
        <v>0</v>
      </c>
      <c r="AE35" s="1014"/>
      <c r="AF35" s="1019">
        <f>IF('BP1'!$K$5&gt;4,G35+L35+Q35+V35+AA35,IF('BP1'!$K$5&gt;3,G35+L35+Q35+V35,IF('BP1'!$K$5&gt;2,G35+L35+Q35,IF('BP1'!$K$5&gt;1,G35+L35,G35))))</f>
        <v>0</v>
      </c>
      <c r="AG35" s="1020"/>
    </row>
    <row r="36" spans="1:33" ht="12" customHeight="1" thickBot="1">
      <c r="A36" s="607" t="s">
        <v>586</v>
      </c>
      <c r="B36" s="608"/>
      <c r="C36" s="609"/>
      <c r="D36" s="610" t="s">
        <v>99</v>
      </c>
      <c r="E36" s="1015">
        <f>E34+E35</f>
        <v>0</v>
      </c>
      <c r="F36" s="1016"/>
      <c r="G36" s="1023">
        <f>G34+G35</f>
        <v>0</v>
      </c>
      <c r="H36" s="1024"/>
      <c r="I36" s="611"/>
      <c r="J36" s="1015">
        <f>J34+J35</f>
        <v>0</v>
      </c>
      <c r="K36" s="1016"/>
      <c r="L36" s="1023">
        <f>IF(AND(L34="",L35=""),"",L34+L35)</f>
        <v>0</v>
      </c>
      <c r="M36" s="1024"/>
      <c r="N36" s="611"/>
      <c r="O36" s="1015">
        <f>O34+O35</f>
        <v>0</v>
      </c>
      <c r="P36" s="1016"/>
      <c r="Q36" s="1023">
        <f>IF(AND(Q34="",Q35=""),"",Q34+Q35)</f>
        <v>0</v>
      </c>
      <c r="R36" s="1024"/>
      <c r="S36" s="611"/>
      <c r="T36" s="1015">
        <f>T34+T35</f>
        <v>0</v>
      </c>
      <c r="U36" s="1016"/>
      <c r="V36" s="1023">
        <f>IF(AND(V34="",V35=""),"",V34+V35)</f>
        <v>0</v>
      </c>
      <c r="W36" s="1024"/>
      <c r="X36" s="611"/>
      <c r="Y36" s="1015">
        <f>Y34+Y35</f>
        <v>0</v>
      </c>
      <c r="Z36" s="1016"/>
      <c r="AA36" s="1023" t="str">
        <f>IF(AND(AA34="",AA35=""),"",AA34+AA35)</f>
        <v/>
      </c>
      <c r="AB36" s="1024"/>
      <c r="AC36" s="609"/>
      <c r="AD36" s="1015">
        <f>AD34+AD35</f>
        <v>0</v>
      </c>
      <c r="AE36" s="1016"/>
      <c r="AF36" s="1023">
        <f>AF34+AF35</f>
        <v>0</v>
      </c>
      <c r="AG36" s="1024"/>
    </row>
    <row r="37" spans="1:33" ht="12" customHeight="1" thickTop="1">
      <c r="A37" s="1046" t="s">
        <v>583</v>
      </c>
      <c r="B37" s="1046"/>
      <c r="D37" s="602" t="s">
        <v>587</v>
      </c>
      <c r="E37" s="1029">
        <v>0</v>
      </c>
      <c r="F37" s="1030"/>
      <c r="G37" s="1031">
        <v>0</v>
      </c>
      <c r="H37" s="1032"/>
      <c r="I37" s="314"/>
      <c r="J37" s="1029">
        <v>0</v>
      </c>
      <c r="K37" s="1030"/>
      <c r="L37" s="1031">
        <v>0</v>
      </c>
      <c r="M37" s="1032"/>
      <c r="N37" s="314"/>
      <c r="O37" s="1029">
        <v>0</v>
      </c>
      <c r="P37" s="1030"/>
      <c r="Q37" s="1031">
        <v>0</v>
      </c>
      <c r="R37" s="1032"/>
      <c r="S37" s="314"/>
      <c r="T37" s="1029">
        <v>0</v>
      </c>
      <c r="U37" s="1030"/>
      <c r="V37" s="1031">
        <v>0</v>
      </c>
      <c r="W37" s="1032"/>
      <c r="X37" s="314"/>
      <c r="Y37" s="1029">
        <v>0</v>
      </c>
      <c r="Z37" s="1030"/>
      <c r="AA37" s="1033" t="str">
        <f>IF('BP1'!$K$5&gt;4,V37,"")</f>
        <v/>
      </c>
      <c r="AB37" s="1034"/>
      <c r="AD37" s="1017">
        <f>IF('BP1'!$K$5&gt;4,E37+J37+O37+T37+Y37,IF('BP1'!$K$5&gt;3,E37+J37+O37+T37,IF('BP1'!$K$5&gt;2,E37+J37+O37,IF('BP1'!$K$5&gt;1,E37+J37,E37))))</f>
        <v>0</v>
      </c>
      <c r="AE37" s="1018"/>
      <c r="AF37" s="1021">
        <f>IF('BP1'!$K$5&gt;4,G37+L37+Q37+V37+AA37,IF('BP1'!$K$5&gt;3,G37+L37+Q37+V37,IF('BP1'!$K$5&gt;2,G37+L37+Q37,IF('BP1'!$K$5&gt;1,G37+L37,G37))))</f>
        <v>0</v>
      </c>
      <c r="AG37" s="1022"/>
    </row>
    <row r="38" spans="1:33" ht="12" customHeight="1">
      <c r="A38" s="589" t="s">
        <v>585</v>
      </c>
      <c r="B38" s="590"/>
      <c r="D38" s="602" t="s">
        <v>588</v>
      </c>
      <c r="E38" s="1029">
        <v>0</v>
      </c>
      <c r="F38" s="1030"/>
      <c r="G38" s="1031">
        <v>0</v>
      </c>
      <c r="H38" s="1032"/>
      <c r="I38" s="314"/>
      <c r="J38" s="1029">
        <v>0</v>
      </c>
      <c r="K38" s="1030"/>
      <c r="L38" s="1031">
        <v>0</v>
      </c>
      <c r="M38" s="1032"/>
      <c r="N38" s="314"/>
      <c r="O38" s="1029">
        <v>0</v>
      </c>
      <c r="P38" s="1030"/>
      <c r="Q38" s="1031">
        <v>0</v>
      </c>
      <c r="R38" s="1032"/>
      <c r="S38" s="314"/>
      <c r="T38" s="1029">
        <v>0</v>
      </c>
      <c r="U38" s="1030"/>
      <c r="V38" s="1031">
        <v>0</v>
      </c>
      <c r="W38" s="1032"/>
      <c r="X38" s="314"/>
      <c r="Y38" s="1029">
        <v>0</v>
      </c>
      <c r="Z38" s="1030"/>
      <c r="AA38" s="1031" t="str">
        <f>IF('BP1'!$K$5&gt;4,V38,"")</f>
        <v/>
      </c>
      <c r="AB38" s="1032"/>
      <c r="AD38" s="1013">
        <f>IF('BP1'!$K$5&gt;4,E38+J38+O38+T38+Y38,IF('BP1'!$K$5&gt;3,E38+J38+O38+T38,IF('BP1'!$K$5&gt;2,E38+J38+O38,IF('BP1'!$K$5&gt;1,E38+J38,E38))))</f>
        <v>0</v>
      </c>
      <c r="AE38" s="1014"/>
      <c r="AF38" s="1019">
        <f>IF('BP1'!$K$5&gt;4,G38+L38+Q38+V38+AA38,IF('BP1'!$K$5&gt;3,G38+L38+Q38+V38,IF('BP1'!$K$5&gt;2,G38+L38+Q38,IF('BP1'!$K$5&gt;1,G38+L38,G38))))</f>
        <v>0</v>
      </c>
      <c r="AG38" s="1020"/>
    </row>
    <row r="39" spans="1:33" ht="12" customHeight="1" thickBot="1">
      <c r="A39" s="607" t="s">
        <v>586</v>
      </c>
      <c r="B39" s="608"/>
      <c r="C39" s="609"/>
      <c r="D39" s="610" t="s">
        <v>99</v>
      </c>
      <c r="E39" s="1015">
        <f>E37+E38</f>
        <v>0</v>
      </c>
      <c r="F39" s="1016"/>
      <c r="G39" s="1023">
        <f>G37+G38</f>
        <v>0</v>
      </c>
      <c r="H39" s="1024"/>
      <c r="I39" s="611"/>
      <c r="J39" s="1015">
        <f>J37+J38</f>
        <v>0</v>
      </c>
      <c r="K39" s="1016"/>
      <c r="L39" s="1023">
        <f>IF(AND(L37="",L38=""),"",L37+L38)</f>
        <v>0</v>
      </c>
      <c r="M39" s="1024"/>
      <c r="N39" s="611"/>
      <c r="O39" s="1015">
        <f>O37+O38</f>
        <v>0</v>
      </c>
      <c r="P39" s="1016"/>
      <c r="Q39" s="1023">
        <f>IF(AND(Q37="",Q38=""),"",Q37+Q38)</f>
        <v>0</v>
      </c>
      <c r="R39" s="1024"/>
      <c r="S39" s="611"/>
      <c r="T39" s="1015">
        <f>T37+T38</f>
        <v>0</v>
      </c>
      <c r="U39" s="1016"/>
      <c r="V39" s="1023">
        <f>IF(AND(V37="",V38=""),"",V37+V38)</f>
        <v>0</v>
      </c>
      <c r="W39" s="1024"/>
      <c r="X39" s="611"/>
      <c r="Y39" s="1015">
        <f>Y37+Y38</f>
        <v>0</v>
      </c>
      <c r="Z39" s="1016"/>
      <c r="AA39" s="1023" t="str">
        <f>IF(AND(AA37="",AA38=""),"",AA37+AA38)</f>
        <v/>
      </c>
      <c r="AB39" s="1024"/>
      <c r="AC39" s="609"/>
      <c r="AD39" s="1015">
        <f>AD37+AD38</f>
        <v>0</v>
      </c>
      <c r="AE39" s="1016"/>
      <c r="AF39" s="1023">
        <f>AF37+AF38</f>
        <v>0</v>
      </c>
      <c r="AG39" s="1024"/>
    </row>
    <row r="40" spans="1:33" ht="12" customHeight="1" thickTop="1">
      <c r="A40" s="1046" t="s">
        <v>584</v>
      </c>
      <c r="B40" s="1046"/>
      <c r="D40" s="602" t="s">
        <v>587</v>
      </c>
      <c r="E40" s="1029">
        <v>0</v>
      </c>
      <c r="F40" s="1030"/>
      <c r="G40" s="1031">
        <v>0</v>
      </c>
      <c r="H40" s="1032"/>
      <c r="I40" s="314"/>
      <c r="J40" s="1029">
        <v>0</v>
      </c>
      <c r="K40" s="1030"/>
      <c r="L40" s="1031">
        <v>0</v>
      </c>
      <c r="M40" s="1032"/>
      <c r="N40" s="314"/>
      <c r="O40" s="1029">
        <v>0</v>
      </c>
      <c r="P40" s="1030"/>
      <c r="Q40" s="1031">
        <v>0</v>
      </c>
      <c r="R40" s="1032"/>
      <c r="S40" s="314"/>
      <c r="T40" s="1029">
        <v>0</v>
      </c>
      <c r="U40" s="1030"/>
      <c r="V40" s="1031">
        <v>0</v>
      </c>
      <c r="W40" s="1032"/>
      <c r="X40" s="314"/>
      <c r="Y40" s="1029">
        <v>0</v>
      </c>
      <c r="Z40" s="1030"/>
      <c r="AA40" s="1033" t="str">
        <f>IF('BP1'!$K$5&gt;4,V40,"")</f>
        <v/>
      </c>
      <c r="AB40" s="1034"/>
      <c r="AD40" s="1017">
        <f>IF('BP1'!$K$5&gt;4,E40+J40+O40+T40+Y40,IF('BP1'!$K$5&gt;3,E40+J40+O40+T40,IF('BP1'!$K$5&gt;2,E40+J40+O40,IF('BP1'!$K$5&gt;1,E40+J40,E40))))</f>
        <v>0</v>
      </c>
      <c r="AE40" s="1018"/>
      <c r="AF40" s="1021">
        <f>IF('BP1'!$K$5&gt;4,G40+L40+Q40+V40+AA40,IF('BP1'!$K$5&gt;3,G40+L40+Q40+V40,IF('BP1'!$K$5&gt;2,G40+L40+Q40,IF('BP1'!$K$5&gt;1,G40+L40,G40))))</f>
        <v>0</v>
      </c>
      <c r="AG40" s="1022"/>
    </row>
    <row r="41" spans="1:33" ht="12" customHeight="1">
      <c r="A41" s="589" t="s">
        <v>585</v>
      </c>
      <c r="B41" s="590"/>
      <c r="D41" s="602" t="s">
        <v>588</v>
      </c>
      <c r="E41" s="1029">
        <v>0</v>
      </c>
      <c r="F41" s="1030"/>
      <c r="G41" s="1031">
        <v>0</v>
      </c>
      <c r="H41" s="1032"/>
      <c r="I41" s="314"/>
      <c r="J41" s="1029">
        <v>0</v>
      </c>
      <c r="K41" s="1030"/>
      <c r="L41" s="1031">
        <v>0</v>
      </c>
      <c r="M41" s="1032"/>
      <c r="N41" s="314"/>
      <c r="O41" s="1029">
        <v>0</v>
      </c>
      <c r="P41" s="1030"/>
      <c r="Q41" s="1031">
        <v>0</v>
      </c>
      <c r="R41" s="1032"/>
      <c r="S41" s="314"/>
      <c r="T41" s="1029">
        <v>0</v>
      </c>
      <c r="U41" s="1030"/>
      <c r="V41" s="1031">
        <v>0</v>
      </c>
      <c r="W41" s="1032"/>
      <c r="X41" s="314"/>
      <c r="Y41" s="1029">
        <v>0</v>
      </c>
      <c r="Z41" s="1030"/>
      <c r="AA41" s="1031" t="str">
        <f>IF('BP1'!$K$5&gt;4,V41,"")</f>
        <v/>
      </c>
      <c r="AB41" s="1032"/>
      <c r="AD41" s="1013">
        <f>IF('BP1'!$K$5&gt;4,E41+J41+O41+T41+Y41,IF('BP1'!$K$5&gt;3,E41+J41+O41+T41,IF('BP1'!$K$5&gt;2,E41+J41+O41,IF('BP1'!$K$5&gt;1,E41+J41,E41))))</f>
        <v>0</v>
      </c>
      <c r="AE41" s="1014"/>
      <c r="AF41" s="1019">
        <f>IF('BP1'!$K$5&gt;4,G41+L41+Q41+V41+AA41,IF('BP1'!$K$5&gt;3,G41+L41+Q41+V41,IF('BP1'!$K$5&gt;2,G41+L41+Q41,IF('BP1'!$K$5&gt;1,G41+L41,G41))))</f>
        <v>0</v>
      </c>
      <c r="AG41" s="1020"/>
    </row>
    <row r="42" spans="1:33" ht="12" customHeight="1">
      <c r="A42" s="589" t="s">
        <v>586</v>
      </c>
      <c r="B42" s="590"/>
      <c r="D42" s="602" t="s">
        <v>99</v>
      </c>
      <c r="E42" s="1027">
        <f>E40+E41</f>
        <v>0</v>
      </c>
      <c r="F42" s="1028"/>
      <c r="G42" s="1036">
        <f>G40+G41</f>
        <v>0</v>
      </c>
      <c r="H42" s="1037"/>
      <c r="I42" s="314"/>
      <c r="J42" s="1027">
        <f>J40+J41</f>
        <v>0</v>
      </c>
      <c r="K42" s="1028"/>
      <c r="L42" s="1036">
        <f>IF(AND(L40="",L41=""),"",L40+L41)</f>
        <v>0</v>
      </c>
      <c r="M42" s="1037"/>
      <c r="N42" s="314"/>
      <c r="O42" s="1027">
        <f>O40+O41</f>
        <v>0</v>
      </c>
      <c r="P42" s="1028"/>
      <c r="Q42" s="1036">
        <f>IF(AND(Q40="",Q41=""),"",Q40+Q41)</f>
        <v>0</v>
      </c>
      <c r="R42" s="1037"/>
      <c r="S42" s="314"/>
      <c r="T42" s="1027">
        <f>T40+T41</f>
        <v>0</v>
      </c>
      <c r="U42" s="1028"/>
      <c r="V42" s="1036">
        <f>IF(AND(V40="",V41=""),"",V40+V41)</f>
        <v>0</v>
      </c>
      <c r="W42" s="1037"/>
      <c r="X42" s="314"/>
      <c r="Y42" s="1027">
        <f>Y40+Y41</f>
        <v>0</v>
      </c>
      <c r="Z42" s="1028"/>
      <c r="AA42" s="1036" t="str">
        <f>IF(AND(AA40="",AA41=""),"",AA40+AA41)</f>
        <v/>
      </c>
      <c r="AB42" s="1037"/>
      <c r="AD42" s="1027">
        <f>AD40+AD41</f>
        <v>0</v>
      </c>
      <c r="AE42" s="1028"/>
      <c r="AF42" s="1036">
        <f>AF40+AF41</f>
        <v>0</v>
      </c>
      <c r="AG42" s="1037"/>
    </row>
    <row r="43" spans="1:33" ht="5.25" customHeight="1">
      <c r="A43" s="598"/>
      <c r="B43" s="599"/>
      <c r="C43" s="597"/>
      <c r="D43" s="597"/>
      <c r="E43" s="600"/>
      <c r="F43" s="600"/>
      <c r="G43" s="600"/>
      <c r="H43" s="600"/>
      <c r="I43" s="597"/>
      <c r="J43" s="600"/>
      <c r="K43" s="600"/>
      <c r="L43" s="600"/>
      <c r="M43" s="600"/>
      <c r="N43" s="597"/>
      <c r="O43" s="600"/>
      <c r="P43" s="600"/>
      <c r="Q43" s="600"/>
      <c r="R43" s="600"/>
      <c r="S43" s="597"/>
      <c r="T43" s="600"/>
      <c r="U43" s="600"/>
      <c r="V43" s="600"/>
      <c r="W43" s="600"/>
      <c r="X43" s="597"/>
      <c r="Y43" s="600"/>
      <c r="Z43" s="600"/>
      <c r="AA43" s="600"/>
      <c r="AB43" s="600"/>
      <c r="AC43" s="597"/>
      <c r="AD43" s="600"/>
      <c r="AE43" s="600"/>
      <c r="AF43" s="600"/>
      <c r="AG43" s="600"/>
    </row>
    <row r="44" spans="1:33" ht="12" customHeight="1">
      <c r="A44" s="1038" t="s">
        <v>595</v>
      </c>
      <c r="B44" s="1038"/>
      <c r="D44" s="602" t="s">
        <v>587</v>
      </c>
      <c r="E44" s="1013">
        <f>E7+E10+E13+E16+E19+E22+E25+E28+E31+E34+E37+E40</f>
        <v>0</v>
      </c>
      <c r="F44" s="1014"/>
      <c r="G44" s="1019">
        <f>G7+G10+G13+G16+G19+G22+G25+G28+G31+G34+G37+G40</f>
        <v>0</v>
      </c>
      <c r="H44" s="1020"/>
      <c r="J44" s="1013">
        <f>IF(J7="",0,J7)+IF(J10="",0,J10)+IF(J13="",0,J13)+IF(J16="",0,J16)+IF(J19="",0,J19)+IF(J22="",0,J22)+IF(J25="",0,J25)+IF(J28="",0,J28)+IF(J31="",0,J31)+IF(J34="",0,J34)+IF(J37="",0,J37)+IF(J40="",0,J40)</f>
        <v>0</v>
      </c>
      <c r="K44" s="1014"/>
      <c r="L44" s="1019">
        <f>IF(L7="",0,L7)+IF(L10="",0,L10)+IF(L13="",0,L13)+IF(L16="",0,L16)+IF(L19="",0,L19)+IF(L22="",0,L22)+IF(L25="",0,L25)+IF(L28="",0,L28)+IF(L31="",0,L31)+IF(L34="",0,L34)+IF(L37="",0,L37)+IF(L40="",0,L40)</f>
        <v>0</v>
      </c>
      <c r="M44" s="1020"/>
      <c r="O44" s="1013">
        <f>IF(O7="",0,O7)+IF(O10="",0,O10)+IF(O13="",0,O13)+IF(O16="",0,O16)+IF(O19="",0,O19)+IF(O22="",0,O22)+IF(O25="",0,O25)+IF(O28="",0,O28)+IF(O31="",0,O31)+IF(O34="",0,O34)+IF(O37="",0,O37)+IF(O40="",0,O40)</f>
        <v>0</v>
      </c>
      <c r="P44" s="1014"/>
      <c r="Q44" s="1019">
        <f>IF(Q7="",0,Q7)+IF(Q10="",0,Q10)+IF(Q13="",0,Q13)+IF(Q16="",0,Q16)+IF(Q19="",0,Q19)+IF(Q22="",0,Q22)+IF(Q25="",0,Q25)+IF(Q28="",0,Q28)+IF(Q31="",0,Q31)+IF(Q34="",0,Q34)+IF(Q37="",0,Q37)+IF(Q40="",0,Q40)</f>
        <v>0</v>
      </c>
      <c r="R44" s="1020"/>
      <c r="T44" s="1013">
        <f>IF(T7="",0,T7)+IF(T10="",0,T10)+IF(T13="",0,T13)+IF(T16="",0,T16)+IF(T19="",0,T19)+IF(T22="",0,T22)+IF(T25="",0,T25)+IF(T28="",0,T28)+IF(T31="",0,T31)+IF(T34="",0,T34)+IF(T37="",0,T37)+IF(T40="",0,T40)</f>
        <v>0</v>
      </c>
      <c r="U44" s="1014"/>
      <c r="V44" s="1019">
        <f>IF(V7="",0,V7)+IF(V10="",0,V10)+IF(V13="",0,V13)+IF(V16="",0,V16)+IF(V19="",0,V19)+IF(V22="",0,V22)+IF(V25="",0,V25)+IF(V28="",0,V28)+IF(V31="",0,V31)+IF(V34="",0,V34)+IF(V37="",0,V37)+IF(V40="",0,V40)</f>
        <v>0</v>
      </c>
      <c r="W44" s="1020"/>
      <c r="Y44" s="1013">
        <f>IF(Y7="",0,Y7)+IF(Y10="",0,Y10)+IF(Y13="",0,Y13)+IF(Y16="",0,Y16)+IF(Y19="",0,Y19)+IF(Y22="",0,Y22)+IF(Y25="",0,Y25)+IF(Y28="",0,Y28)+IF(Y31="",0,Y31)+IF(Y34="",0,Y34)+IF(Y37="",0,Y37)+IF(Y40="",0,Y40)</f>
        <v>0</v>
      </c>
      <c r="Z44" s="1014"/>
      <c r="AA44" s="1019">
        <f>IF(AA7="",0,AA7)+IF(AA10="",0,AA10)+IF(AA13="",0,AA13)+IF(AA16="",0,AA16)+IF(AA19="",0,AA19)+IF(AA22="",0,AA22)+IF(AA25="",0,AA25)+IF(AA28="",0,AA28)+IF(AA31="",0,AA31)+IF(AA34="",0,AA34)+IF(AA37="",0,AA37)+IF(AA40="",0,AA40)</f>
        <v>0</v>
      </c>
      <c r="AB44" s="1020"/>
      <c r="AD44" s="1013">
        <f>IF(AD7="",0,AD7)+IF(AD10="",0,AD10)+IF(AD13="",0,AD13)+IF(AD16="",0,AD16)+IF(AD19="",0,AD19)+IF(AD22="",0,AD22)+IF(AD25="",0,AD25)+IF(AD28="",0,AD28)+IF(AD31="",0,AD31)+IF(AD34="",0,AD34)+IF(AD37="",0,AD37)+IF(AD40="",0,AD40)</f>
        <v>0</v>
      </c>
      <c r="AE44" s="1014"/>
      <c r="AF44" s="1019">
        <f>IF(AF7="",0,AF7)+IF(AF10="",0,AF10)+IF(AF13="",0,AF13)+IF(AF16="",0,AF16)+IF(AF19="",0,AF19)+IF(AF22="",0,AF22)+IF(AF25="",0,AF25)+IF(AF28="",0,AF28)+IF(AF31="",0,AF31)+IF(AF34="",0,AF34)+IF(AF37="",0,AF37)+IF(AF40="",0,AF40)</f>
        <v>0</v>
      </c>
      <c r="AG44" s="1020"/>
    </row>
    <row r="45" spans="1:33" ht="12" customHeight="1">
      <c r="A45" s="1038"/>
      <c r="B45" s="1038"/>
      <c r="D45" s="602" t="s">
        <v>588</v>
      </c>
      <c r="E45" s="1013">
        <f>E8+E11+E14+E17+E20+E23+E26+E29+E32+E35+E38+E41</f>
        <v>0</v>
      </c>
      <c r="F45" s="1014"/>
      <c r="G45" s="1019">
        <f>G8+G11+G14+G17+G20+G23+G26+G29+G32+G35+G38+G41</f>
        <v>0</v>
      </c>
      <c r="H45" s="1020"/>
      <c r="J45" s="1013">
        <f>IF(J8="",0,J8)+IF(J11="",0,J11)+IF(J14="",0,J14)+IF(J17="",0,J17)+IF(J20="",0,J20)+IF(J23="",0,J23)+IF(J26="",0,J26)+IF(J29="",0,J29)+IF(J32="",0,J32)+IF(J35="",0,J35)+IF(J38="",0,J38)+IF(J41="",0,J41)</f>
        <v>0</v>
      </c>
      <c r="K45" s="1014"/>
      <c r="L45" s="1019">
        <f>IF(L8="",0,L8)+IF(L11="",0,L11)+IF(L14="",0,L14)+IF(L17="",0,L17)+IF(L20="",0,L20)+IF(L23="",0,L23)+IF(L26="",0,L26)+IF(L29="",0,L29)+IF(L32="",0,L32)+IF(L35="",0,L35)+IF(L38="",0,L38)+IF(L41="",0,L41)</f>
        <v>0</v>
      </c>
      <c r="M45" s="1020"/>
      <c r="O45" s="1013">
        <f>IF(O8="",0,O8)+IF(O11="",0,O11)+IF(O14="",0,O14)+IF(O17="",0,O17)+IF(O20="",0,O20)+IF(O23="",0,O23)+IF(O26="",0,O26)+IF(O29="",0,O29)+IF(O32="",0,O32)+IF(O35="",0,O35)+IF(O38="",0,O38)+IF(O41="",0,O41)</f>
        <v>0</v>
      </c>
      <c r="P45" s="1014"/>
      <c r="Q45" s="1019">
        <f>IF(Q8="",0,Q8)+IF(Q11="",0,Q11)+IF(Q14="",0,Q14)+IF(Q17="",0,Q17)+IF(Q20="",0,Q20)+IF(Q23="",0,Q23)+IF(Q26="",0,Q26)+IF(Q29="",0,Q29)+IF(Q32="",0,Q32)+IF(Q35="",0,Q35)+IF(Q38="",0,Q38)+IF(Q41="",0,Q41)</f>
        <v>0</v>
      </c>
      <c r="R45" s="1020"/>
      <c r="T45" s="1013">
        <f>IF(T8="",0,T8)+IF(T11="",0,T11)+IF(T14="",0,T14)+IF(T17="",0,T17)+IF(T20="",0,T20)+IF(T23="",0,T23)+IF(T26="",0,T26)+IF(T29="",0,T29)+IF(T32="",0,T32)+IF(T35="",0,T35)+IF(T38="",0,T38)+IF(T41="",0,T41)</f>
        <v>0</v>
      </c>
      <c r="U45" s="1014"/>
      <c r="V45" s="1019">
        <f>IF(V8="",0,V8)+IF(V11="",0,V11)+IF(V14="",0,V14)+IF(V17="",0,V17)+IF(V20="",0,V20)+IF(V23="",0,V23)+IF(V26="",0,V26)+IF(V29="",0,V29)+IF(V32="",0,V32)+IF(V35="",0,V35)+IF(V38="",0,V38)+IF(V41="",0,V41)</f>
        <v>0</v>
      </c>
      <c r="W45" s="1020"/>
      <c r="Y45" s="1013">
        <f>IF(Y8="",0,Y8)+IF(Y11="",0,Y11)+IF(Y14="",0,Y14)+IF(Y17="",0,Y17)+IF(Y20="",0,Y20)+IF(Y23="",0,Y23)+IF(Y26="",0,Y26)+IF(Y29="",0,Y29)+IF(Y32="",0,Y32)+IF(Y35="",0,Y35)+IF(Y38="",0,Y38)+IF(Y41="",0,Y41)</f>
        <v>0</v>
      </c>
      <c r="Z45" s="1014"/>
      <c r="AA45" s="1019">
        <f>IF(AA8="",0,AA8)+IF(AA11="",0,AA11)+IF(AA14="",0,AA14)+IF(AA17="",0,AA17)+IF(AA20="",0,AA20)+IF(AA23="",0,AA23)+IF(AA26="",0,AA26)+IF(AA29="",0,AA29)+IF(AA32="",0,AA32)+IF(AA35="",0,AA35)+IF(AA38="",0,AA38)+IF(AA41="",0,AA41)</f>
        <v>0</v>
      </c>
      <c r="AB45" s="1020"/>
      <c r="AD45" s="1013">
        <f>IF(AD8="",0,AD8)+IF(AD11="",0,AD11)+IF(AD14="",0,AD14)+IF(AD17="",0,AD17)+IF(AD20="",0,AD20)+IF(AD23="",0,AD23)+IF(AD26="",0,AD26)+IF(AD29="",0,AD29)+IF(AD32="",0,AD32)+IF(AD35="",0,AD35)+IF(AD38="",0,AD38)+IF(AD41="",0,AD41)</f>
        <v>0</v>
      </c>
      <c r="AE45" s="1014"/>
      <c r="AF45" s="1019">
        <f>IF(AF8="",0,AF8)+IF(AF11="",0,AF11)+IF(AF14="",0,AF14)+IF(AF17="",0,AF17)+IF(AF20="",0,AF20)+IF(AF23="",0,AF23)+IF(AF26="",0,AF26)+IF(AF29="",0,AF29)+IF(AF32="",0,AF32)+IF(AF35="",0,AF35)+IF(AF38="",0,AF38)+IF(AF41="",0,AF41)</f>
        <v>0</v>
      </c>
      <c r="AG45" s="1020"/>
    </row>
    <row r="46" spans="1:33" ht="12" customHeight="1">
      <c r="A46" s="1038"/>
      <c r="B46" s="1038"/>
      <c r="D46" s="602" t="s">
        <v>99</v>
      </c>
      <c r="E46" s="1027">
        <f>E44+E45</f>
        <v>0</v>
      </c>
      <c r="F46" s="1028"/>
      <c r="G46" s="1036">
        <f>G44+G45</f>
        <v>0</v>
      </c>
      <c r="H46" s="1037"/>
      <c r="J46" s="1027">
        <f>J44+J45</f>
        <v>0</v>
      </c>
      <c r="K46" s="1028"/>
      <c r="L46" s="1036">
        <f>L44+L45</f>
        <v>0</v>
      </c>
      <c r="M46" s="1037"/>
      <c r="O46" s="1027">
        <f>O44+O45</f>
        <v>0</v>
      </c>
      <c r="P46" s="1028"/>
      <c r="Q46" s="1036">
        <f>Q44+Q45</f>
        <v>0</v>
      </c>
      <c r="R46" s="1037"/>
      <c r="T46" s="1027">
        <f>T44+T45</f>
        <v>0</v>
      </c>
      <c r="U46" s="1028"/>
      <c r="V46" s="1036">
        <f>V44+V45</f>
        <v>0</v>
      </c>
      <c r="W46" s="1037"/>
      <c r="Y46" s="1027">
        <f>Y44+Y45</f>
        <v>0</v>
      </c>
      <c r="Z46" s="1028"/>
      <c r="AA46" s="1036">
        <f>AA44+AA45</f>
        <v>0</v>
      </c>
      <c r="AB46" s="1037"/>
      <c r="AD46" s="1027">
        <f>AD44+AD45</f>
        <v>0</v>
      </c>
      <c r="AE46" s="1028"/>
      <c r="AF46" s="1036">
        <f>AF44+AF45</f>
        <v>0</v>
      </c>
      <c r="AG46" s="1037"/>
    </row>
    <row r="47" spans="1:33" ht="14.25" customHeight="1"/>
    <row r="48" spans="1:33" ht="14.25" customHeight="1"/>
    <row r="49" ht="14.25" customHeight="1"/>
    <row r="50" ht="14.25" customHeight="1"/>
  </sheetData>
  <mergeCells count="507">
    <mergeCell ref="T45:U45"/>
    <mergeCell ref="AD44:AE44"/>
    <mergeCell ref="AD45:AE45"/>
    <mergeCell ref="AD46:AE46"/>
    <mergeCell ref="A44:B46"/>
    <mergeCell ref="A1:AG1"/>
    <mergeCell ref="A2:AG2"/>
    <mergeCell ref="A7:B7"/>
    <mergeCell ref="A10:B10"/>
    <mergeCell ref="A13:B13"/>
    <mergeCell ref="A16:B16"/>
    <mergeCell ref="A19:B19"/>
    <mergeCell ref="A22:B22"/>
    <mergeCell ref="A25:B25"/>
    <mergeCell ref="A28:B28"/>
    <mergeCell ref="A31:B31"/>
    <mergeCell ref="A34:B34"/>
    <mergeCell ref="A37:B37"/>
    <mergeCell ref="A40:B40"/>
    <mergeCell ref="Y21:Z21"/>
    <mergeCell ref="Y24:Z24"/>
    <mergeCell ref="J8:K8"/>
    <mergeCell ref="J10:K10"/>
    <mergeCell ref="J11:K11"/>
    <mergeCell ref="AF42:AG42"/>
    <mergeCell ref="G44:H44"/>
    <mergeCell ref="G45:H45"/>
    <mergeCell ref="G46:H46"/>
    <mergeCell ref="L44:M44"/>
    <mergeCell ref="L45:M45"/>
    <mergeCell ref="L46:M46"/>
    <mergeCell ref="Q44:R44"/>
    <mergeCell ref="Q45:R45"/>
    <mergeCell ref="Q46:R46"/>
    <mergeCell ref="J45:K45"/>
    <mergeCell ref="O44:P44"/>
    <mergeCell ref="O45:P45"/>
    <mergeCell ref="J44:K44"/>
    <mergeCell ref="V44:W44"/>
    <mergeCell ref="V45:W45"/>
    <mergeCell ref="V46:W46"/>
    <mergeCell ref="AA44:AB44"/>
    <mergeCell ref="AA45:AB45"/>
    <mergeCell ref="AA46:AB46"/>
    <mergeCell ref="AF44:AG44"/>
    <mergeCell ref="AF45:AG45"/>
    <mergeCell ref="AF46:AG46"/>
    <mergeCell ref="Y46:Z46"/>
    <mergeCell ref="AF37:AG37"/>
    <mergeCell ref="AF38:AG38"/>
    <mergeCell ref="AF39:AG39"/>
    <mergeCell ref="G40:H40"/>
    <mergeCell ref="G41:H41"/>
    <mergeCell ref="G42:H42"/>
    <mergeCell ref="L40:M40"/>
    <mergeCell ref="L41:M41"/>
    <mergeCell ref="L42:M42"/>
    <mergeCell ref="Q40:R40"/>
    <mergeCell ref="Q41:R41"/>
    <mergeCell ref="Q42:R42"/>
    <mergeCell ref="O40:P40"/>
    <mergeCell ref="O41:P41"/>
    <mergeCell ref="J40:K40"/>
    <mergeCell ref="J41:K41"/>
    <mergeCell ref="V40:W40"/>
    <mergeCell ref="V41:W41"/>
    <mergeCell ref="V42:W42"/>
    <mergeCell ref="AA40:AB40"/>
    <mergeCell ref="AA41:AB41"/>
    <mergeCell ref="AA42:AB42"/>
    <mergeCell ref="AF40:AG40"/>
    <mergeCell ref="AF41:AG41"/>
    <mergeCell ref="L37:M37"/>
    <mergeCell ref="L38:M38"/>
    <mergeCell ref="L39:M39"/>
    <mergeCell ref="Q37:R37"/>
    <mergeCell ref="Q38:R38"/>
    <mergeCell ref="Q39:R39"/>
    <mergeCell ref="J37:K37"/>
    <mergeCell ref="J38:K38"/>
    <mergeCell ref="V37:W37"/>
    <mergeCell ref="V38:W38"/>
    <mergeCell ref="V39:W39"/>
    <mergeCell ref="AF33:AG33"/>
    <mergeCell ref="G34:H34"/>
    <mergeCell ref="G35:H35"/>
    <mergeCell ref="G36:H36"/>
    <mergeCell ref="L34:M34"/>
    <mergeCell ref="L35:M35"/>
    <mergeCell ref="L36:M36"/>
    <mergeCell ref="Q34:R34"/>
    <mergeCell ref="Q35:R35"/>
    <mergeCell ref="Q36:R36"/>
    <mergeCell ref="V34:W34"/>
    <mergeCell ref="V35:W35"/>
    <mergeCell ref="V36:W36"/>
    <mergeCell ref="AA34:AB34"/>
    <mergeCell ref="AA35:AB35"/>
    <mergeCell ref="AA36:AB36"/>
    <mergeCell ref="AF34:AG34"/>
    <mergeCell ref="AF35:AG35"/>
    <mergeCell ref="AF36:AG36"/>
    <mergeCell ref="G33:H33"/>
    <mergeCell ref="L33:M33"/>
    <mergeCell ref="Q33:R33"/>
    <mergeCell ref="V33:W33"/>
    <mergeCell ref="AA33:AB33"/>
    <mergeCell ref="AF9:AG9"/>
    <mergeCell ref="G10:H10"/>
    <mergeCell ref="G11:H11"/>
    <mergeCell ref="AF15:AG15"/>
    <mergeCell ref="G16:H16"/>
    <mergeCell ref="AF20:AG20"/>
    <mergeCell ref="AF21:AG21"/>
    <mergeCell ref="G31:H31"/>
    <mergeCell ref="G32:H32"/>
    <mergeCell ref="L31:M31"/>
    <mergeCell ref="L32:M32"/>
    <mergeCell ref="Q31:R31"/>
    <mergeCell ref="Q32:R32"/>
    <mergeCell ref="V31:W31"/>
    <mergeCell ref="V32:W32"/>
    <mergeCell ref="AA31:AB31"/>
    <mergeCell ref="AA32:AB32"/>
    <mergeCell ref="AF31:AG31"/>
    <mergeCell ref="AF32:AG32"/>
    <mergeCell ref="V28:W28"/>
    <mergeCell ref="V29:W29"/>
    <mergeCell ref="V30:W30"/>
    <mergeCell ref="AA28:AB28"/>
    <mergeCell ref="AA29:AB29"/>
    <mergeCell ref="AF28:AG28"/>
    <mergeCell ref="AF29:AG29"/>
    <mergeCell ref="AF30:AG30"/>
    <mergeCell ref="G28:H28"/>
    <mergeCell ref="G29:H29"/>
    <mergeCell ref="G30:H30"/>
    <mergeCell ref="L28:M28"/>
    <mergeCell ref="L29:M29"/>
    <mergeCell ref="L30:M30"/>
    <mergeCell ref="Q28:R28"/>
    <mergeCell ref="Q29:R29"/>
    <mergeCell ref="Q30:R30"/>
    <mergeCell ref="T29:U29"/>
    <mergeCell ref="Y30:Z30"/>
    <mergeCell ref="J28:K28"/>
    <mergeCell ref="J29:K29"/>
    <mergeCell ref="O30:P30"/>
    <mergeCell ref="AF24:AG24"/>
    <mergeCell ref="G25:H25"/>
    <mergeCell ref="G26:H26"/>
    <mergeCell ref="G27:H27"/>
    <mergeCell ref="L25:M25"/>
    <mergeCell ref="L26:M26"/>
    <mergeCell ref="L27:M27"/>
    <mergeCell ref="Q25:R25"/>
    <mergeCell ref="Q26:R26"/>
    <mergeCell ref="Q27:R27"/>
    <mergeCell ref="V25:W25"/>
    <mergeCell ref="V26:W26"/>
    <mergeCell ref="V27:W27"/>
    <mergeCell ref="AA25:AB25"/>
    <mergeCell ref="AA26:AB26"/>
    <mergeCell ref="AA27:AB27"/>
    <mergeCell ref="AF25:AG25"/>
    <mergeCell ref="AF26:AG26"/>
    <mergeCell ref="AF27:AG27"/>
    <mergeCell ref="Y27:Z27"/>
    <mergeCell ref="AF16:AG16"/>
    <mergeCell ref="AF17:AG17"/>
    <mergeCell ref="AF18:AG18"/>
    <mergeCell ref="G19:H19"/>
    <mergeCell ref="AA19:AB19"/>
    <mergeCell ref="G22:H22"/>
    <mergeCell ref="G23:H23"/>
    <mergeCell ref="G24:H24"/>
    <mergeCell ref="L22:M22"/>
    <mergeCell ref="L23:M23"/>
    <mergeCell ref="L24:M24"/>
    <mergeCell ref="Q22:R22"/>
    <mergeCell ref="Q23:R23"/>
    <mergeCell ref="Q24:R24"/>
    <mergeCell ref="O22:P22"/>
    <mergeCell ref="O23:P23"/>
    <mergeCell ref="V22:W22"/>
    <mergeCell ref="V23:W23"/>
    <mergeCell ref="V24:W24"/>
    <mergeCell ref="AA22:AB22"/>
    <mergeCell ref="AA23:AB23"/>
    <mergeCell ref="AA24:AB24"/>
    <mergeCell ref="AF22:AG22"/>
    <mergeCell ref="AF23:AG23"/>
    <mergeCell ref="O20:P20"/>
    <mergeCell ref="T20:U20"/>
    <mergeCell ref="J18:K18"/>
    <mergeCell ref="G20:H20"/>
    <mergeCell ref="G21:H21"/>
    <mergeCell ref="L19:M19"/>
    <mergeCell ref="L20:M20"/>
    <mergeCell ref="L21:M21"/>
    <mergeCell ref="Q19:R19"/>
    <mergeCell ref="Q20:R20"/>
    <mergeCell ref="Q21:R21"/>
    <mergeCell ref="G17:H17"/>
    <mergeCell ref="G18:H18"/>
    <mergeCell ref="L16:M16"/>
    <mergeCell ref="L17:M17"/>
    <mergeCell ref="L18:M18"/>
    <mergeCell ref="Q16:R16"/>
    <mergeCell ref="Q17:R17"/>
    <mergeCell ref="Q18:R18"/>
    <mergeCell ref="V16:W16"/>
    <mergeCell ref="V17:W17"/>
    <mergeCell ref="V18:W18"/>
    <mergeCell ref="J16:K16"/>
    <mergeCell ref="J17:K17"/>
    <mergeCell ref="V10:W10"/>
    <mergeCell ref="V11:W11"/>
    <mergeCell ref="O10:P10"/>
    <mergeCell ref="O11:P11"/>
    <mergeCell ref="O13:P13"/>
    <mergeCell ref="O14:P14"/>
    <mergeCell ref="V12:W12"/>
    <mergeCell ref="J15:K15"/>
    <mergeCell ref="G15:H15"/>
    <mergeCell ref="L13:M13"/>
    <mergeCell ref="L14:M14"/>
    <mergeCell ref="L15:M15"/>
    <mergeCell ref="Q13:R13"/>
    <mergeCell ref="Q14:R14"/>
    <mergeCell ref="Q15:R15"/>
    <mergeCell ref="V13:W13"/>
    <mergeCell ref="V14:W14"/>
    <mergeCell ref="V15:W15"/>
    <mergeCell ref="G13:H13"/>
    <mergeCell ref="G14:H14"/>
    <mergeCell ref="J13:K13"/>
    <mergeCell ref="J14:K14"/>
    <mergeCell ref="E5:H5"/>
    <mergeCell ref="J5:M5"/>
    <mergeCell ref="O5:R5"/>
    <mergeCell ref="T5:W5"/>
    <mergeCell ref="Y5:AB5"/>
    <mergeCell ref="J6:K6"/>
    <mergeCell ref="L6:M6"/>
    <mergeCell ref="J7:K7"/>
    <mergeCell ref="E6:F6"/>
    <mergeCell ref="G6:H6"/>
    <mergeCell ref="O6:P6"/>
    <mergeCell ref="Q6:R6"/>
    <mergeCell ref="O7:P7"/>
    <mergeCell ref="T6:U6"/>
    <mergeCell ref="V6:W6"/>
    <mergeCell ref="G7:H7"/>
    <mergeCell ref="L7:M7"/>
    <mergeCell ref="Q7:R7"/>
    <mergeCell ref="Y6:Z6"/>
    <mergeCell ref="AA6:AB6"/>
    <mergeCell ref="Y7:Z7"/>
    <mergeCell ref="E7:F7"/>
    <mergeCell ref="AD41:AE41"/>
    <mergeCell ref="AD42:AE42"/>
    <mergeCell ref="AD32:AE32"/>
    <mergeCell ref="AD33:AE33"/>
    <mergeCell ref="V7:W7"/>
    <mergeCell ref="V8:W8"/>
    <mergeCell ref="V9:W9"/>
    <mergeCell ref="AA7:AB7"/>
    <mergeCell ref="AA8:AB8"/>
    <mergeCell ref="AA9:AB9"/>
    <mergeCell ref="AA15:AB15"/>
    <mergeCell ref="AA10:AB10"/>
    <mergeCell ref="AA11:AB11"/>
    <mergeCell ref="AA12:AB12"/>
    <mergeCell ref="AA13:AB13"/>
    <mergeCell ref="AA14:AB14"/>
    <mergeCell ref="AA20:AB20"/>
    <mergeCell ref="AA21:AB21"/>
    <mergeCell ref="V19:W19"/>
    <mergeCell ref="V20:W20"/>
    <mergeCell ref="V21:W21"/>
    <mergeCell ref="AA16:AB16"/>
    <mergeCell ref="AA17:AB17"/>
    <mergeCell ref="AA18:AB18"/>
    <mergeCell ref="Y8:Z8"/>
    <mergeCell ref="Y10:Z10"/>
    <mergeCell ref="Y11:Z11"/>
    <mergeCell ref="Y13:Z13"/>
    <mergeCell ref="AD40:AE40"/>
    <mergeCell ref="AD28:AE28"/>
    <mergeCell ref="AD31:AE31"/>
    <mergeCell ref="AD34:AE34"/>
    <mergeCell ref="AA30:AB30"/>
    <mergeCell ref="AA37:AB37"/>
    <mergeCell ref="AA38:AB38"/>
    <mergeCell ref="AA39:AB39"/>
    <mergeCell ref="AD35:AE35"/>
    <mergeCell ref="AD36:AE36"/>
    <mergeCell ref="AD38:AE38"/>
    <mergeCell ref="AD39:AE39"/>
    <mergeCell ref="AD23:AE23"/>
    <mergeCell ref="AD24:AE24"/>
    <mergeCell ref="AD26:AE26"/>
    <mergeCell ref="AD27:AE27"/>
    <mergeCell ref="AD29:AE29"/>
    <mergeCell ref="AD30:AE30"/>
    <mergeCell ref="E10:F10"/>
    <mergeCell ref="E13:F13"/>
    <mergeCell ref="E16:F16"/>
    <mergeCell ref="E19:F19"/>
    <mergeCell ref="E22:F22"/>
    <mergeCell ref="Y33:Z33"/>
    <mergeCell ref="Y36:Z36"/>
    <mergeCell ref="Y39:Z39"/>
    <mergeCell ref="Y9:Z9"/>
    <mergeCell ref="Y12:Z12"/>
    <mergeCell ref="Y15:Z15"/>
    <mergeCell ref="Y18:Z18"/>
    <mergeCell ref="J35:K35"/>
    <mergeCell ref="J19:K19"/>
    <mergeCell ref="J20:K20"/>
    <mergeCell ref="J22:K22"/>
    <mergeCell ref="J23:K23"/>
    <mergeCell ref="J25:K25"/>
    <mergeCell ref="J26:K26"/>
    <mergeCell ref="J21:K21"/>
    <mergeCell ref="T14:U14"/>
    <mergeCell ref="T16:U16"/>
    <mergeCell ref="T17:U17"/>
    <mergeCell ref="T19:U19"/>
    <mergeCell ref="O8:P8"/>
    <mergeCell ref="G8:H8"/>
    <mergeCell ref="G9:H9"/>
    <mergeCell ref="L8:M8"/>
    <mergeCell ref="L9:M9"/>
    <mergeCell ref="Q8:R8"/>
    <mergeCell ref="Q9:R9"/>
    <mergeCell ref="G12:H12"/>
    <mergeCell ref="L10:M10"/>
    <mergeCell ref="L11:M11"/>
    <mergeCell ref="L12:M12"/>
    <mergeCell ref="Q10:R10"/>
    <mergeCell ref="Q11:R11"/>
    <mergeCell ref="Q12:R12"/>
    <mergeCell ref="E45:F45"/>
    <mergeCell ref="E26:F26"/>
    <mergeCell ref="E29:F29"/>
    <mergeCell ref="E32:F32"/>
    <mergeCell ref="E35:F35"/>
    <mergeCell ref="E38:F38"/>
    <mergeCell ref="E41:F41"/>
    <mergeCell ref="E8:F8"/>
    <mergeCell ref="E11:F11"/>
    <mergeCell ref="E14:F14"/>
    <mergeCell ref="E17:F17"/>
    <mergeCell ref="E20:F20"/>
    <mergeCell ref="E23:F23"/>
    <mergeCell ref="E25:F25"/>
    <mergeCell ref="E28:F28"/>
    <mergeCell ref="E31:F31"/>
    <mergeCell ref="E30:F30"/>
    <mergeCell ref="E33:F33"/>
    <mergeCell ref="E36:F36"/>
    <mergeCell ref="E39:F39"/>
    <mergeCell ref="E42:F42"/>
    <mergeCell ref="E34:F34"/>
    <mergeCell ref="E37:F37"/>
    <mergeCell ref="E40:F40"/>
    <mergeCell ref="E44:F44"/>
    <mergeCell ref="G37:H37"/>
    <mergeCell ref="G38:H38"/>
    <mergeCell ref="G39:H39"/>
    <mergeCell ref="T7:U7"/>
    <mergeCell ref="T8:U8"/>
    <mergeCell ref="T10:U10"/>
    <mergeCell ref="T11:U11"/>
    <mergeCell ref="T13:U13"/>
    <mergeCell ref="O34:P34"/>
    <mergeCell ref="O35:P35"/>
    <mergeCell ref="O37:P37"/>
    <mergeCell ref="O38:P38"/>
    <mergeCell ref="O25:P25"/>
    <mergeCell ref="O26:P26"/>
    <mergeCell ref="O28:P28"/>
    <mergeCell ref="O29:P29"/>
    <mergeCell ref="O31:P31"/>
    <mergeCell ref="O32:P32"/>
    <mergeCell ref="O16:P16"/>
    <mergeCell ref="O17:P17"/>
    <mergeCell ref="O19:P19"/>
    <mergeCell ref="T31:U31"/>
    <mergeCell ref="T32:U32"/>
    <mergeCell ref="T22:U22"/>
    <mergeCell ref="T23:U23"/>
    <mergeCell ref="Y16:Z16"/>
    <mergeCell ref="Y17:Z17"/>
    <mergeCell ref="Y19:Z19"/>
    <mergeCell ref="Y20:Z20"/>
    <mergeCell ref="Y22:Z22"/>
    <mergeCell ref="Y23:Z23"/>
    <mergeCell ref="T44:U44"/>
    <mergeCell ref="T34:U34"/>
    <mergeCell ref="T35:U35"/>
    <mergeCell ref="T37:U37"/>
    <mergeCell ref="T38:U38"/>
    <mergeCell ref="T40:U40"/>
    <mergeCell ref="T41:U41"/>
    <mergeCell ref="T25:U25"/>
    <mergeCell ref="T26:U26"/>
    <mergeCell ref="T28:U28"/>
    <mergeCell ref="Y42:Z42"/>
    <mergeCell ref="E46:F46"/>
    <mergeCell ref="Y44:Z44"/>
    <mergeCell ref="Y45:Z45"/>
    <mergeCell ref="E9:F9"/>
    <mergeCell ref="E12:F12"/>
    <mergeCell ref="E15:F15"/>
    <mergeCell ref="E18:F18"/>
    <mergeCell ref="E21:F21"/>
    <mergeCell ref="E24:F24"/>
    <mergeCell ref="E27:F27"/>
    <mergeCell ref="Y34:Z34"/>
    <mergeCell ref="Y35:Z35"/>
    <mergeCell ref="Y37:Z37"/>
    <mergeCell ref="Y38:Z38"/>
    <mergeCell ref="Y40:Z40"/>
    <mergeCell ref="Y41:Z41"/>
    <mergeCell ref="Y25:Z25"/>
    <mergeCell ref="Y26:Z26"/>
    <mergeCell ref="Y28:Z28"/>
    <mergeCell ref="Y29:Z29"/>
    <mergeCell ref="Y31:Z31"/>
    <mergeCell ref="Y32:Z32"/>
    <mergeCell ref="Y14:Z14"/>
    <mergeCell ref="J12:K12"/>
    <mergeCell ref="O33:P33"/>
    <mergeCell ref="O36:P36"/>
    <mergeCell ref="O39:P39"/>
    <mergeCell ref="O42:P42"/>
    <mergeCell ref="O46:P46"/>
    <mergeCell ref="J42:K42"/>
    <mergeCell ref="J46:K46"/>
    <mergeCell ref="O9:P9"/>
    <mergeCell ref="O12:P12"/>
    <mergeCell ref="O15:P15"/>
    <mergeCell ref="O18:P18"/>
    <mergeCell ref="O21:P21"/>
    <mergeCell ref="O24:P24"/>
    <mergeCell ref="O27:P27"/>
    <mergeCell ref="J24:K24"/>
    <mergeCell ref="J27:K27"/>
    <mergeCell ref="J30:K30"/>
    <mergeCell ref="J33:K33"/>
    <mergeCell ref="J36:K36"/>
    <mergeCell ref="J39:K39"/>
    <mergeCell ref="J9:K9"/>
    <mergeCell ref="J31:K31"/>
    <mergeCell ref="J32:K32"/>
    <mergeCell ref="J34:K34"/>
    <mergeCell ref="Y4:AB4"/>
    <mergeCell ref="AD6:AE6"/>
    <mergeCell ref="AD7:AE7"/>
    <mergeCell ref="AD10:AE10"/>
    <mergeCell ref="AD13:AE13"/>
    <mergeCell ref="AD16:AE16"/>
    <mergeCell ref="T42:U42"/>
    <mergeCell ref="T46:U46"/>
    <mergeCell ref="E4:H4"/>
    <mergeCell ref="J4:M4"/>
    <mergeCell ref="O4:R4"/>
    <mergeCell ref="T4:W4"/>
    <mergeCell ref="T24:U24"/>
    <mergeCell ref="T27:U27"/>
    <mergeCell ref="T30:U30"/>
    <mergeCell ref="T33:U33"/>
    <mergeCell ref="T36:U36"/>
    <mergeCell ref="T39:U39"/>
    <mergeCell ref="T9:U9"/>
    <mergeCell ref="T12:U12"/>
    <mergeCell ref="T15:U15"/>
    <mergeCell ref="T18:U18"/>
    <mergeCell ref="T21:U21"/>
    <mergeCell ref="AD37:AE37"/>
    <mergeCell ref="AD4:AG4"/>
    <mergeCell ref="AF6:AG6"/>
    <mergeCell ref="AD8:AE8"/>
    <mergeCell ref="AD9:AE9"/>
    <mergeCell ref="AD11:AE11"/>
    <mergeCell ref="AD12:AE12"/>
    <mergeCell ref="AD19:AE19"/>
    <mergeCell ref="AD22:AE22"/>
    <mergeCell ref="AD25:AE25"/>
    <mergeCell ref="AD14:AE14"/>
    <mergeCell ref="AD15:AE15"/>
    <mergeCell ref="AD17:AE17"/>
    <mergeCell ref="AD18:AE18"/>
    <mergeCell ref="AD20:AE20"/>
    <mergeCell ref="AD21:AE21"/>
    <mergeCell ref="AD5:AG5"/>
    <mergeCell ref="AF7:AG7"/>
    <mergeCell ref="AF8:AG8"/>
    <mergeCell ref="AF13:AG13"/>
    <mergeCell ref="AF14:AG14"/>
    <mergeCell ref="AF10:AG10"/>
    <mergeCell ref="AF11:AG11"/>
    <mergeCell ref="AF12:AG12"/>
    <mergeCell ref="AF19:AG19"/>
  </mergeCells>
  <pageMargins left="0.25" right="0.25" top="0.75" bottom="0.75" header="0.3" footer="0.3"/>
  <pageSetup scale="75" orientation="landscape" r:id="rId1"/>
  <ignoredErrors>
    <ignoredError sqref="F8:I8 E43:AG46 F7 H7:I7 F9:I9 AC9 E12:I12 E15:I15 AC13 E18:I18 E21:I21 E24:I24 E27:I27 E30:I30 E33:I33 E36:I36 E39:I39 E42:I42 AC8:AG8 AC11 AC14 AC17 AC20 AC23 AC26 AC29 AC32 AC35 AC38 AC41 AC10 AC12 AC15:AC16 AC18:AC19 AC21:AC22 AC24:AC25 AC27:AC28 AC30:AC31 AC33:AC34 AC36:AC37 AC39:AC40 AB41 X8 S8 N8 AA41 N7 L42:N42 S7 Q42:S42 X7 V42:X42 AA40:AB40 AC7:AG7 AA42:AC42" unlockedFormula="1"/>
    <ignoredError sqref="AD9:AG42 AA38 AA35 AA32 AA29 AA26 AA23 AA20 AA17 AA14 AA11 L9:N9 L12:N12 L15:N15 L18:N18 L21:N21 L24:N24 L27:N27 L30:N30 L33:N33 L36:N36 L39:N39 AB11 AB14 AB17 AB20 AB23 AB26 AB29 AB32 AB35 AB38 Q9:S9 Q12:S12 Q15:S15 Q18:S18 Q21:S21 Q24:S24 Q27:S27 Q30:S30 Q33:S33 Q36:S36 Q39:S39 V9:X9 V12:X12 V15:X15 V18:X18 V21:X21 V24:X24 V27:X27 V30:X30 V33:X33 V36:X36 V39:X39 AA10:AB10 AA9:AB9 AA12:AB12 AA15:AB16 AA13:AB13 AA18:AB19 AA21:AB22 AA24:AB25 AA27:AB28 AA30:AB31 AA33:AB34 AA36:AB37 AA39:AB39" formula="1" unlocked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fitToPage="1"/>
  </sheetPr>
  <dimension ref="A1:AD70"/>
  <sheetViews>
    <sheetView zoomScaleNormal="100" workbookViewId="0">
      <selection activeCell="L17" sqref="L17"/>
    </sheetView>
  </sheetViews>
  <sheetFormatPr defaultRowHeight="15"/>
  <cols>
    <col min="1" max="6" width="9.140625" style="377"/>
    <col min="7" max="7" width="2.85546875" style="361" customWidth="1"/>
    <col min="8" max="8" width="9.42578125" style="324" bestFit="1" customWidth="1"/>
    <col min="9" max="11" width="10.5703125" style="324" customWidth="1"/>
    <col min="12" max="12" width="10.28515625" style="324" bestFit="1" customWidth="1"/>
    <col min="13" max="13" width="10.5703125" style="324" bestFit="1" customWidth="1"/>
    <col min="14" max="14" width="10.5703125" style="324" customWidth="1"/>
    <col min="15" max="15" width="2.7109375" style="361" customWidth="1"/>
    <col min="16" max="16" width="3.5703125" style="324" bestFit="1" customWidth="1"/>
    <col min="17" max="20" width="9.28515625" style="324" customWidth="1"/>
    <col min="21" max="21" width="2.7109375" style="380" customWidth="1"/>
    <col min="22" max="25" width="9.28515625" style="324" customWidth="1"/>
    <col min="26" max="26" width="2.7109375" style="380" customWidth="1"/>
    <col min="27" max="30" width="9.28515625" style="324" customWidth="1"/>
    <col min="31" max="16384" width="9.140625" style="324"/>
  </cols>
  <sheetData>
    <row r="1" spans="1:30" ht="15.75" thickBot="1">
      <c r="A1" s="1047" t="s">
        <v>302</v>
      </c>
      <c r="B1" s="1048"/>
      <c r="C1" s="1048"/>
      <c r="D1" s="1048"/>
      <c r="E1" s="1048"/>
      <c r="F1" s="1049"/>
      <c r="G1" s="323"/>
      <c r="H1" s="1047" t="s">
        <v>303</v>
      </c>
      <c r="I1" s="1048"/>
      <c r="J1" s="1048"/>
      <c r="K1" s="1048"/>
      <c r="L1" s="1048"/>
      <c r="M1" s="1048"/>
      <c r="N1" s="1049"/>
      <c r="O1" s="323"/>
      <c r="Q1" s="1050" t="s">
        <v>304</v>
      </c>
      <c r="R1" s="1051"/>
      <c r="S1" s="1051"/>
      <c r="T1" s="1052"/>
      <c r="U1" s="324"/>
      <c r="V1" s="1050" t="s">
        <v>305</v>
      </c>
      <c r="W1" s="1051"/>
      <c r="X1" s="1051"/>
      <c r="Y1" s="1052"/>
      <c r="Z1" s="324"/>
      <c r="AA1" s="1050" t="s">
        <v>306</v>
      </c>
      <c r="AB1" s="1051"/>
      <c r="AC1" s="1051"/>
      <c r="AD1" s="1052"/>
    </row>
    <row r="2" spans="1:30" ht="15.75" customHeight="1" thickTop="1" thickBot="1">
      <c r="A2" s="1053" t="s">
        <v>307</v>
      </c>
      <c r="B2" s="1054"/>
      <c r="C2" s="1054"/>
      <c r="D2" s="1054"/>
      <c r="E2" s="1054"/>
      <c r="F2" s="1055"/>
      <c r="G2" s="325"/>
      <c r="H2" s="326" t="s">
        <v>308</v>
      </c>
      <c r="I2" s="1062" t="str">
        <f>'BP1'!A11</f>
        <v>Professor McCormick</v>
      </c>
      <c r="J2" s="1062"/>
      <c r="K2" s="1062"/>
      <c r="L2" s="380"/>
      <c r="M2" s="327" t="s">
        <v>309</v>
      </c>
      <c r="N2" s="328">
        <v>3</v>
      </c>
      <c r="O2" s="325"/>
      <c r="P2" s="1063" t="s">
        <v>453</v>
      </c>
      <c r="Q2" s="1066" t="str">
        <f>IF((VLOOKUP($P2,$H$9:$K$13,(MATCH(Q$1,$I$8:$K$8,0))+1))&gt;0,(CONCATENATE((VLOOKUP($P2,$H$9:$K$13,(MATCH(Q$1,$I$8:$K$8,0))+1)),", ",VLOOKUP((VLOOKUP($P2,$H$9:$K$13,(MATCH(Q$1,$I$8:$K$8,0))+1)),$H$17:$M$35,2,FALSE))),"No Trip")</f>
        <v>No Trip</v>
      </c>
      <c r="R2" s="1067"/>
      <c r="S2" s="1067"/>
      <c r="T2" s="1068"/>
      <c r="U2" s="329"/>
      <c r="V2" s="1066" t="str">
        <f>IF((VLOOKUP($P2,$H$9:$K$13,(MATCH(V$1,$I$8:$K$8,0))+1))&gt;0,(CONCATENATE((VLOOKUP($P2,$H$9:$K$13,(MATCH(V$1,$I$8:$K$8,0))+1)),", ",VLOOKUP((VLOOKUP($P2,$H$9:$K$13,(MATCH(V$1,$I$8:$K$8,0))+1)),$H$17:$M$35,2,FALSE))),"No Trip")</f>
        <v>No Trip</v>
      </c>
      <c r="W2" s="1067"/>
      <c r="X2" s="1067"/>
      <c r="Y2" s="1068"/>
      <c r="Z2" s="329"/>
      <c r="AA2" s="1066" t="str">
        <f>IF((VLOOKUP($P2,$H$9:$K$13,(MATCH(AA$1,$I$8:$K$8,0))+1))&gt;0,(CONCATENATE((VLOOKUP($P2,$H$9:$K$13,(MATCH(AA$1,$I$8:$K$8,0))+1)),", ",VLOOKUP((VLOOKUP($P2,$H$9:$K$13,(MATCH(AA$1,$I$8:$K$8,0))+1)),$H$17:$M$35,2,FALSE))),"No Trip")</f>
        <v>No Trip</v>
      </c>
      <c r="AB2" s="1067"/>
      <c r="AC2" s="1067"/>
      <c r="AD2" s="1068"/>
    </row>
    <row r="3" spans="1:30" ht="15.75" customHeight="1" thickTop="1">
      <c r="A3" s="1056"/>
      <c r="B3" s="1057"/>
      <c r="C3" s="1057"/>
      <c r="D3" s="1057"/>
      <c r="E3" s="1057"/>
      <c r="F3" s="1058"/>
      <c r="G3" s="330"/>
      <c r="H3" s="326" t="s">
        <v>207</v>
      </c>
      <c r="I3" s="1062" t="str">
        <f>IF(ISBLANK('BP1'!E9),"",'BP1'!E9)</f>
        <v/>
      </c>
      <c r="J3" s="1062"/>
      <c r="K3" s="1062"/>
      <c r="L3" s="380"/>
      <c r="M3" s="327" t="s">
        <v>310</v>
      </c>
      <c r="N3" s="328">
        <v>2</v>
      </c>
      <c r="O3" s="330"/>
      <c r="P3" s="1064"/>
      <c r="Q3" s="569" t="s">
        <v>309</v>
      </c>
      <c r="R3" s="583">
        <f>IF((VLOOKUP($P2,$H$9:$K$13,(MATCH(Q$1,$I$8:$K$8,0))+1))=0,,VLOOKUP(Q3,$M$2:$N$3,2,0))</f>
        <v>0</v>
      </c>
      <c r="S3" s="581" t="s">
        <v>310</v>
      </c>
      <c r="T3" s="582">
        <f>IF((VLOOKUP($P2,$H$9:$K$13,(MATCH(Q$1,$I$8:$K$8,0))+1))=0,,VLOOKUP(S3,$M$2:$N$3,2,0))</f>
        <v>0</v>
      </c>
      <c r="U3" s="331"/>
      <c r="V3" s="569" t="s">
        <v>309</v>
      </c>
      <c r="W3" s="583">
        <f>IF((VLOOKUP($P2,$H$9:$K$13,(MATCH(V$1,$I$8:$K$8,0))+1))=0,,VLOOKUP(V3,$M$2:$N$3,2,0))</f>
        <v>0</v>
      </c>
      <c r="X3" s="581" t="s">
        <v>310</v>
      </c>
      <c r="Y3" s="582">
        <f>IF((VLOOKUP($P2,$H$9:$K$13,(MATCH(V$1,$I$8:$K$8,0))+1))=0,,VLOOKUP(X3,$M$2:$N$3,2,0))</f>
        <v>0</v>
      </c>
      <c r="Z3" s="331"/>
      <c r="AA3" s="569" t="s">
        <v>309</v>
      </c>
      <c r="AB3" s="583">
        <f>IF((VLOOKUP($P2,$H$9:$K$13,(MATCH(AA$1,$I$8:$K$8,0))+1))=0,,VLOOKUP(AA3,$M$2:$N$3,2,0))</f>
        <v>0</v>
      </c>
      <c r="AC3" s="581" t="s">
        <v>310</v>
      </c>
      <c r="AD3" s="582">
        <f>IF((VLOOKUP($P2,$H$9:$K$13,(MATCH(AA$1,$I$8:$K$8,0))+1))=0,,VLOOKUP(AC3,$M$2:$N$3,2,0))</f>
        <v>0</v>
      </c>
    </row>
    <row r="4" spans="1:30" ht="15" customHeight="1" thickBot="1">
      <c r="A4" s="1059"/>
      <c r="B4" s="1060"/>
      <c r="C4" s="1060"/>
      <c r="D4" s="1060"/>
      <c r="E4" s="1060"/>
      <c r="F4" s="1061"/>
      <c r="G4" s="330"/>
      <c r="H4" s="326" t="s">
        <v>328</v>
      </c>
      <c r="I4" s="1108" t="str">
        <f>'BP1'!A1</f>
        <v>Title</v>
      </c>
      <c r="J4" s="1108"/>
      <c r="K4" s="1108"/>
      <c r="L4" s="1108"/>
      <c r="M4" s="327" t="s">
        <v>329</v>
      </c>
      <c r="N4" s="383">
        <v>0</v>
      </c>
      <c r="O4" s="330"/>
      <c r="P4" s="1064"/>
      <c r="Q4" s="1084" t="s">
        <v>311</v>
      </c>
      <c r="R4" s="1085"/>
      <c r="S4" s="1085"/>
      <c r="T4" s="577" t="s">
        <v>99</v>
      </c>
      <c r="U4" s="331"/>
      <c r="V4" s="1084" t="s">
        <v>311</v>
      </c>
      <c r="W4" s="1085"/>
      <c r="X4" s="1085"/>
      <c r="Y4" s="577" t="s">
        <v>99</v>
      </c>
      <c r="Z4" s="331"/>
      <c r="AA4" s="1084" t="s">
        <v>311</v>
      </c>
      <c r="AB4" s="1085"/>
      <c r="AC4" s="1085"/>
      <c r="AD4" s="577" t="s">
        <v>99</v>
      </c>
    </row>
    <row r="5" spans="1:30" ht="15" customHeight="1" thickTop="1" thickBot="1">
      <c r="A5" s="333"/>
      <c r="B5" s="333"/>
      <c r="C5" s="333"/>
      <c r="D5" s="333"/>
      <c r="E5" s="333"/>
      <c r="F5" s="333"/>
      <c r="G5" s="330"/>
      <c r="H5" s="332"/>
      <c r="I5" s="1109"/>
      <c r="J5" s="1109"/>
      <c r="K5" s="1109"/>
      <c r="L5" s="1109"/>
      <c r="M5" s="572"/>
      <c r="N5" s="382"/>
      <c r="O5" s="330"/>
      <c r="P5" s="1064"/>
      <c r="Q5" s="1072" t="s">
        <v>215</v>
      </c>
      <c r="R5" s="1073"/>
      <c r="S5" s="573">
        <f>IF((VLOOKUP($P2,$H$9:$K$13,(MATCH(Q$1,$I$8:$K$8,0))+1))=0,,VLOOKUP((VLOOKUP($P2,$H$9:$K$13,(MATCH(Q$1,$I$8:$K$8,0))+1)),$H$17:$N$35,6,FALSE))</f>
        <v>0</v>
      </c>
      <c r="T5" s="339">
        <f>S5*T3</f>
        <v>0</v>
      </c>
      <c r="U5" s="334"/>
      <c r="V5" s="1074" t="s">
        <v>215</v>
      </c>
      <c r="W5" s="1075"/>
      <c r="X5" s="575">
        <f>IF((VLOOKUP($P2,$H$9:$K$13,(MATCH(V$1,$I$8:$K$8,0))+1))=0,,VLOOKUP((VLOOKUP($P2,$H$9:$K$13,(MATCH(V$1,$I$8:$K$8,0))+1)),$H$17:$N$35,6,FALSE))</f>
        <v>0</v>
      </c>
      <c r="Y5" s="340">
        <f>X5*Y3</f>
        <v>0</v>
      </c>
      <c r="Z5" s="334"/>
      <c r="AA5" s="1072" t="s">
        <v>215</v>
      </c>
      <c r="AB5" s="1073"/>
      <c r="AC5" s="573">
        <f>IF((VLOOKUP($P2,$H$9:$K$13,(MATCH(AA$1,$I$8:$K$8,0))+1))=0,,VLOOKUP((VLOOKUP($P2,$H$9:$K$13,(MATCH(AA$1,$I$8:$K$8,0))+1)),$H$17:$N$35,6,FALSE))</f>
        <v>0</v>
      </c>
      <c r="AD5" s="339">
        <f>AC5*AD3</f>
        <v>0</v>
      </c>
    </row>
    <row r="6" spans="1:30" ht="15.75" customHeight="1" thickBot="1">
      <c r="A6" s="1069" t="s">
        <v>429</v>
      </c>
      <c r="B6" s="1070"/>
      <c r="C6" s="1070"/>
      <c r="D6" s="1070"/>
      <c r="E6" s="1070"/>
      <c r="F6" s="1071"/>
      <c r="G6" s="323"/>
      <c r="O6" s="323"/>
      <c r="P6" s="1064"/>
      <c r="Q6" s="1076" t="s">
        <v>571</v>
      </c>
      <c r="R6" s="1077"/>
      <c r="S6" s="578">
        <f>IF((VLOOKUP($P2,$H$9:$K$13,(MATCH(Q$1,$I$8:$K$8,0))+1))=0,,VLOOKUP((VLOOKUP($P2,$H$9:$K$13,(MATCH(Q$1,$I$8:$K$8,0))+1)),$H$17:$N$35,7,FALSE))</f>
        <v>0</v>
      </c>
      <c r="T6" s="579">
        <f>S6*T3</f>
        <v>0</v>
      </c>
      <c r="U6" s="335"/>
      <c r="V6" s="1086" t="s">
        <v>571</v>
      </c>
      <c r="W6" s="1087"/>
      <c r="X6" s="584">
        <f>IF((VLOOKUP($P2,$H$9:$K$13,(MATCH(V$1,$I$8:$K$8,0))+1))=0,,VLOOKUP((VLOOKUP($P2,$H$9:$K$13,(MATCH(V$1,$I$8:$K$8,0))+1)),$H$17:$N$35,7,FALSE))</f>
        <v>0</v>
      </c>
      <c r="Y6" s="585">
        <f>X6*Y3</f>
        <v>0</v>
      </c>
      <c r="Z6" s="335"/>
      <c r="AA6" s="1076" t="s">
        <v>571</v>
      </c>
      <c r="AB6" s="1077"/>
      <c r="AC6" s="578">
        <f>IF((VLOOKUP($P2,$H$9:$K$13,(MATCH(AA$1,$I$8:$K$8,0))+1))=0,,VLOOKUP((VLOOKUP($P2,$H$9:$K$13,(MATCH(AA$1,$I$8:$K$8,0))+1)),$H$17:$N$35,7,FALSE))</f>
        <v>0</v>
      </c>
      <c r="AD6" s="579">
        <f>AC6*AD3</f>
        <v>0</v>
      </c>
    </row>
    <row r="7" spans="1:30" ht="16.5" customHeight="1" thickBot="1">
      <c r="A7" s="1056"/>
      <c r="B7" s="1057"/>
      <c r="C7" s="1057"/>
      <c r="D7" s="1057"/>
      <c r="E7" s="1057"/>
      <c r="F7" s="1058"/>
      <c r="G7" s="336"/>
      <c r="H7" s="1047" t="s">
        <v>312</v>
      </c>
      <c r="I7" s="1048"/>
      <c r="J7" s="1048"/>
      <c r="K7" s="1048"/>
      <c r="L7" s="1048"/>
      <c r="M7" s="1048"/>
      <c r="N7" s="1049"/>
      <c r="O7" s="336"/>
      <c r="P7" s="1064"/>
      <c r="Q7" s="1078" t="s">
        <v>315</v>
      </c>
      <c r="R7" s="1079"/>
      <c r="S7" s="573">
        <f>IF((VLOOKUP($P2,$H$9:$K$13,(MATCH(Q$1,$I$8:$K$8,0))+1))=0,,VLOOKUP((VLOOKUP($P2,$H$9:$K$13,(MATCH(Q$1,$I$8:$K$8,0))+1)),$H$16:$N$35,4,FALSE))</f>
        <v>0</v>
      </c>
      <c r="T7" s="339">
        <f>S7*T3*(R3-1)</f>
        <v>0</v>
      </c>
      <c r="U7" s="336"/>
      <c r="V7" s="1090" t="s">
        <v>315</v>
      </c>
      <c r="W7" s="1091"/>
      <c r="X7" s="575">
        <f>IF((VLOOKUP($P2,$H$9:$K$13,(MATCH(V$1,$I$8:$K$8,0))+1))=0,,VLOOKUP((VLOOKUP($P2,$H$9:$K$13,(MATCH(V$1,$I$8:$K$8,0))+1)),$H$16:$N$35,4,FALSE))</f>
        <v>0</v>
      </c>
      <c r="Y7" s="340">
        <f>X7*Y3*(W3-1)</f>
        <v>0</v>
      </c>
      <c r="Z7" s="336"/>
      <c r="AA7" s="1078" t="s">
        <v>315</v>
      </c>
      <c r="AB7" s="1079"/>
      <c r="AC7" s="573">
        <f>IF((VLOOKUP($P2,$H$9:$K$13,(MATCH(AA$1,$I$8:$K$8,0))+1))=0,,VLOOKUP((VLOOKUP($P2,$H$9:$K$13,(MATCH(AA$1,$I$8:$K$8,0))+1)),$H$16:$N$35,4,FALSE))</f>
        <v>0</v>
      </c>
      <c r="AD7" s="339">
        <f>AC7*AD3*(AB3-1)</f>
        <v>0</v>
      </c>
    </row>
    <row r="8" spans="1:30" ht="16.5" thickTop="1" thickBot="1">
      <c r="A8" s="1056"/>
      <c r="B8" s="1057"/>
      <c r="C8" s="1057"/>
      <c r="D8" s="1057"/>
      <c r="E8" s="1057"/>
      <c r="F8" s="1058"/>
      <c r="G8" s="330"/>
      <c r="H8" s="570"/>
      <c r="I8" s="337" t="s">
        <v>304</v>
      </c>
      <c r="J8" s="337" t="s">
        <v>305</v>
      </c>
      <c r="K8" s="337" t="s">
        <v>306</v>
      </c>
      <c r="L8" s="337" t="s">
        <v>313</v>
      </c>
      <c r="M8" s="338" t="s">
        <v>314</v>
      </c>
      <c r="N8" s="338" t="s">
        <v>99</v>
      </c>
      <c r="O8" s="330"/>
      <c r="P8" s="1064"/>
      <c r="Q8" s="1080" t="s">
        <v>316</v>
      </c>
      <c r="R8" s="1081"/>
      <c r="S8" s="574">
        <f>IF((VLOOKUP($P2,$H$9:$K$13,(MATCH(Q$1,$I$8:$K$8,0))+1))=0,,VLOOKUP((VLOOKUP($P2,$H$9:$K$13,(MATCH(Q$1,$I$8:$K$8,0))+1)),$H$16:$N$35,5,FALSE))</f>
        <v>0</v>
      </c>
      <c r="T8" s="345">
        <f>S8*(R3-(2*0.25))*T3</f>
        <v>0</v>
      </c>
      <c r="U8" s="335"/>
      <c r="V8" s="1088" t="s">
        <v>316</v>
      </c>
      <c r="W8" s="1089"/>
      <c r="X8" s="576">
        <f>IF((VLOOKUP($P2,$H$9:$K$13,(MATCH(V$1,$I$8:$K$8,0))+1))=0,,VLOOKUP((VLOOKUP($P2,$H$9:$K$13,(MATCH(V$1,$I$8:$K$8,0))+1)),$H$16:$N$35,5,FALSE))</f>
        <v>0</v>
      </c>
      <c r="Y8" s="346">
        <f>X8*(W3-(2*0.25))*Y3</f>
        <v>0</v>
      </c>
      <c r="Z8" s="335"/>
      <c r="AA8" s="1080" t="s">
        <v>316</v>
      </c>
      <c r="AB8" s="1081"/>
      <c r="AC8" s="574">
        <f>IF((VLOOKUP($P2,$H$9:$K$13,(MATCH(AA$1,$I$8:$K$8,0))+1))=0,,VLOOKUP((VLOOKUP($P2,$H$9:$K$13,(MATCH(AA$1,$I$8:$K$8,0))+1)),$H$16:$N$35,5,FALSE))</f>
        <v>0</v>
      </c>
      <c r="AD8" s="345">
        <f>AC8*(AB3-(2*0.25))*AD3</f>
        <v>0</v>
      </c>
    </row>
    <row r="9" spans="1:30" ht="15.75" customHeight="1" thickTop="1" thickBot="1">
      <c r="A9" s="1056"/>
      <c r="B9" s="1057"/>
      <c r="C9" s="1057"/>
      <c r="D9" s="1057"/>
      <c r="E9" s="1057"/>
      <c r="F9" s="1058"/>
      <c r="G9" s="330"/>
      <c r="H9" s="341" t="s">
        <v>453</v>
      </c>
      <c r="I9" s="342"/>
      <c r="J9" s="342"/>
      <c r="K9" s="342"/>
      <c r="L9" s="343">
        <f>(IF(Q9=L$8,T9,))+(IF(V9=L$8,Y9,))+(IF(AA9=L$8,AD9,))</f>
        <v>0</v>
      </c>
      <c r="M9" s="344">
        <f>(IF(Q9=M$8,T9,))+(IF(V9=M$8,Y9,))+(IF(AA9=M$8,AD9,))</f>
        <v>0</v>
      </c>
      <c r="N9" s="344">
        <f>L9+M9</f>
        <v>0</v>
      </c>
      <c r="O9" s="330"/>
      <c r="P9" s="1065"/>
      <c r="Q9" s="1082" t="str">
        <f>IF((VLOOKUP($P2,$H$9:$K$13,(MATCH(Q$1,$I$8:$K$8,0))+1))=0,"",VLOOKUP((VLOOKUP($P2,$H$9:$K$13,(MATCH(Q$1,$I$8:$K$8,0))+1)),$H$17:$M$35,3,FALSE))</f>
        <v/>
      </c>
      <c r="R9" s="1083"/>
      <c r="S9" s="580" t="s">
        <v>572</v>
      </c>
      <c r="T9" s="351">
        <f>SUM(T5:T8)</f>
        <v>0</v>
      </c>
      <c r="U9" s="352"/>
      <c r="V9" s="1082" t="str">
        <f>IF((VLOOKUP($P2,$H$9:$K$13,(MATCH(V$1,$I$8:$K$8,0))+1))=0,"",VLOOKUP((VLOOKUP($P2,$H$9:$K$13,(MATCH(V$1,$I$8:$K$8,0))+1)),$H$17:$M$35,3,FALSE))</f>
        <v/>
      </c>
      <c r="W9" s="1083"/>
      <c r="X9" s="580" t="s">
        <v>572</v>
      </c>
      <c r="Y9" s="351">
        <f>SUM(Y5:Y8)</f>
        <v>0</v>
      </c>
      <c r="Z9" s="352"/>
      <c r="AA9" s="1082" t="str">
        <f>IF((VLOOKUP($P2,$H$9:$K$13,(MATCH(AA$1,$I$8:$K$8,0))+1))=0,"",VLOOKUP((VLOOKUP($P2,$H$9:$K$13,(MATCH(AA$1,$I$8:$K$8,0))+1)),$H$17:$M$35,3,FALSE))</f>
        <v/>
      </c>
      <c r="AB9" s="1083"/>
      <c r="AC9" s="580" t="s">
        <v>572</v>
      </c>
      <c r="AD9" s="351">
        <f>SUM(AD5:AD8)</f>
        <v>0</v>
      </c>
    </row>
    <row r="10" spans="1:30" ht="15.75" customHeight="1" thickBot="1">
      <c r="A10" s="1056"/>
      <c r="B10" s="1057"/>
      <c r="C10" s="1057"/>
      <c r="D10" s="1057"/>
      <c r="E10" s="1057"/>
      <c r="F10" s="1058"/>
      <c r="G10" s="323"/>
      <c r="H10" s="347" t="s">
        <v>454</v>
      </c>
      <c r="I10" s="348"/>
      <c r="J10" s="348"/>
      <c r="K10" s="348"/>
      <c r="L10" s="349">
        <f>(IF(Q17=L$8,T17,))+(IF(V17=L$8,Y17,))+(IF(AA17=L$8,AD17,))</f>
        <v>0</v>
      </c>
      <c r="M10" s="350">
        <f>(IF(Q17=M$8,T17,))+(IF(V17=M$8,Y17,))+(IF(AA17=M$8,AD17,))</f>
        <v>0</v>
      </c>
      <c r="N10" s="350">
        <f>L10+M10</f>
        <v>0</v>
      </c>
      <c r="O10" s="323"/>
      <c r="P10" s="1063" t="s">
        <v>454</v>
      </c>
      <c r="Q10" s="1066" t="str">
        <f>IF((VLOOKUP($P10,$H$9:$K$13,(MATCH(Q$1,$I$8:$K$8,0))+1))&gt;0,(CONCATENATE((VLOOKUP($P10,$H$9:$K$13,(MATCH(Q$1,$I$8:$K$8,0))+1)),", ",VLOOKUP((VLOOKUP($P10,$H$9:$K$13,(MATCH(Q$1,$I$8:$K$8,0))+1)),$H$17:$M$35,2,FALSE))),"No Trip")</f>
        <v>No Trip</v>
      </c>
      <c r="R10" s="1067"/>
      <c r="S10" s="1067"/>
      <c r="T10" s="1068"/>
      <c r="U10" s="329"/>
      <c r="V10" s="1066" t="str">
        <f>IF((VLOOKUP($P10,$H$9:$K$13,(MATCH(V$1,$I$8:$K$8,0))+1))&gt;0,(CONCATENATE((VLOOKUP($P10,$H$9:$K$13,(MATCH(V$1,$I$8:$K$8,0))+1)),", ",VLOOKUP((VLOOKUP($P10,$H$9:$K$13,(MATCH(V$1,$I$8:$K$8,0))+1)),$H$17:$M$35,2,FALSE))),"No Trip")</f>
        <v>No Trip</v>
      </c>
      <c r="W10" s="1067"/>
      <c r="X10" s="1067"/>
      <c r="Y10" s="1068"/>
      <c r="Z10" s="329"/>
      <c r="AA10" s="1066" t="str">
        <f>IF((VLOOKUP($P10,$H$9:$K$13,(MATCH(AA$1,$I$8:$K$8,0))+1))&gt;0,(CONCATENATE((VLOOKUP($P10,$H$9:$K$13,(MATCH(AA$1,$I$8:$K$8,0))+1)),", ",VLOOKUP((VLOOKUP($P10,$H$9:$K$13,(MATCH(AA$1,$I$8:$K$8,0))+1)),$H$17:$M$35,2,FALSE))),"No Trip")</f>
        <v>No Trip</v>
      </c>
      <c r="AB10" s="1067"/>
      <c r="AC10" s="1067"/>
      <c r="AD10" s="1068"/>
    </row>
    <row r="11" spans="1:30" ht="15.75" thickTop="1">
      <c r="A11" s="1056"/>
      <c r="B11" s="1057"/>
      <c r="C11" s="1057"/>
      <c r="D11" s="1057"/>
      <c r="E11" s="1057"/>
      <c r="F11" s="1058"/>
      <c r="G11" s="336"/>
      <c r="H11" s="341" t="s">
        <v>455</v>
      </c>
      <c r="I11" s="342"/>
      <c r="J11" s="342"/>
      <c r="K11" s="342"/>
      <c r="L11" s="343">
        <f>(IF(Q25=L$8,T25,))+(IF(V25=L$8,Y25,))+(IF(AA25=L$8,AD25,))</f>
        <v>0</v>
      </c>
      <c r="M11" s="344">
        <f>(IF(Q25=M$8,T25,))+(IF(V25=M$8,Y25,))+(IF(AA25=M$8,AD25,))</f>
        <v>0</v>
      </c>
      <c r="N11" s="344">
        <f>L11+M11</f>
        <v>0</v>
      </c>
      <c r="O11" s="336"/>
      <c r="P11" s="1064"/>
      <c r="Q11" s="569" t="s">
        <v>309</v>
      </c>
      <c r="R11" s="583">
        <f>IF((VLOOKUP($P10,$H$9:$K$13,(MATCH(Q$1,$I$8:$K$8,0))+1))=0,,VLOOKUP(Q11,$M$2:$N$3,2,0))</f>
        <v>0</v>
      </c>
      <c r="S11" s="581" t="s">
        <v>310</v>
      </c>
      <c r="T11" s="582">
        <f>IF((VLOOKUP($P10,$H$9:$K$13,(MATCH(Q$1,$I$8:$K$8,0))+1))=0,,VLOOKUP(S11,$M$2:$N$3,2,0))</f>
        <v>0</v>
      </c>
      <c r="U11" s="331"/>
      <c r="V11" s="569" t="s">
        <v>309</v>
      </c>
      <c r="W11" s="583">
        <f>IF((VLOOKUP($P10,$H$9:$K$13,(MATCH(V$1,$I$8:$K$8,0))+1))=0,,VLOOKUP(V11,$M$2:$N$3,2,0))</f>
        <v>0</v>
      </c>
      <c r="X11" s="581" t="s">
        <v>310</v>
      </c>
      <c r="Y11" s="582">
        <f>IF((VLOOKUP($P10,$H$9:$K$13,(MATCH(V$1,$I$8:$K$8,0))+1))=0,,VLOOKUP(X11,$M$2:$N$3,2,0))</f>
        <v>0</v>
      </c>
      <c r="Z11" s="331"/>
      <c r="AA11" s="569" t="s">
        <v>309</v>
      </c>
      <c r="AB11" s="583">
        <f>IF((VLOOKUP($P10,$H$9:$K$13,(MATCH(AA$1,$I$8:$K$8,0))+1))=0,,VLOOKUP(AA11,$M$2:$N$3,2,0))</f>
        <v>0</v>
      </c>
      <c r="AC11" s="581" t="s">
        <v>310</v>
      </c>
      <c r="AD11" s="582">
        <f>IF((VLOOKUP($P10,$H$9:$K$13,(MATCH(AA$1,$I$8:$K$8,0))+1))=0,,VLOOKUP(AC11,$M$2:$N$3,2,0))</f>
        <v>0</v>
      </c>
    </row>
    <row r="12" spans="1:30" ht="15.75" customHeight="1" thickBot="1">
      <c r="A12" s="1056"/>
      <c r="B12" s="1057"/>
      <c r="C12" s="1057"/>
      <c r="D12" s="1057"/>
      <c r="E12" s="1057"/>
      <c r="F12" s="1058"/>
      <c r="G12" s="336"/>
      <c r="H12" s="347" t="s">
        <v>456</v>
      </c>
      <c r="I12" s="348"/>
      <c r="J12" s="348"/>
      <c r="K12" s="348"/>
      <c r="L12" s="349">
        <f>(IF(Q33=L$8,T33,))+(IF(V33=L$8,Y33,))+(IF(AA33=L$8,AD33,))</f>
        <v>0</v>
      </c>
      <c r="M12" s="350">
        <f>(IF(Q33=M$8,T33,))+(IF(V33=M$8,Y33,))+(IF(AA33=M$8,AD33,))</f>
        <v>0</v>
      </c>
      <c r="N12" s="350">
        <f>L12+M12</f>
        <v>0</v>
      </c>
      <c r="O12" s="336"/>
      <c r="P12" s="1064"/>
      <c r="Q12" s="1084" t="s">
        <v>311</v>
      </c>
      <c r="R12" s="1085"/>
      <c r="S12" s="1085"/>
      <c r="T12" s="577" t="s">
        <v>99</v>
      </c>
      <c r="U12" s="331"/>
      <c r="V12" s="1084" t="s">
        <v>311</v>
      </c>
      <c r="W12" s="1085"/>
      <c r="X12" s="1085"/>
      <c r="Y12" s="577" t="s">
        <v>99</v>
      </c>
      <c r="Z12" s="331"/>
      <c r="AA12" s="1084" t="s">
        <v>311</v>
      </c>
      <c r="AB12" s="1085"/>
      <c r="AC12" s="1085"/>
      <c r="AD12" s="577" t="s">
        <v>99</v>
      </c>
    </row>
    <row r="13" spans="1:30" ht="15.75" customHeight="1" thickTop="1" thickBot="1">
      <c r="A13" s="1059"/>
      <c r="B13" s="1060"/>
      <c r="C13" s="1060"/>
      <c r="D13" s="1060"/>
      <c r="E13" s="1060"/>
      <c r="F13" s="1061"/>
      <c r="G13" s="325"/>
      <c r="H13" s="353" t="s">
        <v>457</v>
      </c>
      <c r="I13" s="539"/>
      <c r="J13" s="539"/>
      <c r="K13" s="539"/>
      <c r="L13" s="354">
        <f>(IF(Q41=L$8,T41,))+(IF(V41=L$8,Y41,))+(IF(AA41=L$8,AD41,))</f>
        <v>0</v>
      </c>
      <c r="M13" s="355">
        <f>(IF(Q41=M$8,T41,))+(IF(V41=M$8,Y41,))+(IF(AA41=M$8,AD41,))</f>
        <v>0</v>
      </c>
      <c r="N13" s="355">
        <f>L13+M13</f>
        <v>0</v>
      </c>
      <c r="O13" s="325"/>
      <c r="P13" s="1064"/>
      <c r="Q13" s="1072" t="s">
        <v>215</v>
      </c>
      <c r="R13" s="1073"/>
      <c r="S13" s="573">
        <f>IF((VLOOKUP($P10,$H$9:$K$13,(MATCH(Q$1,$I$8:$K$8,0))+1))=0,,VLOOKUP((VLOOKUP($P10,$H$9:$K$13,(MATCH(Q$1,$I$8:$K$8,0))+1)),$H$17:$N$35,6,FALSE))</f>
        <v>0</v>
      </c>
      <c r="T13" s="339">
        <f>S13*T11</f>
        <v>0</v>
      </c>
      <c r="U13" s="334"/>
      <c r="V13" s="1074" t="s">
        <v>215</v>
      </c>
      <c r="W13" s="1075"/>
      <c r="X13" s="575">
        <f>IF((VLOOKUP($P10,$H$9:$K$13,(MATCH(V$1,$I$8:$K$8,0))+1))=0,,VLOOKUP((VLOOKUP($P10,$H$9:$K$13,(MATCH(V$1,$I$8:$K$8,0))+1)),$H$17:$N$35,6,FALSE))</f>
        <v>0</v>
      </c>
      <c r="Y13" s="340">
        <f>X13*Y11</f>
        <v>0</v>
      </c>
      <c r="Z13" s="334"/>
      <c r="AA13" s="1072" t="s">
        <v>215</v>
      </c>
      <c r="AB13" s="1073"/>
      <c r="AC13" s="573">
        <f>IF((VLOOKUP($P10,$H$9:$K$13,(MATCH(AA$1,$I$8:$K$8,0))+1))=0,,VLOOKUP((VLOOKUP($P10,$H$9:$K$13,(MATCH(AA$1,$I$8:$K$8,0))+1)),$H$17:$N$35,6,FALSE))</f>
        <v>0</v>
      </c>
      <c r="AD13" s="339">
        <f>AC13*AD11</f>
        <v>0</v>
      </c>
    </row>
    <row r="14" spans="1:30" ht="15.75" thickBot="1">
      <c r="A14" s="333"/>
      <c r="B14" s="333"/>
      <c r="C14" s="333"/>
      <c r="D14" s="333"/>
      <c r="E14" s="333"/>
      <c r="F14" s="333"/>
      <c r="G14" s="330"/>
      <c r="H14" s="356" t="s">
        <v>317</v>
      </c>
      <c r="I14" s="357"/>
      <c r="J14" s="357"/>
      <c r="K14" s="358"/>
      <c r="L14" s="359">
        <f>SUM(L9:L13)</f>
        <v>0</v>
      </c>
      <c r="M14" s="360">
        <f>SUM(M9:M13)</f>
        <v>0</v>
      </c>
      <c r="N14" s="360">
        <f>SUM(N9:N13)</f>
        <v>0</v>
      </c>
      <c r="O14" s="330"/>
      <c r="P14" s="1064"/>
      <c r="Q14" s="1076" t="s">
        <v>571</v>
      </c>
      <c r="R14" s="1077"/>
      <c r="S14" s="578">
        <f>IF((VLOOKUP($P10,$H$9:$K$13,(MATCH(Q$1,$I$8:$K$8,0))+1))=0,,VLOOKUP((VLOOKUP($P10,$H$9:$K$13,(MATCH(Q$1,$I$8:$K$8,0))+1)),$H$17:$N$35,7,FALSE))</f>
        <v>0</v>
      </c>
      <c r="T14" s="579">
        <f>S14*T11</f>
        <v>0</v>
      </c>
      <c r="U14" s="335"/>
      <c r="V14" s="1086" t="s">
        <v>571</v>
      </c>
      <c r="W14" s="1087"/>
      <c r="X14" s="584">
        <f>IF((VLOOKUP($P10,$H$9:$K$13,(MATCH(V$1,$I$8:$K$8,0))+1))=0,,VLOOKUP((VLOOKUP($P10,$H$9:$K$13,(MATCH(V$1,$I$8:$K$8,0))+1)),$H$17:$N$35,7,FALSE))</f>
        <v>0</v>
      </c>
      <c r="Y14" s="585">
        <f>X14*Y11</f>
        <v>0</v>
      </c>
      <c r="Z14" s="335"/>
      <c r="AA14" s="1076" t="s">
        <v>571</v>
      </c>
      <c r="AB14" s="1077"/>
      <c r="AC14" s="578">
        <f>IF((VLOOKUP($P10,$H$9:$K$13,(MATCH(AA$1,$I$8:$K$8,0))+1))=0,,VLOOKUP((VLOOKUP($P10,$H$9:$K$13,(MATCH(AA$1,$I$8:$K$8,0))+1)),$H$17:$N$35,7,FALSE))</f>
        <v>0</v>
      </c>
      <c r="AD14" s="579">
        <f>AC14*AD11</f>
        <v>0</v>
      </c>
    </row>
    <row r="15" spans="1:30" ht="15.75" customHeight="1" thickBot="1">
      <c r="A15" s="1104" t="s">
        <v>318</v>
      </c>
      <c r="B15" s="1070"/>
      <c r="C15" s="1070"/>
      <c r="D15" s="1070"/>
      <c r="E15" s="1070"/>
      <c r="F15" s="1071"/>
      <c r="P15" s="1064"/>
      <c r="Q15" s="1078" t="s">
        <v>315</v>
      </c>
      <c r="R15" s="1079"/>
      <c r="S15" s="573">
        <f>IF((VLOOKUP($P10,$H$9:$K$13,(MATCH(Q$1,$I$8:$K$8,0))+1))=0,,VLOOKUP((VLOOKUP($P10,$H$9:$K$13,(MATCH(Q$1,$I$8:$K$8,0))+1)),$H$16:$N$35,4,FALSE))</f>
        <v>0</v>
      </c>
      <c r="T15" s="339">
        <f>S15*T11*(R11-1)</f>
        <v>0</v>
      </c>
      <c r="U15" s="336"/>
      <c r="V15" s="1090" t="s">
        <v>315</v>
      </c>
      <c r="W15" s="1091"/>
      <c r="X15" s="575">
        <f>IF((VLOOKUP($P10,$H$9:$K$13,(MATCH(V$1,$I$8:$K$8,0))+1))=0,,VLOOKUP((VLOOKUP($P10,$H$9:$K$13,(MATCH(V$1,$I$8:$K$8,0))+1)),$H$16:$N$35,4,FALSE))</f>
        <v>0</v>
      </c>
      <c r="Y15" s="340">
        <f>X15*Y11*(W11-1)</f>
        <v>0</v>
      </c>
      <c r="Z15" s="336"/>
      <c r="AA15" s="1078" t="s">
        <v>315</v>
      </c>
      <c r="AB15" s="1079"/>
      <c r="AC15" s="573">
        <f>IF((VLOOKUP($P10,$H$9:$K$13,(MATCH(AA$1,$I$8:$K$8,0))+1))=0,,VLOOKUP((VLOOKUP($P10,$H$9:$K$13,(MATCH(AA$1,$I$8:$K$8,0))+1)),$H$16:$N$35,4,FALSE))</f>
        <v>0</v>
      </c>
      <c r="AD15" s="339">
        <f>AC15*AD11*(AB11-1)</f>
        <v>0</v>
      </c>
    </row>
    <row r="16" spans="1:30" ht="15.75" thickBot="1">
      <c r="A16" s="1056"/>
      <c r="B16" s="1057"/>
      <c r="C16" s="1057"/>
      <c r="D16" s="1057"/>
      <c r="E16" s="1057"/>
      <c r="F16" s="1058"/>
      <c r="H16" s="567" t="s">
        <v>319</v>
      </c>
      <c r="I16" s="568" t="s">
        <v>320</v>
      </c>
      <c r="J16" s="568" t="s">
        <v>321</v>
      </c>
      <c r="K16" s="568" t="s">
        <v>315</v>
      </c>
      <c r="L16" s="568" t="s">
        <v>316</v>
      </c>
      <c r="M16" s="571" t="s">
        <v>215</v>
      </c>
      <c r="N16" s="362" t="s">
        <v>570</v>
      </c>
      <c r="P16" s="1064"/>
      <c r="Q16" s="1080" t="s">
        <v>316</v>
      </c>
      <c r="R16" s="1081"/>
      <c r="S16" s="574">
        <f>IF((VLOOKUP($P10,$H$9:$K$13,(MATCH(Q$1,$I$8:$K$8,0))+1))=0,,VLOOKUP((VLOOKUP($P10,$H$9:$K$13,(MATCH(Q$1,$I$8:$K$8,0))+1)),$H$16:$N$35,5,FALSE))</f>
        <v>0</v>
      </c>
      <c r="T16" s="345">
        <f>S16*(R11-(2*0.25))*T11</f>
        <v>0</v>
      </c>
      <c r="U16" s="335"/>
      <c r="V16" s="1088" t="s">
        <v>316</v>
      </c>
      <c r="W16" s="1089"/>
      <c r="X16" s="576">
        <f>IF((VLOOKUP($P10,$H$9:$K$13,(MATCH(V$1,$I$8:$K$8,0))+1))=0,,VLOOKUP((VLOOKUP($P10,$H$9:$K$13,(MATCH(V$1,$I$8:$K$8,0))+1)),$H$16:$N$35,5,FALSE))</f>
        <v>0</v>
      </c>
      <c r="Y16" s="346">
        <f>X16*(W11-(2*0.25))*Y11</f>
        <v>0</v>
      </c>
      <c r="Z16" s="335"/>
      <c r="AA16" s="1080" t="s">
        <v>316</v>
      </c>
      <c r="AB16" s="1081"/>
      <c r="AC16" s="574">
        <f>IF((VLOOKUP($P10,$H$9:$K$13,(MATCH(AA$1,$I$8:$K$8,0))+1))=0,,VLOOKUP((VLOOKUP($P10,$H$9:$K$13,(MATCH(AA$1,$I$8:$K$8,0))+1)),$H$16:$N$35,5,FALSE))</f>
        <v>0</v>
      </c>
      <c r="AD16" s="345">
        <f>AC16*(AB11-(2*0.25))*AD11</f>
        <v>0</v>
      </c>
    </row>
    <row r="17" spans="1:30" ht="16.5" thickTop="1" thickBot="1">
      <c r="A17" s="1056"/>
      <c r="B17" s="1057"/>
      <c r="C17" s="1057"/>
      <c r="D17" s="1057"/>
      <c r="E17" s="1057"/>
      <c r="F17" s="1058"/>
      <c r="G17" s="323"/>
      <c r="H17" s="535" t="s">
        <v>502</v>
      </c>
      <c r="I17" s="536" t="s">
        <v>503</v>
      </c>
      <c r="J17" s="536" t="s">
        <v>313</v>
      </c>
      <c r="K17" s="537">
        <v>96</v>
      </c>
      <c r="L17" s="537">
        <v>55</v>
      </c>
      <c r="M17" s="537">
        <v>500</v>
      </c>
      <c r="N17" s="538">
        <v>250</v>
      </c>
      <c r="P17" s="1065"/>
      <c r="Q17" s="1082" t="str">
        <f>IF((VLOOKUP($P10,$H$9:$K$13,(MATCH(Q$1,$I$8:$K$8,0))+1))=0,"",VLOOKUP((VLOOKUP($P10,$H$9:$K$13,(MATCH(Q$1,$I$8:$K$8,0))+1)),$H$17:$M$35,3,FALSE))</f>
        <v/>
      </c>
      <c r="R17" s="1083"/>
      <c r="S17" s="580" t="s">
        <v>572</v>
      </c>
      <c r="T17" s="351">
        <f>SUM(T13:T16)</f>
        <v>0</v>
      </c>
      <c r="U17" s="352"/>
      <c r="V17" s="1082" t="str">
        <f>IF((VLOOKUP($P10,$H$9:$K$13,(MATCH(V$1,$I$8:$K$8,0))+1))=0,"",VLOOKUP((VLOOKUP($P10,$H$9:$K$13,(MATCH(V$1,$I$8:$K$8,0))+1)),$H$17:$M$35,3,FALSE))</f>
        <v/>
      </c>
      <c r="W17" s="1083"/>
      <c r="X17" s="580" t="s">
        <v>572</v>
      </c>
      <c r="Y17" s="351">
        <f>SUM(Y13:Y16)</f>
        <v>0</v>
      </c>
      <c r="Z17" s="352"/>
      <c r="AA17" s="1082" t="str">
        <f>IF((VLOOKUP($P10,$H$9:$K$13,(MATCH(AA$1,$I$8:$K$8,0))+1))=0,"",VLOOKUP((VLOOKUP($P10,$H$9:$K$13,(MATCH(AA$1,$I$8:$K$8,0))+1)),$H$17:$M$35,3,FALSE))</f>
        <v/>
      </c>
      <c r="AB17" s="1083"/>
      <c r="AC17" s="580" t="s">
        <v>572</v>
      </c>
      <c r="AD17" s="351">
        <f>SUM(AD13:AD16)</f>
        <v>0</v>
      </c>
    </row>
    <row r="18" spans="1:30" ht="15.75" customHeight="1" thickBot="1">
      <c r="A18" s="1056"/>
      <c r="B18" s="1057"/>
      <c r="C18" s="1057"/>
      <c r="D18" s="1057"/>
      <c r="E18" s="1057"/>
      <c r="F18" s="1058"/>
      <c r="G18" s="325"/>
      <c r="H18" s="363"/>
      <c r="I18" s="366"/>
      <c r="J18" s="366"/>
      <c r="K18" s="364"/>
      <c r="L18" s="364"/>
      <c r="M18" s="364"/>
      <c r="N18" s="365"/>
      <c r="P18" s="1063" t="s">
        <v>455</v>
      </c>
      <c r="Q18" s="1066" t="str">
        <f>IF((VLOOKUP($P18,$H$9:$K$13,(MATCH(Q$1,$I$8:$K$8,0))+1))&gt;0,(CONCATENATE((VLOOKUP($P18,$H$9:$K$13,(MATCH(Q$1,$I$8:$K$8,0))+1)),", ",VLOOKUP((VLOOKUP($P18,$H$9:$K$13,(MATCH(Q$1,$I$8:$K$8,0))+1)),$H$17:$M$35,2,FALSE))),"No Trip")</f>
        <v>No Trip</v>
      </c>
      <c r="R18" s="1067"/>
      <c r="S18" s="1067"/>
      <c r="T18" s="1068"/>
      <c r="U18" s="329"/>
      <c r="V18" s="1066" t="str">
        <f>IF((VLOOKUP($P18,$H$9:$K$13,(MATCH(V$1,$I$8:$K$8,0))+1))&gt;0,(CONCATENATE((VLOOKUP($P18,$H$9:$K$13,(MATCH(V$1,$I$8:$K$8,0))+1)),", ",VLOOKUP((VLOOKUP($P18,$H$9:$K$13,(MATCH(V$1,$I$8:$K$8,0))+1)),$H$17:$M$35,2,FALSE))),"No Trip")</f>
        <v>No Trip</v>
      </c>
      <c r="W18" s="1067"/>
      <c r="X18" s="1067"/>
      <c r="Y18" s="1068"/>
      <c r="Z18" s="329"/>
      <c r="AA18" s="1066" t="str">
        <f>IF((VLOOKUP($P18,$H$9:$K$13,(MATCH(AA$1,$I$8:$K$8,0))+1))&gt;0,(CONCATENATE((VLOOKUP($P18,$H$9:$K$13,(MATCH(AA$1,$I$8:$K$8,0))+1)),", ",VLOOKUP((VLOOKUP($P18,$H$9:$K$13,(MATCH(AA$1,$I$8:$K$8,0))+1)),$H$17:$M$35,2,FALSE))),"No Trip")</f>
        <v>No Trip</v>
      </c>
      <c r="AB18" s="1067"/>
      <c r="AC18" s="1067"/>
      <c r="AD18" s="1068"/>
    </row>
    <row r="19" spans="1:30" ht="15.75" thickTop="1">
      <c r="A19" s="1056"/>
      <c r="B19" s="1057"/>
      <c r="C19" s="1057"/>
      <c r="D19" s="1057"/>
      <c r="E19" s="1057"/>
      <c r="F19" s="1058"/>
      <c r="G19" s="330"/>
      <c r="H19" s="363"/>
      <c r="I19" s="367"/>
      <c r="J19" s="366"/>
      <c r="K19" s="368"/>
      <c r="L19" s="364"/>
      <c r="M19" s="364"/>
      <c r="N19" s="365"/>
      <c r="P19" s="1064"/>
      <c r="Q19" s="569" t="s">
        <v>309</v>
      </c>
      <c r="R19" s="583">
        <f>IF((VLOOKUP($P18,$H$9:$K$13,(MATCH(Q$1,$I$8:$K$8,0))+1))=0,,VLOOKUP(Q19,$M$2:$N$3,2,0))</f>
        <v>0</v>
      </c>
      <c r="S19" s="581" t="s">
        <v>310</v>
      </c>
      <c r="T19" s="582">
        <f>IF((VLOOKUP($P18,$H$9:$K$13,(MATCH(Q$1,$I$8:$K$8,0))+1))=0,,VLOOKUP(S19,$M$2:$N$3,2,0))</f>
        <v>0</v>
      </c>
      <c r="U19" s="331"/>
      <c r="V19" s="569" t="s">
        <v>309</v>
      </c>
      <c r="W19" s="583">
        <f>IF((VLOOKUP($P18,$H$9:$K$13,(MATCH(V$1,$I$8:$K$8,0))+1))=0,,VLOOKUP(V19,$M$2:$N$3,2,0))</f>
        <v>0</v>
      </c>
      <c r="X19" s="581" t="s">
        <v>310</v>
      </c>
      <c r="Y19" s="582">
        <f>IF((VLOOKUP($P18,$H$9:$K$13,(MATCH(V$1,$I$8:$K$8,0))+1))=0,,VLOOKUP(X19,$M$2:$N$3,2,0))</f>
        <v>0</v>
      </c>
      <c r="Z19" s="331"/>
      <c r="AA19" s="569" t="s">
        <v>309</v>
      </c>
      <c r="AB19" s="583">
        <f>IF((VLOOKUP($P18,$H$9:$K$13,(MATCH(AA$1,$I$8:$K$8,0))+1))=0,,VLOOKUP(AA19,$M$2:$N$3,2,0))</f>
        <v>0</v>
      </c>
      <c r="AC19" s="581" t="s">
        <v>310</v>
      </c>
      <c r="AD19" s="582">
        <f>IF((VLOOKUP($P18,$H$9:$K$13,(MATCH(AA$1,$I$8:$K$8,0))+1))=0,,VLOOKUP(AC19,$M$2:$N$3,2,0))</f>
        <v>0</v>
      </c>
    </row>
    <row r="20" spans="1:30" ht="15.75" thickBot="1">
      <c r="A20" s="1056"/>
      <c r="B20" s="1057"/>
      <c r="C20" s="1057"/>
      <c r="D20" s="1057"/>
      <c r="E20" s="1057"/>
      <c r="F20" s="1058"/>
      <c r="G20" s="330"/>
      <c r="H20" s="363"/>
      <c r="I20" s="366"/>
      <c r="J20" s="366"/>
      <c r="K20" s="368"/>
      <c r="L20" s="369"/>
      <c r="M20" s="364"/>
      <c r="N20" s="365"/>
      <c r="O20" s="336"/>
      <c r="P20" s="1064"/>
      <c r="Q20" s="1084" t="s">
        <v>311</v>
      </c>
      <c r="R20" s="1085"/>
      <c r="S20" s="1085"/>
      <c r="T20" s="577" t="s">
        <v>99</v>
      </c>
      <c r="U20" s="331"/>
      <c r="V20" s="1084" t="s">
        <v>311</v>
      </c>
      <c r="W20" s="1085"/>
      <c r="X20" s="1085"/>
      <c r="Y20" s="577" t="s">
        <v>99</v>
      </c>
      <c r="Z20" s="331"/>
      <c r="AA20" s="1084" t="s">
        <v>311</v>
      </c>
      <c r="AB20" s="1085"/>
      <c r="AC20" s="1085"/>
      <c r="AD20" s="577" t="s">
        <v>99</v>
      </c>
    </row>
    <row r="21" spans="1:30" ht="15.75" thickTop="1">
      <c r="A21" s="1056"/>
      <c r="B21" s="1057"/>
      <c r="C21" s="1057"/>
      <c r="D21" s="1057"/>
      <c r="E21" s="1057"/>
      <c r="F21" s="1058"/>
      <c r="G21" s="330"/>
      <c r="H21" s="363"/>
      <c r="I21" s="367"/>
      <c r="J21" s="366"/>
      <c r="K21" s="368"/>
      <c r="L21" s="364"/>
      <c r="M21" s="364"/>
      <c r="N21" s="365"/>
      <c r="O21" s="336"/>
      <c r="P21" s="1064"/>
      <c r="Q21" s="1072" t="s">
        <v>215</v>
      </c>
      <c r="R21" s="1073"/>
      <c r="S21" s="573">
        <f>IF((VLOOKUP($P18,$H$9:$K$13,(MATCH(Q$1,$I$8:$K$8,0))+1))=0,,VLOOKUP((VLOOKUP($P18,$H$9:$K$13,(MATCH(Q$1,$I$8:$K$8,0))+1)),$H$17:$N$35,6,FALSE))</f>
        <v>0</v>
      </c>
      <c r="T21" s="339">
        <f>S21*T19</f>
        <v>0</v>
      </c>
      <c r="U21" s="334"/>
      <c r="V21" s="1074" t="s">
        <v>215</v>
      </c>
      <c r="W21" s="1075"/>
      <c r="X21" s="575">
        <f>IF((VLOOKUP($P18,$H$9:$K$13,(MATCH(V$1,$I$8:$K$8,0))+1))=0,,VLOOKUP((VLOOKUP($P18,$H$9:$K$13,(MATCH(V$1,$I$8:$K$8,0))+1)),$H$17:$N$35,6,FALSE))</f>
        <v>0</v>
      </c>
      <c r="Y21" s="340">
        <f>X21*Y19</f>
        <v>0</v>
      </c>
      <c r="Z21" s="334"/>
      <c r="AA21" s="1072" t="s">
        <v>215</v>
      </c>
      <c r="AB21" s="1073"/>
      <c r="AC21" s="573">
        <f>IF((VLOOKUP($P18,$H$9:$K$13,(MATCH(AA$1,$I$8:$K$8,0))+1))=0,,VLOOKUP((VLOOKUP($P18,$H$9:$K$13,(MATCH(AA$1,$I$8:$K$8,0))+1)),$H$17:$N$35,6,FALSE))</f>
        <v>0</v>
      </c>
      <c r="AD21" s="339">
        <f>AC21*AD19</f>
        <v>0</v>
      </c>
    </row>
    <row r="22" spans="1:30" ht="15.75" customHeight="1">
      <c r="A22" s="1056"/>
      <c r="B22" s="1057"/>
      <c r="C22" s="1057"/>
      <c r="D22" s="1057"/>
      <c r="E22" s="1057"/>
      <c r="F22" s="1058"/>
      <c r="G22" s="323"/>
      <c r="H22" s="370"/>
      <c r="I22" s="366"/>
      <c r="J22" s="366"/>
      <c r="K22" s="368"/>
      <c r="L22" s="364"/>
      <c r="M22" s="364"/>
      <c r="N22" s="365"/>
      <c r="O22" s="371"/>
      <c r="P22" s="1064"/>
      <c r="Q22" s="1076" t="s">
        <v>571</v>
      </c>
      <c r="R22" s="1077"/>
      <c r="S22" s="578">
        <f>IF((VLOOKUP($P18,$H$9:$K$13,(MATCH(Q$1,$I$8:$K$8,0))+1))=0,,VLOOKUP((VLOOKUP($P18,$H$9:$K$13,(MATCH(Q$1,$I$8:$K$8,0))+1)),$H$17:$N$35,7,FALSE))</f>
        <v>0</v>
      </c>
      <c r="T22" s="579">
        <f>S22*T19</f>
        <v>0</v>
      </c>
      <c r="U22" s="335"/>
      <c r="V22" s="1086" t="s">
        <v>571</v>
      </c>
      <c r="W22" s="1087"/>
      <c r="X22" s="584">
        <f>IF((VLOOKUP($P18,$H$9:$K$13,(MATCH(V$1,$I$8:$K$8,0))+1))=0,,VLOOKUP((VLOOKUP($P18,$H$9:$K$13,(MATCH(V$1,$I$8:$K$8,0))+1)),$H$17:$N$35,7,FALSE))</f>
        <v>0</v>
      </c>
      <c r="Y22" s="585">
        <f>X22*Y19</f>
        <v>0</v>
      </c>
      <c r="Z22" s="335"/>
      <c r="AA22" s="1076" t="s">
        <v>571</v>
      </c>
      <c r="AB22" s="1077"/>
      <c r="AC22" s="578">
        <f>IF((VLOOKUP($P18,$H$9:$K$13,(MATCH(AA$1,$I$8:$K$8,0))+1))=0,,VLOOKUP((VLOOKUP($P18,$H$9:$K$13,(MATCH(AA$1,$I$8:$K$8,0))+1)),$H$17:$N$35,7,FALSE))</f>
        <v>0</v>
      </c>
      <c r="AD22" s="579">
        <f>AC22*AD19</f>
        <v>0</v>
      </c>
    </row>
    <row r="23" spans="1:30">
      <c r="A23" s="1056"/>
      <c r="B23" s="1057"/>
      <c r="C23" s="1057"/>
      <c r="D23" s="1057"/>
      <c r="E23" s="1057"/>
      <c r="F23" s="1058"/>
      <c r="G23" s="336"/>
      <c r="H23" s="363"/>
      <c r="I23" s="367"/>
      <c r="J23" s="366"/>
      <c r="K23" s="368"/>
      <c r="L23" s="364"/>
      <c r="M23" s="364"/>
      <c r="N23" s="365"/>
      <c r="O23" s="323"/>
      <c r="P23" s="1064"/>
      <c r="Q23" s="1078" t="s">
        <v>315</v>
      </c>
      <c r="R23" s="1079"/>
      <c r="S23" s="573">
        <f>IF((VLOOKUP($P18,$H$9:$K$13,(MATCH(Q$1,$I$8:$K$8,0))+1))=0,,VLOOKUP((VLOOKUP($P18,$H$9:$K$13,(MATCH(Q$1,$I$8:$K$8,0))+1)),$H$16:$N$35,4,FALSE))</f>
        <v>0</v>
      </c>
      <c r="T23" s="339">
        <f>S23*T19*(R19-1)</f>
        <v>0</v>
      </c>
      <c r="U23" s="336"/>
      <c r="V23" s="1090" t="s">
        <v>315</v>
      </c>
      <c r="W23" s="1091"/>
      <c r="X23" s="575">
        <f>IF((VLOOKUP($P18,$H$9:$K$13,(MATCH(V$1,$I$8:$K$8,0))+1))=0,,VLOOKUP((VLOOKUP($P18,$H$9:$K$13,(MATCH(V$1,$I$8:$K$8,0))+1)),$H$16:$N$35,4,FALSE))</f>
        <v>0</v>
      </c>
      <c r="Y23" s="340">
        <f>X23*Y19*(W19-1)</f>
        <v>0</v>
      </c>
      <c r="Z23" s="336"/>
      <c r="AA23" s="1078" t="s">
        <v>315</v>
      </c>
      <c r="AB23" s="1079"/>
      <c r="AC23" s="573">
        <f>IF((VLOOKUP($P18,$H$9:$K$13,(MATCH(AA$1,$I$8:$K$8,0))+1))=0,,VLOOKUP((VLOOKUP($P18,$H$9:$K$13,(MATCH(AA$1,$I$8:$K$8,0))+1)),$H$16:$N$35,4,FALSE))</f>
        <v>0</v>
      </c>
      <c r="AD23" s="339">
        <f>AC23*AD19*(AB19-1)</f>
        <v>0</v>
      </c>
    </row>
    <row r="24" spans="1:30" ht="15.75" customHeight="1" thickBot="1">
      <c r="A24" s="1056"/>
      <c r="B24" s="1057"/>
      <c r="C24" s="1057"/>
      <c r="D24" s="1057"/>
      <c r="E24" s="1057"/>
      <c r="F24" s="1058"/>
      <c r="G24" s="336"/>
      <c r="H24" s="363"/>
      <c r="I24" s="366"/>
      <c r="J24" s="366"/>
      <c r="K24" s="368"/>
      <c r="L24" s="364"/>
      <c r="M24" s="364"/>
      <c r="N24" s="365"/>
      <c r="O24" s="325"/>
      <c r="P24" s="1064"/>
      <c r="Q24" s="1080" t="s">
        <v>316</v>
      </c>
      <c r="R24" s="1081"/>
      <c r="S24" s="574">
        <f>IF((VLOOKUP($P18,$H$9:$K$13,(MATCH(Q$1,$I$8:$K$8,0))+1))=0,,VLOOKUP((VLOOKUP($P18,$H$9:$K$13,(MATCH(Q$1,$I$8:$K$8,0))+1)),$H$16:$N$35,5,FALSE))</f>
        <v>0</v>
      </c>
      <c r="T24" s="345">
        <f>S24*(R19-(2*0.25))*T19</f>
        <v>0</v>
      </c>
      <c r="U24" s="335"/>
      <c r="V24" s="1088" t="s">
        <v>316</v>
      </c>
      <c r="W24" s="1089"/>
      <c r="X24" s="576">
        <f>IF((VLOOKUP($P18,$H$9:$K$13,(MATCH(V$1,$I$8:$K$8,0))+1))=0,,VLOOKUP((VLOOKUP($P18,$H$9:$K$13,(MATCH(V$1,$I$8:$K$8,0))+1)),$H$16:$N$35,5,FALSE))</f>
        <v>0</v>
      </c>
      <c r="Y24" s="346">
        <f>X24*(W19-(2*0.25))*Y19</f>
        <v>0</v>
      </c>
      <c r="Z24" s="335"/>
      <c r="AA24" s="1080" t="s">
        <v>316</v>
      </c>
      <c r="AB24" s="1081"/>
      <c r="AC24" s="574">
        <f>IF((VLOOKUP($P18,$H$9:$K$13,(MATCH(AA$1,$I$8:$K$8,0))+1))=0,,VLOOKUP((VLOOKUP($P18,$H$9:$K$13,(MATCH(AA$1,$I$8:$K$8,0))+1)),$H$16:$N$35,5,FALSE))</f>
        <v>0</v>
      </c>
      <c r="AD24" s="345">
        <f>AC24*(AB19-(2*0.25))*AD19</f>
        <v>0</v>
      </c>
    </row>
    <row r="25" spans="1:30" ht="16.5" thickTop="1" thickBot="1">
      <c r="A25" s="1056"/>
      <c r="B25" s="1057"/>
      <c r="C25" s="1057"/>
      <c r="D25" s="1057"/>
      <c r="E25" s="1057"/>
      <c r="F25" s="1058"/>
      <c r="G25" s="336"/>
      <c r="H25" s="363"/>
      <c r="I25" s="367"/>
      <c r="J25" s="366"/>
      <c r="K25" s="368"/>
      <c r="L25" s="364"/>
      <c r="M25" s="364"/>
      <c r="N25" s="365"/>
      <c r="O25" s="330"/>
      <c r="P25" s="1065"/>
      <c r="Q25" s="1082" t="str">
        <f>IF((VLOOKUP($P18,$H$9:$K$13,(MATCH(Q$1,$I$8:$K$8,0))+1))=0,"",VLOOKUP((VLOOKUP($P18,$H$9:$K$13,(MATCH(Q$1,$I$8:$K$8,0))+1)),$H$17:$M$35,3,FALSE))</f>
        <v/>
      </c>
      <c r="R25" s="1083"/>
      <c r="S25" s="580" t="s">
        <v>572</v>
      </c>
      <c r="T25" s="351">
        <f>SUM(T21:T24)</f>
        <v>0</v>
      </c>
      <c r="U25" s="352"/>
      <c r="V25" s="1082" t="str">
        <f>IF((VLOOKUP($P18,$H$9:$K$13,(MATCH(V$1,$I$8:$K$8,0))+1))=0,"",VLOOKUP((VLOOKUP($P18,$H$9:$K$13,(MATCH(V$1,$I$8:$K$8,0))+1)),$H$17:$M$35,3,FALSE))</f>
        <v/>
      </c>
      <c r="W25" s="1083"/>
      <c r="X25" s="580" t="s">
        <v>572</v>
      </c>
      <c r="Y25" s="351">
        <f>SUM(Y21:Y24)</f>
        <v>0</v>
      </c>
      <c r="Z25" s="352"/>
      <c r="AA25" s="1082" t="str">
        <f>IF((VLOOKUP($P18,$H$9:$K$13,(MATCH(AA$1,$I$8:$K$8,0))+1))=0,"",VLOOKUP((VLOOKUP($P18,$H$9:$K$13,(MATCH(AA$1,$I$8:$K$8,0))+1)),$H$17:$M$35,3,FALSE))</f>
        <v/>
      </c>
      <c r="AB25" s="1083"/>
      <c r="AC25" s="580" t="s">
        <v>572</v>
      </c>
      <c r="AD25" s="351">
        <f>SUM(AD21:AD24)</f>
        <v>0</v>
      </c>
    </row>
    <row r="26" spans="1:30" ht="15.75" customHeight="1" thickBot="1">
      <c r="A26" s="1056"/>
      <c r="B26" s="1057"/>
      <c r="C26" s="1057"/>
      <c r="D26" s="1057"/>
      <c r="E26" s="1057"/>
      <c r="F26" s="1058"/>
      <c r="G26" s="336"/>
      <c r="H26" s="363"/>
      <c r="I26" s="366"/>
      <c r="J26" s="366"/>
      <c r="K26" s="368"/>
      <c r="L26" s="364"/>
      <c r="M26" s="364"/>
      <c r="N26" s="365"/>
      <c r="O26" s="330"/>
      <c r="P26" s="1063" t="s">
        <v>456</v>
      </c>
      <c r="Q26" s="1066" t="str">
        <f>IF((VLOOKUP($P26,$H$9:$K$13,(MATCH(Q$1,$I$8:$K$8,0))+1))&gt;0,(CONCATENATE((VLOOKUP($P26,$H$9:$K$13,(MATCH(Q$1,$I$8:$K$8,0))+1)),", ",VLOOKUP((VLOOKUP($P26,$H$9:$K$13,(MATCH(Q$1,$I$8:$K$8,0))+1)),$H$17:$M$35,2,FALSE))),"No Trip")</f>
        <v>No Trip</v>
      </c>
      <c r="R26" s="1067"/>
      <c r="S26" s="1067"/>
      <c r="T26" s="1068"/>
      <c r="U26" s="329"/>
      <c r="V26" s="1066" t="str">
        <f>IF((VLOOKUP($P26,$H$9:$K$13,(MATCH(V$1,$I$8:$K$8,0))+1))&gt;0,(CONCATENATE((VLOOKUP($P26,$H$9:$K$13,(MATCH(V$1,$I$8:$K$8,0))+1)),", ",VLOOKUP((VLOOKUP($P26,$H$9:$K$13,(MATCH(V$1,$I$8:$K$8,0))+1)),$H$17:$M$35,2,FALSE))),"No Trip")</f>
        <v>No Trip</v>
      </c>
      <c r="W26" s="1067"/>
      <c r="X26" s="1067"/>
      <c r="Y26" s="1068"/>
      <c r="Z26" s="329"/>
      <c r="AA26" s="1066" t="str">
        <f>IF((VLOOKUP($P26,$H$9:$K$13,(MATCH(AA$1,$I$8:$K$8,0))+1))&gt;0,(CONCATENATE((VLOOKUP($P26,$H$9:$K$13,(MATCH(AA$1,$I$8:$K$8,0))+1)),", ",VLOOKUP((VLOOKUP($P26,$H$9:$K$13,(MATCH(AA$1,$I$8:$K$8,0))+1)),$H$17:$M$35,2,FALSE))),"No Trip")</f>
        <v>No Trip</v>
      </c>
      <c r="AB26" s="1067"/>
      <c r="AC26" s="1067"/>
      <c r="AD26" s="1068"/>
    </row>
    <row r="27" spans="1:30" ht="15.75" thickTop="1">
      <c r="A27" s="1056"/>
      <c r="B27" s="1057"/>
      <c r="C27" s="1057"/>
      <c r="D27" s="1057"/>
      <c r="E27" s="1057"/>
      <c r="F27" s="1058"/>
      <c r="G27" s="371"/>
      <c r="H27" s="363"/>
      <c r="I27" s="367"/>
      <c r="J27" s="366"/>
      <c r="K27" s="368"/>
      <c r="L27" s="364"/>
      <c r="M27" s="364"/>
      <c r="N27" s="365"/>
      <c r="O27" s="330"/>
      <c r="P27" s="1064"/>
      <c r="Q27" s="569" t="s">
        <v>309</v>
      </c>
      <c r="R27" s="583">
        <f>IF((VLOOKUP($P26,$H$9:$K$13,(MATCH(Q$1,$I$8:$K$8,0))+1))=0,,VLOOKUP(Q27,$M$2:$N$3,2,0))</f>
        <v>0</v>
      </c>
      <c r="S27" s="581" t="s">
        <v>310</v>
      </c>
      <c r="T27" s="582">
        <f>IF((VLOOKUP($P26,$H$9:$K$13,(MATCH(Q$1,$I$8:$K$8,0))+1))=0,,VLOOKUP(S27,$M$2:$N$3,2,0))</f>
        <v>0</v>
      </c>
      <c r="U27" s="331"/>
      <c r="V27" s="569" t="s">
        <v>309</v>
      </c>
      <c r="W27" s="583">
        <f>IF((VLOOKUP($P26,$H$9:$K$13,(MATCH(V$1,$I$8:$K$8,0))+1))=0,,VLOOKUP(V27,$M$2:$N$3,2,0))</f>
        <v>0</v>
      </c>
      <c r="X27" s="581" t="s">
        <v>310</v>
      </c>
      <c r="Y27" s="582">
        <f>IF((VLOOKUP($P26,$H$9:$K$13,(MATCH(V$1,$I$8:$K$8,0))+1))=0,,VLOOKUP(X27,$M$2:$N$3,2,0))</f>
        <v>0</v>
      </c>
      <c r="Z27" s="331"/>
      <c r="AA27" s="569" t="s">
        <v>309</v>
      </c>
      <c r="AB27" s="583">
        <f>IF((VLOOKUP($P26,$H$9:$K$13,(MATCH(AA$1,$I$8:$K$8,0))+1))=0,,VLOOKUP(AA27,$M$2:$N$3,2,0))</f>
        <v>0</v>
      </c>
      <c r="AC27" s="581" t="s">
        <v>310</v>
      </c>
      <c r="AD27" s="582">
        <f>IF((VLOOKUP($P26,$H$9:$K$13,(MATCH(AA$1,$I$8:$K$8,0))+1))=0,,VLOOKUP(AC27,$M$2:$N$3,2,0))</f>
        <v>0</v>
      </c>
    </row>
    <row r="28" spans="1:30" ht="15.75" thickBot="1">
      <c r="A28" s="1056"/>
      <c r="B28" s="1057"/>
      <c r="C28" s="1057"/>
      <c r="D28" s="1057"/>
      <c r="E28" s="1057"/>
      <c r="F28" s="1058"/>
      <c r="G28" s="323"/>
      <c r="H28" s="363"/>
      <c r="I28" s="366"/>
      <c r="J28" s="366"/>
      <c r="K28" s="368"/>
      <c r="L28" s="364"/>
      <c r="M28" s="364"/>
      <c r="N28" s="365"/>
      <c r="O28" s="323"/>
      <c r="P28" s="1064"/>
      <c r="Q28" s="1084" t="s">
        <v>311</v>
      </c>
      <c r="R28" s="1085"/>
      <c r="S28" s="1085"/>
      <c r="T28" s="577" t="s">
        <v>99</v>
      </c>
      <c r="U28" s="331"/>
      <c r="V28" s="1084" t="s">
        <v>311</v>
      </c>
      <c r="W28" s="1085"/>
      <c r="X28" s="1085"/>
      <c r="Y28" s="577" t="s">
        <v>99</v>
      </c>
      <c r="Z28" s="331"/>
      <c r="AA28" s="1084" t="s">
        <v>311</v>
      </c>
      <c r="AB28" s="1085"/>
      <c r="AC28" s="1085"/>
      <c r="AD28" s="577" t="s">
        <v>99</v>
      </c>
    </row>
    <row r="29" spans="1:30" ht="15.75" thickTop="1">
      <c r="A29" s="1056"/>
      <c r="B29" s="1057"/>
      <c r="C29" s="1057"/>
      <c r="D29" s="1057"/>
      <c r="E29" s="1057"/>
      <c r="F29" s="1058"/>
      <c r="G29" s="325"/>
      <c r="H29" s="363"/>
      <c r="I29" s="367"/>
      <c r="J29" s="366"/>
      <c r="K29" s="368"/>
      <c r="L29" s="364"/>
      <c r="M29" s="364"/>
      <c r="N29" s="365"/>
      <c r="O29" s="336"/>
      <c r="P29" s="1064"/>
      <c r="Q29" s="1072" t="s">
        <v>215</v>
      </c>
      <c r="R29" s="1073"/>
      <c r="S29" s="573">
        <f>IF((VLOOKUP($P26,$H$9:$K$13,(MATCH(Q$1,$I$8:$K$8,0))+1))=0,,VLOOKUP((VLOOKUP($P26,$H$9:$K$13,(MATCH(Q$1,$I$8:$K$8,0))+1)),$H$17:$N$35,6,FALSE))</f>
        <v>0</v>
      </c>
      <c r="T29" s="339">
        <f>S29*T27</f>
        <v>0</v>
      </c>
      <c r="U29" s="334"/>
      <c r="V29" s="1074" t="s">
        <v>215</v>
      </c>
      <c r="W29" s="1075"/>
      <c r="X29" s="575">
        <f>IF((VLOOKUP($P26,$H$9:$K$13,(MATCH(V$1,$I$8:$K$8,0))+1))=0,,VLOOKUP((VLOOKUP($P26,$H$9:$K$13,(MATCH(V$1,$I$8:$K$8,0))+1)),$H$17:$N$35,6,FALSE))</f>
        <v>0</v>
      </c>
      <c r="Y29" s="340">
        <f>X29*Y27</f>
        <v>0</v>
      </c>
      <c r="Z29" s="334"/>
      <c r="AA29" s="1072" t="s">
        <v>215</v>
      </c>
      <c r="AB29" s="1073"/>
      <c r="AC29" s="573">
        <f>IF((VLOOKUP($P26,$H$9:$K$13,(MATCH(AA$1,$I$8:$K$8,0))+1))=0,,VLOOKUP((VLOOKUP($P26,$H$9:$K$13,(MATCH(AA$1,$I$8:$K$8,0))+1)),$H$17:$N$35,6,FALSE))</f>
        <v>0</v>
      </c>
      <c r="AD29" s="339">
        <f>AC29*AD27</f>
        <v>0</v>
      </c>
    </row>
    <row r="30" spans="1:30">
      <c r="A30" s="1056"/>
      <c r="B30" s="1057"/>
      <c r="C30" s="1057"/>
      <c r="D30" s="1057"/>
      <c r="E30" s="1057"/>
      <c r="F30" s="1058"/>
      <c r="G30" s="330"/>
      <c r="H30" s="363"/>
      <c r="I30" s="366"/>
      <c r="J30" s="366"/>
      <c r="K30" s="368"/>
      <c r="L30" s="364"/>
      <c r="M30" s="364"/>
      <c r="N30" s="365"/>
      <c r="O30" s="336"/>
      <c r="P30" s="1064"/>
      <c r="Q30" s="1076" t="s">
        <v>571</v>
      </c>
      <c r="R30" s="1077"/>
      <c r="S30" s="578">
        <f>IF((VLOOKUP($P26,$H$9:$K$13,(MATCH(Q$1,$I$8:$K$8,0))+1))=0,,VLOOKUP((VLOOKUP($P26,$H$9:$K$13,(MATCH(Q$1,$I$8:$K$8,0))+1)),$H$17:$N$35,7,FALSE))</f>
        <v>0</v>
      </c>
      <c r="T30" s="579">
        <f>S30*T27</f>
        <v>0</v>
      </c>
      <c r="U30" s="335"/>
      <c r="V30" s="1086" t="s">
        <v>571</v>
      </c>
      <c r="W30" s="1087"/>
      <c r="X30" s="584">
        <f>IF((VLOOKUP($P26,$H$9:$K$13,(MATCH(V$1,$I$8:$K$8,0))+1))=0,,VLOOKUP((VLOOKUP($P26,$H$9:$K$13,(MATCH(V$1,$I$8:$K$8,0))+1)),$H$17:$N$35,7,FALSE))</f>
        <v>0</v>
      </c>
      <c r="Y30" s="585">
        <f>X30*Y27</f>
        <v>0</v>
      </c>
      <c r="Z30" s="335"/>
      <c r="AA30" s="1076" t="s">
        <v>571</v>
      </c>
      <c r="AB30" s="1077"/>
      <c r="AC30" s="578">
        <f>IF((VLOOKUP($P26,$H$9:$K$13,(MATCH(AA$1,$I$8:$K$8,0))+1))=0,,VLOOKUP((VLOOKUP($P26,$H$9:$K$13,(MATCH(AA$1,$I$8:$K$8,0))+1)),$H$17:$N$35,7,FALSE))</f>
        <v>0</v>
      </c>
      <c r="AD30" s="579">
        <f>AC30*AD27</f>
        <v>0</v>
      </c>
    </row>
    <row r="31" spans="1:30" ht="15.75" customHeight="1">
      <c r="A31" s="1056"/>
      <c r="B31" s="1057"/>
      <c r="C31" s="1057"/>
      <c r="D31" s="1057"/>
      <c r="E31" s="1057"/>
      <c r="F31" s="1058"/>
      <c r="G31" s="330"/>
      <c r="H31" s="363"/>
      <c r="I31" s="367"/>
      <c r="J31" s="366"/>
      <c r="K31" s="368"/>
      <c r="L31" s="364"/>
      <c r="M31" s="364"/>
      <c r="N31" s="365"/>
      <c r="O31" s="336"/>
      <c r="P31" s="1064"/>
      <c r="Q31" s="1078" t="s">
        <v>315</v>
      </c>
      <c r="R31" s="1079"/>
      <c r="S31" s="573">
        <f>IF((VLOOKUP($P26,$H$9:$K$13,(MATCH(Q$1,$I$8:$K$8,0))+1))=0,,VLOOKUP((VLOOKUP($P26,$H$9:$K$13,(MATCH(Q$1,$I$8:$K$8,0))+1)),$H$16:$N$35,4,FALSE))</f>
        <v>0</v>
      </c>
      <c r="T31" s="339">
        <f>S31*T27*(R27-1)</f>
        <v>0</v>
      </c>
      <c r="U31" s="336"/>
      <c r="V31" s="1090" t="s">
        <v>315</v>
      </c>
      <c r="W31" s="1091"/>
      <c r="X31" s="575">
        <f>IF((VLOOKUP($P26,$H$9:$K$13,(MATCH(V$1,$I$8:$K$8,0))+1))=0,,VLOOKUP((VLOOKUP($P26,$H$9:$K$13,(MATCH(V$1,$I$8:$K$8,0))+1)),$H$16:$N$35,4,FALSE))</f>
        <v>0</v>
      </c>
      <c r="Y31" s="340">
        <f>X31*Y27*(W27-1)</f>
        <v>0</v>
      </c>
      <c r="Z31" s="336"/>
      <c r="AA31" s="1078" t="s">
        <v>315</v>
      </c>
      <c r="AB31" s="1079"/>
      <c r="AC31" s="573">
        <f>IF((VLOOKUP($P26,$H$9:$K$13,(MATCH(AA$1,$I$8:$K$8,0))+1))=0,,VLOOKUP((VLOOKUP($P26,$H$9:$K$13,(MATCH(AA$1,$I$8:$K$8,0))+1)),$H$16:$N$35,4,FALSE))</f>
        <v>0</v>
      </c>
      <c r="AD31" s="339">
        <f>AC31*AD27*(AB27-1)</f>
        <v>0</v>
      </c>
    </row>
    <row r="32" spans="1:30" ht="15.75" customHeight="1" thickBot="1">
      <c r="A32" s="1056"/>
      <c r="B32" s="1057"/>
      <c r="C32" s="1057"/>
      <c r="D32" s="1057"/>
      <c r="E32" s="1057"/>
      <c r="F32" s="1058"/>
      <c r="G32" s="330"/>
      <c r="H32" s="363"/>
      <c r="I32" s="366"/>
      <c r="J32" s="366"/>
      <c r="K32" s="368"/>
      <c r="L32" s="364"/>
      <c r="M32" s="364"/>
      <c r="N32" s="365"/>
      <c r="O32" s="336"/>
      <c r="P32" s="1064"/>
      <c r="Q32" s="1080" t="s">
        <v>316</v>
      </c>
      <c r="R32" s="1081"/>
      <c r="S32" s="574">
        <f>IF((VLOOKUP($P26,$H$9:$K$13,(MATCH(Q$1,$I$8:$K$8,0))+1))=0,,VLOOKUP((VLOOKUP($P26,$H$9:$K$13,(MATCH(Q$1,$I$8:$K$8,0))+1)),$H$16:$N$35,5,FALSE))</f>
        <v>0</v>
      </c>
      <c r="T32" s="345">
        <f>S32*(R27-(2*0.25))*T27</f>
        <v>0</v>
      </c>
      <c r="U32" s="335"/>
      <c r="V32" s="1088" t="s">
        <v>316</v>
      </c>
      <c r="W32" s="1089"/>
      <c r="X32" s="576">
        <f>IF((VLOOKUP($P26,$H$9:$K$13,(MATCH(V$1,$I$8:$K$8,0))+1))=0,,VLOOKUP((VLOOKUP($P26,$H$9:$K$13,(MATCH(V$1,$I$8:$K$8,0))+1)),$H$16:$N$35,5,FALSE))</f>
        <v>0</v>
      </c>
      <c r="Y32" s="346">
        <f>X32*(W27-(2*0.25))*Y27</f>
        <v>0</v>
      </c>
      <c r="Z32" s="335"/>
      <c r="AA32" s="1080" t="s">
        <v>316</v>
      </c>
      <c r="AB32" s="1081"/>
      <c r="AC32" s="574">
        <f>IF((VLOOKUP($P26,$H$9:$K$13,(MATCH(AA$1,$I$8:$K$8,0))+1))=0,,VLOOKUP((VLOOKUP($P26,$H$9:$K$13,(MATCH(AA$1,$I$8:$K$8,0))+1)),$H$16:$N$35,5,FALSE))</f>
        <v>0</v>
      </c>
      <c r="AD32" s="345">
        <f>AC32*(AB27-(2*0.25))*AD27</f>
        <v>0</v>
      </c>
    </row>
    <row r="33" spans="1:30" ht="16.5" thickTop="1" thickBot="1">
      <c r="A33" s="1056"/>
      <c r="B33" s="1057"/>
      <c r="C33" s="1057"/>
      <c r="D33" s="1057"/>
      <c r="E33" s="1057"/>
      <c r="F33" s="1058"/>
      <c r="G33" s="330"/>
      <c r="H33" s="363"/>
      <c r="I33" s="367"/>
      <c r="J33" s="366"/>
      <c r="K33" s="368"/>
      <c r="L33" s="364"/>
      <c r="M33" s="364"/>
      <c r="N33" s="365"/>
      <c r="O33" s="371"/>
      <c r="P33" s="1065"/>
      <c r="Q33" s="1082" t="str">
        <f>IF((VLOOKUP($P26,$H$9:$K$13,(MATCH(Q$1,$I$8:$K$8,0))+1))=0,"",VLOOKUP((VLOOKUP($P26,$H$9:$K$13,(MATCH(Q$1,$I$8:$K$8,0))+1)),$H$17:$M$35,3,FALSE))</f>
        <v/>
      </c>
      <c r="R33" s="1083"/>
      <c r="S33" s="580" t="s">
        <v>572</v>
      </c>
      <c r="T33" s="351">
        <f>SUM(T29:T32)</f>
        <v>0</v>
      </c>
      <c r="U33" s="352"/>
      <c r="V33" s="1082" t="str">
        <f>IF((VLOOKUP($P26,$H$9:$K$13,(MATCH(V$1,$I$8:$K$8,0))+1))=0,"",VLOOKUP((VLOOKUP($P26,$H$9:$K$13,(MATCH(V$1,$I$8:$K$8,0))+1)),$H$17:$M$35,3,FALSE))</f>
        <v/>
      </c>
      <c r="W33" s="1083"/>
      <c r="X33" s="580" t="s">
        <v>572</v>
      </c>
      <c r="Y33" s="351">
        <f>SUM(Y29:Y32)</f>
        <v>0</v>
      </c>
      <c r="Z33" s="352"/>
      <c r="AA33" s="1082" t="str">
        <f>IF((VLOOKUP($P26,$H$9:$K$13,(MATCH(AA$1,$I$8:$K$8,0))+1))=0,"",VLOOKUP((VLOOKUP($P26,$H$9:$K$13,(MATCH(AA$1,$I$8:$K$8,0))+1)),$H$17:$M$35,3,FALSE))</f>
        <v/>
      </c>
      <c r="AB33" s="1083"/>
      <c r="AC33" s="580" t="s">
        <v>572</v>
      </c>
      <c r="AD33" s="351">
        <f>SUM(AD29:AD32)</f>
        <v>0</v>
      </c>
    </row>
    <row r="34" spans="1:30" ht="15.75" customHeight="1" thickBot="1">
      <c r="A34" s="1056"/>
      <c r="B34" s="1057"/>
      <c r="C34" s="1057"/>
      <c r="D34" s="1057"/>
      <c r="E34" s="1057"/>
      <c r="F34" s="1058"/>
      <c r="G34" s="323"/>
      <c r="H34" s="363"/>
      <c r="I34" s="366"/>
      <c r="J34" s="366"/>
      <c r="K34" s="368"/>
      <c r="L34" s="364"/>
      <c r="M34" s="364"/>
      <c r="N34" s="365"/>
      <c r="O34" s="323"/>
      <c r="P34" s="1063" t="s">
        <v>457</v>
      </c>
      <c r="Q34" s="1066" t="str">
        <f>IF((VLOOKUP($P34,$H$9:$K$13,(MATCH(Q$1,$I$8:$K$8,0))+1))&gt;0,(CONCATENATE((VLOOKUP($P34,$H$9:$K$13,(MATCH(Q$1,$I$8:$K$8,0))+1)),", ",VLOOKUP((VLOOKUP($P34,$H$9:$K$13,(MATCH(Q$1,$I$8:$K$8,0))+1)),$H$17:$M$35,2,FALSE))),"No Trip")</f>
        <v>No Trip</v>
      </c>
      <c r="R34" s="1067"/>
      <c r="S34" s="1067"/>
      <c r="T34" s="1068"/>
      <c r="U34" s="329"/>
      <c r="V34" s="1066" t="str">
        <f>IF((VLOOKUP($P34,$H$9:$K$13,(MATCH(V$1,$I$8:$K$8,0))+1))&gt;0,(CONCATENATE((VLOOKUP($P34,$H$9:$K$13,(MATCH(V$1,$I$8:$K$8,0))+1)),", ",VLOOKUP((VLOOKUP($P34,$H$9:$K$13,(MATCH(V$1,$I$8:$K$8,0))+1)),$H$17:$M$35,2,FALSE))),"No Trip")</f>
        <v>No Trip</v>
      </c>
      <c r="W34" s="1067"/>
      <c r="X34" s="1067"/>
      <c r="Y34" s="1068"/>
      <c r="Z34" s="329"/>
      <c r="AA34" s="1066" t="str">
        <f>IF((VLOOKUP($P34,$H$9:$K$13,(MATCH(AA$1,$I$8:$K$8,0))+1))&gt;0,(CONCATENATE((VLOOKUP($P34,$H$9:$K$13,(MATCH(AA$1,$I$8:$K$8,0))+1)),", ",VLOOKUP((VLOOKUP($P34,$H$9:$K$13,(MATCH(AA$1,$I$8:$K$8,0))+1)),$H$17:$M$35,2,FALSE))),"No Trip")</f>
        <v>No Trip</v>
      </c>
      <c r="AB34" s="1067"/>
      <c r="AC34" s="1067"/>
      <c r="AD34" s="1068"/>
    </row>
    <row r="35" spans="1:30" ht="16.5" thickTop="1" thickBot="1">
      <c r="A35" s="1059"/>
      <c r="B35" s="1060"/>
      <c r="C35" s="1060"/>
      <c r="D35" s="1060"/>
      <c r="E35" s="1060"/>
      <c r="F35" s="1061"/>
      <c r="G35" s="336"/>
      <c r="H35" s="372"/>
      <c r="I35" s="373"/>
      <c r="J35" s="561"/>
      <c r="K35" s="374"/>
      <c r="L35" s="375"/>
      <c r="M35" s="375"/>
      <c r="N35" s="376"/>
      <c r="O35" s="325"/>
      <c r="P35" s="1064"/>
      <c r="Q35" s="569" t="s">
        <v>309</v>
      </c>
      <c r="R35" s="583">
        <f>IF((VLOOKUP($P34,$H$9:$K$13,(MATCH(Q$1,$I$8:$K$8,0))+1))=0,,VLOOKUP(Q35,$M$2:$N$3,2,0))</f>
        <v>0</v>
      </c>
      <c r="S35" s="581" t="s">
        <v>310</v>
      </c>
      <c r="T35" s="582">
        <f>IF((VLOOKUP($P34,$H$9:$K$13,(MATCH(Q$1,$I$8:$K$8,0))+1))=0,,VLOOKUP(S35,$M$2:$N$3,2,0))</f>
        <v>0</v>
      </c>
      <c r="U35" s="331"/>
      <c r="V35" s="569" t="s">
        <v>309</v>
      </c>
      <c r="W35" s="583">
        <f>IF((VLOOKUP($P34,$H$9:$K$13,(MATCH(V$1,$I$8:$K$8,0))+1))=0,,VLOOKUP(V35,$M$2:$N$3,2,0))</f>
        <v>0</v>
      </c>
      <c r="X35" s="581" t="s">
        <v>310</v>
      </c>
      <c r="Y35" s="582">
        <f>IF((VLOOKUP($P34,$H$9:$K$13,(MATCH(V$1,$I$8:$K$8,0))+1))=0,,VLOOKUP(X35,$M$2:$N$3,2,0))</f>
        <v>0</v>
      </c>
      <c r="Z35" s="331"/>
      <c r="AA35" s="569" t="s">
        <v>309</v>
      </c>
      <c r="AB35" s="583">
        <f>IF((VLOOKUP($P34,$H$9:$K$13,(MATCH(AA$1,$I$8:$K$8,0))+1))=0,,VLOOKUP(AA35,$M$2:$N$3,2,0))</f>
        <v>0</v>
      </c>
      <c r="AC35" s="581" t="s">
        <v>310</v>
      </c>
      <c r="AD35" s="582">
        <f>IF((VLOOKUP($P34,$H$9:$K$13,(MATCH(AA$1,$I$8:$K$8,0))+1))=0,,VLOOKUP(AC35,$M$2:$N$3,2,0))</f>
        <v>0</v>
      </c>
    </row>
    <row r="36" spans="1:30" ht="15.75" thickBot="1">
      <c r="G36" s="336"/>
      <c r="O36" s="330"/>
      <c r="P36" s="1064"/>
      <c r="Q36" s="1084" t="s">
        <v>311</v>
      </c>
      <c r="R36" s="1085"/>
      <c r="S36" s="1085"/>
      <c r="T36" s="577" t="s">
        <v>99</v>
      </c>
      <c r="U36" s="331"/>
      <c r="V36" s="1084" t="s">
        <v>311</v>
      </c>
      <c r="W36" s="1085"/>
      <c r="X36" s="1085"/>
      <c r="Y36" s="577" t="s">
        <v>99</v>
      </c>
      <c r="Z36" s="331"/>
      <c r="AA36" s="1084" t="s">
        <v>311</v>
      </c>
      <c r="AB36" s="1085"/>
      <c r="AC36" s="1085"/>
      <c r="AD36" s="577" t="s">
        <v>99</v>
      </c>
    </row>
    <row r="37" spans="1:30" ht="16.5" thickTop="1" thickBot="1">
      <c r="A37" s="1095" t="s">
        <v>322</v>
      </c>
      <c r="B37" s="1096"/>
      <c r="C37" s="1096"/>
      <c r="D37" s="1096"/>
      <c r="E37" s="1096"/>
      <c r="F37" s="1097"/>
      <c r="G37" s="336"/>
      <c r="H37" s="1047" t="s">
        <v>323</v>
      </c>
      <c r="I37" s="1048"/>
      <c r="J37" s="1048"/>
      <c r="K37" s="1048"/>
      <c r="L37" s="1048"/>
      <c r="M37" s="1048"/>
      <c r="N37" s="1049"/>
      <c r="O37" s="330"/>
      <c r="P37" s="1064"/>
      <c r="Q37" s="1072" t="s">
        <v>215</v>
      </c>
      <c r="R37" s="1073"/>
      <c r="S37" s="573">
        <f>IF((VLOOKUP($P34,$H$9:$K$13,(MATCH(Q$1,$I$8:$K$8,0))+1))=0,,VLOOKUP((VLOOKUP($P34,$H$9:$K$13,(MATCH(Q$1,$I$8:$K$8,0))+1)),$H$17:$N$35,6,FALSE))</f>
        <v>0</v>
      </c>
      <c r="T37" s="339">
        <f>S37*T35</f>
        <v>0</v>
      </c>
      <c r="U37" s="334"/>
      <c r="V37" s="1074" t="s">
        <v>215</v>
      </c>
      <c r="W37" s="1075"/>
      <c r="X37" s="575">
        <f>IF((VLOOKUP($P34,$H$9:$K$13,(MATCH(V$1,$I$8:$K$8,0))+1))=0,,VLOOKUP((VLOOKUP($P34,$H$9:$K$13,(MATCH(V$1,$I$8:$K$8,0))+1)),$H$17:$N$35,6,FALSE))</f>
        <v>0</v>
      </c>
      <c r="Y37" s="340">
        <f>X37*Y35</f>
        <v>0</v>
      </c>
      <c r="Z37" s="334"/>
      <c r="AA37" s="1072" t="s">
        <v>215</v>
      </c>
      <c r="AB37" s="1073"/>
      <c r="AC37" s="573">
        <f>IF((VLOOKUP($P34,$H$9:$K$13,(MATCH(AA$1,$I$8:$K$8,0))+1))=0,,VLOOKUP((VLOOKUP($P34,$H$9:$K$13,(MATCH(AA$1,$I$8:$K$8,0))+1)),$H$17:$N$35,6,FALSE))</f>
        <v>0</v>
      </c>
      <c r="AD37" s="339">
        <f>AC37*AD35</f>
        <v>0</v>
      </c>
    </row>
    <row r="38" spans="1:30" ht="15.75" thickTop="1">
      <c r="A38" s="1098"/>
      <c r="B38" s="1099"/>
      <c r="C38" s="1099"/>
      <c r="D38" s="1099"/>
      <c r="E38" s="1099"/>
      <c r="F38" s="1100"/>
      <c r="G38" s="336"/>
      <c r="H38" s="378" t="s">
        <v>313</v>
      </c>
      <c r="I38" s="1092" t="s">
        <v>324</v>
      </c>
      <c r="J38" s="1093"/>
      <c r="K38" s="1093"/>
      <c r="L38" s="1093"/>
      <c r="M38" s="1093"/>
      <c r="N38" s="1094"/>
      <c r="O38" s="330"/>
      <c r="P38" s="1064"/>
      <c r="Q38" s="1076" t="s">
        <v>571</v>
      </c>
      <c r="R38" s="1077"/>
      <c r="S38" s="578">
        <f>IF((VLOOKUP($P34,$H$9:$K$13,(MATCH(Q$1,$I$8:$K$8,0))+1))=0,,VLOOKUP((VLOOKUP($P34,$H$9:$K$13,(MATCH(Q$1,$I$8:$K$8,0))+1)),$H$17:$N$35,7,FALSE))</f>
        <v>0</v>
      </c>
      <c r="T38" s="579">
        <f>S38*T35</f>
        <v>0</v>
      </c>
      <c r="U38" s="335"/>
      <c r="V38" s="1086" t="s">
        <v>571</v>
      </c>
      <c r="W38" s="1087"/>
      <c r="X38" s="584">
        <f>IF((VLOOKUP($P34,$H$9:$K$13,(MATCH(V$1,$I$8:$K$8,0))+1))=0,,VLOOKUP((VLOOKUP($P34,$H$9:$K$13,(MATCH(V$1,$I$8:$K$8,0))+1)),$H$17:$N$35,7,FALSE))</f>
        <v>0</v>
      </c>
      <c r="Y38" s="585">
        <f>X38*Y35</f>
        <v>0</v>
      </c>
      <c r="Z38" s="335"/>
      <c r="AA38" s="1076" t="s">
        <v>571</v>
      </c>
      <c r="AB38" s="1077"/>
      <c r="AC38" s="578">
        <f>IF((VLOOKUP($P34,$H$9:$K$13,(MATCH(AA$1,$I$8:$K$8,0))+1))=0,,VLOOKUP((VLOOKUP($P34,$H$9:$K$13,(MATCH(AA$1,$I$8:$K$8,0))+1)),$H$17:$N$35,7,FALSE))</f>
        <v>0</v>
      </c>
      <c r="AD38" s="579">
        <f>AC38*AD35</f>
        <v>0</v>
      </c>
    </row>
    <row r="39" spans="1:30">
      <c r="A39" s="1098"/>
      <c r="B39" s="1099"/>
      <c r="C39" s="1099"/>
      <c r="D39" s="1099"/>
      <c r="E39" s="1099"/>
      <c r="F39" s="1100"/>
      <c r="G39" s="371"/>
      <c r="H39" s="378" t="s">
        <v>313</v>
      </c>
      <c r="I39" s="1092" t="s">
        <v>325</v>
      </c>
      <c r="J39" s="1093"/>
      <c r="K39" s="1093"/>
      <c r="L39" s="1093"/>
      <c r="M39" s="1093"/>
      <c r="N39" s="1094"/>
      <c r="O39" s="323"/>
      <c r="P39" s="1064"/>
      <c r="Q39" s="1078" t="s">
        <v>315</v>
      </c>
      <c r="R39" s="1079"/>
      <c r="S39" s="573">
        <f>IF((VLOOKUP($P34,$H$9:$K$13,(MATCH(Q$1,$I$8:$K$8,0))+1))=0,,VLOOKUP((VLOOKUP($P34,$H$9:$K$13,(MATCH(Q$1,$I$8:$K$8,0))+1)),$H$16:$N$35,4,FALSE))</f>
        <v>0</v>
      </c>
      <c r="T39" s="339">
        <f>S39*T35*(R35-1)</f>
        <v>0</v>
      </c>
      <c r="U39" s="336"/>
      <c r="V39" s="1090" t="s">
        <v>315</v>
      </c>
      <c r="W39" s="1091"/>
      <c r="X39" s="575">
        <f>IF((VLOOKUP($P34,$H$9:$K$13,(MATCH(V$1,$I$8:$K$8,0))+1))=0,,VLOOKUP((VLOOKUP($P34,$H$9:$K$13,(MATCH(V$1,$I$8:$K$8,0))+1)),$H$16:$N$35,4,FALSE))</f>
        <v>0</v>
      </c>
      <c r="Y39" s="340">
        <f>X39*Y35*(W35-1)</f>
        <v>0</v>
      </c>
      <c r="Z39" s="336"/>
      <c r="AA39" s="1078" t="s">
        <v>315</v>
      </c>
      <c r="AB39" s="1079"/>
      <c r="AC39" s="573">
        <f>IF((VLOOKUP($P34,$H$9:$K$13,(MATCH(AA$1,$I$8:$K$8,0))+1))=0,,VLOOKUP((VLOOKUP($P34,$H$9:$K$13,(MATCH(AA$1,$I$8:$K$8,0))+1)),$H$16:$N$35,4,FALSE))</f>
        <v>0</v>
      </c>
      <c r="AD39" s="339">
        <f>AC39*AD35*(AB35-1)</f>
        <v>0</v>
      </c>
    </row>
    <row r="40" spans="1:30" ht="15.75" thickBot="1">
      <c r="A40" s="1098"/>
      <c r="B40" s="1099"/>
      <c r="C40" s="1099"/>
      <c r="D40" s="1099"/>
      <c r="E40" s="1099"/>
      <c r="F40" s="1100"/>
      <c r="G40" s="323"/>
      <c r="H40" s="378" t="s">
        <v>314</v>
      </c>
      <c r="I40" s="1092" t="s">
        <v>326</v>
      </c>
      <c r="J40" s="1093"/>
      <c r="K40" s="1093"/>
      <c r="L40" s="1093"/>
      <c r="M40" s="1093"/>
      <c r="N40" s="1094"/>
      <c r="O40" s="336"/>
      <c r="P40" s="1064"/>
      <c r="Q40" s="1080" t="s">
        <v>316</v>
      </c>
      <c r="R40" s="1081"/>
      <c r="S40" s="574">
        <f>IF((VLOOKUP($P34,$H$9:$K$13,(MATCH(Q$1,$I$8:$K$8,0))+1))=0,,VLOOKUP((VLOOKUP($P34,$H$9:$K$13,(MATCH(Q$1,$I$8:$K$8,0))+1)),$H$16:$N$35,5,FALSE))</f>
        <v>0</v>
      </c>
      <c r="T40" s="345">
        <f>S40*(R35-(2*0.25))*T35</f>
        <v>0</v>
      </c>
      <c r="U40" s="335"/>
      <c r="V40" s="1088" t="s">
        <v>316</v>
      </c>
      <c r="W40" s="1089"/>
      <c r="X40" s="576">
        <f>IF((VLOOKUP($P34,$H$9:$K$13,(MATCH(V$1,$I$8:$K$8,0))+1))=0,,VLOOKUP((VLOOKUP($P34,$H$9:$K$13,(MATCH(V$1,$I$8:$K$8,0))+1)),$H$16:$N$35,5,FALSE))</f>
        <v>0</v>
      </c>
      <c r="Y40" s="346">
        <f>X40*(W35-(2*0.25))*Y35</f>
        <v>0</v>
      </c>
      <c r="Z40" s="335"/>
      <c r="AA40" s="1080" t="s">
        <v>316</v>
      </c>
      <c r="AB40" s="1081"/>
      <c r="AC40" s="574">
        <f>IF((VLOOKUP($P34,$H$9:$K$13,(MATCH(AA$1,$I$8:$K$8,0))+1))=0,,VLOOKUP((VLOOKUP($P34,$H$9:$K$13,(MATCH(AA$1,$I$8:$K$8,0))+1)),$H$16:$N$35,5,FALSE))</f>
        <v>0</v>
      </c>
      <c r="AD40" s="345">
        <f>AC40*(AB35-(2*0.25))*AD35</f>
        <v>0</v>
      </c>
    </row>
    <row r="41" spans="1:30" ht="16.5" thickTop="1" thickBot="1">
      <c r="A41" s="1101"/>
      <c r="B41" s="1102"/>
      <c r="C41" s="1102"/>
      <c r="D41" s="1102"/>
      <c r="E41" s="1102"/>
      <c r="F41" s="1103"/>
      <c r="G41" s="325"/>
      <c r="H41" s="379"/>
      <c r="I41" s="1105" t="s">
        <v>327</v>
      </c>
      <c r="J41" s="1106"/>
      <c r="K41" s="1106"/>
      <c r="L41" s="1106"/>
      <c r="M41" s="1106"/>
      <c r="N41" s="1107"/>
      <c r="O41" s="336"/>
      <c r="P41" s="1065"/>
      <c r="Q41" s="1082" t="str">
        <f>IF((VLOOKUP($P34,$H$9:$K$13,(MATCH(Q$1,$I$8:$K$8,0))+1))=0,"",VLOOKUP((VLOOKUP($P34,$H$9:$K$13,(MATCH(Q$1,$I$8:$K$8,0))+1)),$H$17:$M$35,3,FALSE))</f>
        <v/>
      </c>
      <c r="R41" s="1083"/>
      <c r="S41" s="580" t="s">
        <v>572</v>
      </c>
      <c r="T41" s="351">
        <f>SUM(T37:T40)</f>
        <v>0</v>
      </c>
      <c r="U41" s="352"/>
      <c r="V41" s="1082" t="str">
        <f>IF((VLOOKUP($P34,$H$9:$K$13,(MATCH(V$1,$I$8:$K$8,0))+1))=0,"",VLOOKUP((VLOOKUP($P34,$H$9:$K$13,(MATCH(V$1,$I$8:$K$8,0))+1)),$H$17:$M$35,3,FALSE))</f>
        <v/>
      </c>
      <c r="W41" s="1083"/>
      <c r="X41" s="580" t="s">
        <v>572</v>
      </c>
      <c r="Y41" s="351">
        <f>SUM(Y37:Y40)</f>
        <v>0</v>
      </c>
      <c r="Z41" s="352"/>
      <c r="AA41" s="1082" t="str">
        <f>IF((VLOOKUP($P34,$H$9:$K$13,(MATCH(AA$1,$I$8:$K$8,0))+1))=0,"",VLOOKUP((VLOOKUP($P34,$H$9:$K$13,(MATCH(AA$1,$I$8:$K$8,0))+1)),$H$17:$M$35,3,FALSE))</f>
        <v/>
      </c>
      <c r="AB41" s="1083"/>
      <c r="AC41" s="580" t="s">
        <v>572</v>
      </c>
      <c r="AD41" s="351">
        <f>SUM(AD37:AD40)</f>
        <v>0</v>
      </c>
    </row>
    <row r="42" spans="1:30" ht="15.75" customHeight="1">
      <c r="G42" s="330"/>
      <c r="O42" s="336"/>
    </row>
    <row r="43" spans="1:30">
      <c r="G43" s="330"/>
      <c r="O43" s="336"/>
    </row>
    <row r="44" spans="1:30">
      <c r="G44" s="330"/>
      <c r="O44" s="371"/>
    </row>
    <row r="45" spans="1:30">
      <c r="O45" s="323"/>
    </row>
    <row r="46" spans="1:30">
      <c r="O46" s="325"/>
    </row>
    <row r="47" spans="1:30">
      <c r="O47" s="330"/>
    </row>
    <row r="48" spans="1:30">
      <c r="O48" s="330"/>
    </row>
    <row r="49" spans="7:15">
      <c r="G49" s="336"/>
      <c r="O49" s="330"/>
    </row>
    <row r="50" spans="7:15" ht="15.75" customHeight="1">
      <c r="G50" s="336"/>
      <c r="M50" s="381"/>
      <c r="N50" s="381"/>
      <c r="O50" s="371"/>
    </row>
    <row r="51" spans="7:15">
      <c r="G51" s="371"/>
    </row>
    <row r="60" spans="7:15">
      <c r="M60" s="381"/>
      <c r="N60" s="381"/>
    </row>
    <row r="70" spans="1:30" s="361" customFormat="1">
      <c r="A70" s="377"/>
      <c r="B70" s="377"/>
      <c r="C70" s="377"/>
      <c r="D70" s="377"/>
      <c r="E70" s="377"/>
      <c r="F70" s="377"/>
      <c r="H70" s="324"/>
      <c r="I70" s="324"/>
      <c r="J70" s="324"/>
      <c r="K70" s="324"/>
      <c r="L70" s="324"/>
      <c r="M70" s="381"/>
      <c r="N70" s="381"/>
      <c r="P70" s="324"/>
      <c r="Q70" s="324"/>
      <c r="R70" s="324"/>
      <c r="S70" s="324"/>
      <c r="T70" s="324"/>
      <c r="U70" s="380"/>
      <c r="V70" s="324"/>
      <c r="W70" s="324"/>
      <c r="X70" s="324"/>
      <c r="Y70" s="324"/>
      <c r="Z70" s="380"/>
      <c r="AA70" s="324"/>
      <c r="AB70" s="324"/>
      <c r="AC70" s="324"/>
      <c r="AD70" s="324"/>
    </row>
  </sheetData>
  <dataConsolidate/>
  <mergeCells count="128">
    <mergeCell ref="AA28:AC28"/>
    <mergeCell ref="Q30:R30"/>
    <mergeCell ref="V30:W30"/>
    <mergeCell ref="AA30:AB30"/>
    <mergeCell ref="Q24:R24"/>
    <mergeCell ref="V24:W24"/>
    <mergeCell ref="AA24:AB24"/>
    <mergeCell ref="Q25:R25"/>
    <mergeCell ref="V25:W25"/>
    <mergeCell ref="AA25:AB25"/>
    <mergeCell ref="AA26:AD26"/>
    <mergeCell ref="AA4:AC4"/>
    <mergeCell ref="AA6:AB6"/>
    <mergeCell ref="AA7:AB7"/>
    <mergeCell ref="AA8:AB8"/>
    <mergeCell ref="AA9:AB9"/>
    <mergeCell ref="AA21:AB21"/>
    <mergeCell ref="AA5:AB5"/>
    <mergeCell ref="AA10:AD10"/>
    <mergeCell ref="AA12:AC12"/>
    <mergeCell ref="V6:W6"/>
    <mergeCell ref="V7:W7"/>
    <mergeCell ref="V8:W8"/>
    <mergeCell ref="H1:N1"/>
    <mergeCell ref="H37:N37"/>
    <mergeCell ref="I38:N38"/>
    <mergeCell ref="I39:N39"/>
    <mergeCell ref="V9:W9"/>
    <mergeCell ref="V12:X12"/>
    <mergeCell ref="Q5:R5"/>
    <mergeCell ref="V5:W5"/>
    <mergeCell ref="I4:L5"/>
    <mergeCell ref="Q4:S4"/>
    <mergeCell ref="Q20:S20"/>
    <mergeCell ref="V20:X20"/>
    <mergeCell ref="Q22:R22"/>
    <mergeCell ref="V22:W22"/>
    <mergeCell ref="Q28:S28"/>
    <mergeCell ref="V28:X28"/>
    <mergeCell ref="Q33:R33"/>
    <mergeCell ref="V33:W33"/>
    <mergeCell ref="Q36:S36"/>
    <mergeCell ref="V36:X36"/>
    <mergeCell ref="Q31:R31"/>
    <mergeCell ref="I40:N40"/>
    <mergeCell ref="A37:F41"/>
    <mergeCell ref="Q37:R37"/>
    <mergeCell ref="V37:W37"/>
    <mergeCell ref="A15:F35"/>
    <mergeCell ref="P26:P33"/>
    <mergeCell ref="P18:P25"/>
    <mergeCell ref="Q18:T18"/>
    <mergeCell ref="V18:Y18"/>
    <mergeCell ref="I41:N41"/>
    <mergeCell ref="Q15:R15"/>
    <mergeCell ref="V15:W15"/>
    <mergeCell ref="Q21:R21"/>
    <mergeCell ref="V21:W21"/>
    <mergeCell ref="Q26:T26"/>
    <mergeCell ref="V26:Y26"/>
    <mergeCell ref="Q23:R23"/>
    <mergeCell ref="V23:W23"/>
    <mergeCell ref="V31:W31"/>
    <mergeCell ref="Q32:R32"/>
    <mergeCell ref="V32:W32"/>
    <mergeCell ref="Q40:R40"/>
    <mergeCell ref="V40:W40"/>
    <mergeCell ref="Q41:R41"/>
    <mergeCell ref="AA37:AB37"/>
    <mergeCell ref="P34:P41"/>
    <mergeCell ref="Q34:T34"/>
    <mergeCell ref="V34:Y34"/>
    <mergeCell ref="AA34:AD34"/>
    <mergeCell ref="Q38:R38"/>
    <mergeCell ref="Q29:R29"/>
    <mergeCell ref="V29:W29"/>
    <mergeCell ref="AA29:AB29"/>
    <mergeCell ref="AA33:AB33"/>
    <mergeCell ref="AA36:AC36"/>
    <mergeCell ref="AA31:AB31"/>
    <mergeCell ref="AA32:AB32"/>
    <mergeCell ref="AA40:AB40"/>
    <mergeCell ref="V41:W41"/>
    <mergeCell ref="AA41:AB41"/>
    <mergeCell ref="V38:W38"/>
    <mergeCell ref="AA38:AB38"/>
    <mergeCell ref="Q39:R39"/>
    <mergeCell ref="V39:W39"/>
    <mergeCell ref="AA39:AB39"/>
    <mergeCell ref="AA23:AB23"/>
    <mergeCell ref="AA13:AB13"/>
    <mergeCell ref="AA18:AD18"/>
    <mergeCell ref="Q14:R14"/>
    <mergeCell ref="V14:W14"/>
    <mergeCell ref="AA14:AB14"/>
    <mergeCell ref="AA15:AB15"/>
    <mergeCell ref="Q16:R16"/>
    <mergeCell ref="V16:W16"/>
    <mergeCell ref="AA16:AB16"/>
    <mergeCell ref="Q17:R17"/>
    <mergeCell ref="V17:W17"/>
    <mergeCell ref="AA17:AB17"/>
    <mergeCell ref="AA20:AC20"/>
    <mergeCell ref="AA22:AB22"/>
    <mergeCell ref="A1:F1"/>
    <mergeCell ref="Q1:T1"/>
    <mergeCell ref="V1:Y1"/>
    <mergeCell ref="AA1:AD1"/>
    <mergeCell ref="A2:F4"/>
    <mergeCell ref="I2:K2"/>
    <mergeCell ref="P2:P9"/>
    <mergeCell ref="Q2:T2"/>
    <mergeCell ref="AA2:AD2"/>
    <mergeCell ref="I3:K3"/>
    <mergeCell ref="A6:F13"/>
    <mergeCell ref="P10:P17"/>
    <mergeCell ref="Q10:T10"/>
    <mergeCell ref="V10:Y10"/>
    <mergeCell ref="Q13:R13"/>
    <mergeCell ref="V13:W13"/>
    <mergeCell ref="H7:N7"/>
    <mergeCell ref="Q6:R6"/>
    <mergeCell ref="Q7:R7"/>
    <mergeCell ref="Q8:R8"/>
    <mergeCell ref="Q9:R9"/>
    <mergeCell ref="Q12:S12"/>
    <mergeCell ref="V2:Y2"/>
    <mergeCell ref="V4:X4"/>
  </mergeCells>
  <dataValidations count="2">
    <dataValidation type="list" allowBlank="1" showInputMessage="1" showErrorMessage="1" sqref="J17:J35" xr:uid="{00000000-0002-0000-0A00-000000000000}">
      <formula1>$L$8:$M$8</formula1>
    </dataValidation>
    <dataValidation type="list" allowBlank="1" showDropDown="1" showInputMessage="1" showErrorMessage="1" sqref="I9:K13" xr:uid="{00000000-0002-0000-0A00-000001000000}">
      <formula1>$H$17:$H$35</formula1>
    </dataValidation>
  </dataValidations>
  <hyperlinks>
    <hyperlink ref="I38:J38" r:id="rId1" display="Continental US (CONUS) (GSA)" xr:uid="{00000000-0004-0000-0A00-000000000000}"/>
    <hyperlink ref="I39:J39" r:id="rId2" display="Alaska, Hawaii (DoD)" xr:uid="{00000000-0004-0000-0A00-000001000000}"/>
    <hyperlink ref="I40:J40" r:id="rId3" display="Foreign (State Dept.)" xr:uid="{00000000-0004-0000-0A00-000002000000}"/>
    <hyperlink ref="I39:K39" r:id="rId4" display="Alaska, Hawaii, Overseas Territories (DoD)" xr:uid="{00000000-0004-0000-0A00-000003000000}"/>
    <hyperlink ref="I41:L41" r:id="rId5" display="Northwestern University Travel Services" xr:uid="{00000000-0004-0000-0A00-000004000000}"/>
    <hyperlink ref="I39:L39" r:id="rId6" display="DoD Alaska, Hawaii, and Overseas Territories Per Diem Rates" xr:uid="{00000000-0004-0000-0A00-000005000000}"/>
    <hyperlink ref="I40:L40" r:id="rId7" display="State Department Foreign Travel Per Diem Rates" xr:uid="{00000000-0004-0000-0A00-000006000000}"/>
  </hyperlinks>
  <pageMargins left="0.7" right="0.7" top="0.75" bottom="0.75" header="0.3" footer="0.3"/>
  <pageSetup scale="67" orientation="landscape" r:id="rId8"/>
  <headerFooter>
    <oddHeader>&amp;LTravel Planner&amp;C=</oddHeader>
  </headerFooter>
  <legacy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A1:P43"/>
  <sheetViews>
    <sheetView workbookViewId="0">
      <selection activeCell="P1" sqref="P1"/>
    </sheetView>
  </sheetViews>
  <sheetFormatPr defaultRowHeight="15"/>
  <cols>
    <col min="1" max="1" width="57.140625" style="549" customWidth="1"/>
    <col min="2" max="2" width="5.7109375" style="549" customWidth="1"/>
    <col min="3" max="3" width="2.85546875" style="548" customWidth="1"/>
    <col min="4" max="4" width="5.7109375" style="548" customWidth="1"/>
    <col min="5" max="5" width="2.85546875" style="548" customWidth="1"/>
    <col min="6" max="6" width="5.7109375" style="548" customWidth="1"/>
    <col min="7" max="7" width="2.85546875" style="548" customWidth="1"/>
    <col min="8" max="8" width="5.7109375" style="548" customWidth="1"/>
    <col min="9" max="9" width="2.85546875" style="548" customWidth="1"/>
    <col min="10" max="10" width="5.7109375" style="548" customWidth="1"/>
    <col min="11" max="11" width="2.85546875" style="548" customWidth="1"/>
    <col min="12" max="12" width="5.7109375" style="548" customWidth="1"/>
    <col min="13" max="13" width="2.85546875" style="548" customWidth="1"/>
    <col min="14" max="14" width="5.7109375" style="548" customWidth="1"/>
    <col min="15" max="15" width="2.85546875" style="548" customWidth="1"/>
    <col min="16" max="16384" width="9.140625" style="548"/>
  </cols>
  <sheetData>
    <row r="1" spans="1:16" ht="30" customHeight="1">
      <c r="A1" s="1111" t="s">
        <v>566</v>
      </c>
      <c r="B1" s="1111"/>
      <c r="C1" s="1111"/>
      <c r="D1" s="1111"/>
      <c r="E1" s="1111"/>
      <c r="F1" s="1111"/>
      <c r="G1" s="1111"/>
      <c r="H1" s="1111"/>
      <c r="I1" s="1111"/>
      <c r="J1" s="1111"/>
      <c r="K1" s="1111"/>
      <c r="L1" s="1111"/>
      <c r="M1" s="1111"/>
      <c r="N1" s="1111"/>
      <c r="O1" s="1111"/>
      <c r="P1" s="553" t="s">
        <v>567</v>
      </c>
    </row>
    <row r="2" spans="1:16" ht="30" customHeight="1">
      <c r="A2" s="556" t="s">
        <v>515</v>
      </c>
      <c r="B2" s="1110" t="str">
        <f>'BP1'!A1</f>
        <v>Title</v>
      </c>
      <c r="C2" s="1110"/>
      <c r="D2" s="1110"/>
      <c r="E2" s="1110"/>
      <c r="F2" s="1110"/>
      <c r="G2" s="1110"/>
      <c r="H2" s="1110"/>
      <c r="I2" s="1110"/>
      <c r="J2" s="1110"/>
      <c r="K2" s="1110"/>
      <c r="L2" s="1110"/>
      <c r="M2" s="1110"/>
      <c r="N2" s="1110"/>
      <c r="O2" s="1110"/>
      <c r="P2" s="554" t="s">
        <v>544</v>
      </c>
    </row>
    <row r="3" spans="1:16" ht="15" customHeight="1">
      <c r="A3" s="556" t="s">
        <v>565</v>
      </c>
      <c r="B3" s="1110" t="str">
        <f ca="1">TEXT('BP1'!K8,"m/d/yyyy")&amp;" to "&amp;TEXT(INDIRECT("BP"&amp;'BP1'!K5&amp;"!K10"),"m/d/yyyy")</f>
        <v>9/1/2019 to 8/31/2020</v>
      </c>
      <c r="C3" s="1110"/>
      <c r="D3" s="1110"/>
      <c r="E3" s="1110"/>
      <c r="F3" s="1110"/>
      <c r="G3" s="1110"/>
      <c r="H3" s="1110"/>
      <c r="I3" s="1110"/>
      <c r="J3" s="1110"/>
      <c r="K3" s="1110"/>
      <c r="L3" s="1110"/>
      <c r="M3" s="1110"/>
      <c r="N3" s="1110"/>
      <c r="O3" s="1110"/>
      <c r="P3" s="554" t="s">
        <v>544</v>
      </c>
    </row>
    <row r="4" spans="1:16" ht="30" customHeight="1">
      <c r="A4" s="557" t="s">
        <v>564</v>
      </c>
      <c r="B4" s="1110" t="str">
        <f>IF('BP1'!L2="Off Campus","Off Campus","On Campus")</f>
        <v>On Campus</v>
      </c>
      <c r="C4" s="1110"/>
      <c r="D4" s="1110"/>
      <c r="E4" s="1110"/>
      <c r="F4" s="1110"/>
      <c r="G4" s="1110"/>
      <c r="H4" s="1110"/>
      <c r="I4" s="1110"/>
      <c r="J4" s="1110"/>
      <c r="K4" s="1110"/>
      <c r="L4" s="1110"/>
      <c r="M4" s="1110"/>
      <c r="N4" s="1110"/>
      <c r="O4" s="1110"/>
      <c r="P4" s="554" t="s">
        <v>544</v>
      </c>
    </row>
    <row r="5" spans="1:16" ht="30" customHeight="1">
      <c r="A5" s="557" t="s">
        <v>563</v>
      </c>
      <c r="B5" s="1110"/>
      <c r="C5" s="1110"/>
      <c r="D5" s="1110"/>
      <c r="E5" s="1110"/>
      <c r="F5" s="1110"/>
      <c r="G5" s="1110"/>
      <c r="H5" s="1110"/>
      <c r="I5" s="1110"/>
      <c r="J5" s="1110"/>
      <c r="K5" s="1110"/>
      <c r="L5" s="1110"/>
      <c r="M5" s="1110"/>
      <c r="N5" s="1110"/>
      <c r="O5" s="1110"/>
      <c r="P5" s="554" t="s">
        <v>544</v>
      </c>
    </row>
    <row r="6" spans="1:16" ht="15" customHeight="1">
      <c r="A6" s="557" t="s">
        <v>562</v>
      </c>
      <c r="B6" s="558" t="s">
        <v>561</v>
      </c>
      <c r="C6" s="559"/>
      <c r="D6" s="558" t="s">
        <v>560</v>
      </c>
      <c r="E6" s="559"/>
      <c r="F6" s="558" t="s">
        <v>559</v>
      </c>
      <c r="G6" s="559"/>
      <c r="H6" s="558" t="s">
        <v>558</v>
      </c>
      <c r="I6" s="559"/>
      <c r="J6" s="558" t="s">
        <v>557</v>
      </c>
      <c r="K6" s="559"/>
      <c r="L6" s="558" t="s">
        <v>556</v>
      </c>
      <c r="M6" s="559"/>
      <c r="N6" s="558" t="s">
        <v>555</v>
      </c>
      <c r="O6" s="559"/>
      <c r="P6" s="554" t="s">
        <v>544</v>
      </c>
    </row>
    <row r="7" spans="1:16" ht="15" customHeight="1">
      <c r="A7" s="557" t="s">
        <v>554</v>
      </c>
      <c r="B7" s="1112"/>
      <c r="C7" s="1112"/>
      <c r="D7" s="1112"/>
      <c r="E7" s="1112"/>
      <c r="F7" s="1112"/>
      <c r="G7" s="1112"/>
      <c r="H7" s="1112"/>
      <c r="I7" s="1112"/>
      <c r="J7" s="1112"/>
      <c r="K7" s="1112"/>
      <c r="L7" s="1112"/>
      <c r="M7" s="1112"/>
      <c r="N7" s="1112"/>
      <c r="O7" s="1112"/>
      <c r="P7" s="554" t="s">
        <v>544</v>
      </c>
    </row>
    <row r="8" spans="1:16" ht="15" customHeight="1">
      <c r="A8" s="557" t="s">
        <v>553</v>
      </c>
      <c r="B8" s="1110"/>
      <c r="C8" s="1110"/>
      <c r="D8" s="1110"/>
      <c r="E8" s="1110"/>
      <c r="F8" s="1110"/>
      <c r="G8" s="1110"/>
      <c r="H8" s="1110"/>
      <c r="I8" s="1110"/>
      <c r="J8" s="1110"/>
      <c r="K8" s="1110"/>
      <c r="L8" s="1110"/>
      <c r="M8" s="1110"/>
      <c r="N8" s="1110"/>
      <c r="O8" s="1110"/>
      <c r="P8" s="554" t="s">
        <v>544</v>
      </c>
    </row>
    <row r="9" spans="1:16" ht="15" customHeight="1">
      <c r="A9" s="557" t="s">
        <v>552</v>
      </c>
      <c r="B9" s="1110"/>
      <c r="C9" s="1110"/>
      <c r="D9" s="1110"/>
      <c r="E9" s="1110"/>
      <c r="F9" s="1110"/>
      <c r="G9" s="1110"/>
      <c r="H9" s="1110"/>
      <c r="I9" s="1110"/>
      <c r="J9" s="1110"/>
      <c r="K9" s="1110"/>
      <c r="L9" s="1110"/>
      <c r="M9" s="1110"/>
      <c r="N9" s="1110"/>
      <c r="O9" s="1110"/>
      <c r="P9" s="554" t="s">
        <v>544</v>
      </c>
    </row>
    <row r="10" spans="1:16" ht="15" customHeight="1">
      <c r="A10" s="557" t="s">
        <v>551</v>
      </c>
      <c r="B10" s="1110"/>
      <c r="C10" s="1110"/>
      <c r="D10" s="1110"/>
      <c r="E10" s="1110"/>
      <c r="F10" s="1110"/>
      <c r="G10" s="1110"/>
      <c r="H10" s="1110"/>
      <c r="I10" s="1110"/>
      <c r="J10" s="1110"/>
      <c r="K10" s="1110"/>
      <c r="L10" s="1110"/>
      <c r="M10" s="1110"/>
      <c r="N10" s="1110"/>
      <c r="O10" s="1110"/>
      <c r="P10" s="554" t="s">
        <v>544</v>
      </c>
    </row>
    <row r="11" spans="1:16" ht="15" customHeight="1">
      <c r="A11" s="557" t="str">
        <f>IF(B10="Yes","If a computer cluster is purchased, will computer space be required?","")</f>
        <v/>
      </c>
      <c r="B11" s="1110"/>
      <c r="C11" s="1110"/>
      <c r="D11" s="1110"/>
      <c r="E11" s="1110"/>
      <c r="F11" s="1110"/>
      <c r="G11" s="1110"/>
      <c r="H11" s="1110"/>
      <c r="I11" s="1110"/>
      <c r="J11" s="1110"/>
      <c r="K11" s="1110"/>
      <c r="L11" s="1110"/>
      <c r="M11" s="1110"/>
      <c r="N11" s="1110"/>
      <c r="O11" s="1110"/>
      <c r="P11" s="555" t="str">
        <f>IF(A11="","","Standard")</f>
        <v/>
      </c>
    </row>
    <row r="12" spans="1:16" ht="15" customHeight="1">
      <c r="A12" s="557" t="str">
        <f>IF('Cumulative Budget'!K45+'Cumulative Budget'!N45&gt;0,"If capital equipment is purchased, describe.","")</f>
        <v/>
      </c>
      <c r="B12" s="1110"/>
      <c r="C12" s="1110"/>
      <c r="D12" s="1110"/>
      <c r="E12" s="1110"/>
      <c r="F12" s="1110"/>
      <c r="G12" s="1110"/>
      <c r="H12" s="1110"/>
      <c r="I12" s="1110"/>
      <c r="J12" s="1110"/>
      <c r="K12" s="1110"/>
      <c r="L12" s="1110"/>
      <c r="M12" s="1110"/>
      <c r="N12" s="1110"/>
      <c r="O12" s="1110"/>
      <c r="P12" s="555" t="str">
        <f>IF(A12="","","Standard")</f>
        <v/>
      </c>
    </row>
    <row r="13" spans="1:16" ht="30" customHeight="1">
      <c r="A13" s="557" t="s">
        <v>550</v>
      </c>
      <c r="B13" s="1110"/>
      <c r="C13" s="1110"/>
      <c r="D13" s="1110"/>
      <c r="E13" s="1110"/>
      <c r="F13" s="1110"/>
      <c r="G13" s="1110"/>
      <c r="H13" s="1110"/>
      <c r="I13" s="1110"/>
      <c r="J13" s="1110"/>
      <c r="K13" s="1110"/>
      <c r="L13" s="1110"/>
      <c r="M13" s="1110"/>
      <c r="N13" s="1110"/>
      <c r="O13" s="1110"/>
      <c r="P13" s="554" t="s">
        <v>544</v>
      </c>
    </row>
    <row r="14" spans="1:16" ht="30" customHeight="1">
      <c r="A14" s="557" t="str">
        <f>IF(B13="Yes","Does the proposed research involve the use of human embryonic stem cells?","")</f>
        <v/>
      </c>
      <c r="B14" s="1110"/>
      <c r="C14" s="1110"/>
      <c r="D14" s="1110"/>
      <c r="E14" s="1110"/>
      <c r="F14" s="1110"/>
      <c r="G14" s="1110"/>
      <c r="H14" s="1110"/>
      <c r="I14" s="1110"/>
      <c r="J14" s="1110"/>
      <c r="K14" s="1110"/>
      <c r="L14" s="1110"/>
      <c r="M14" s="1110"/>
      <c r="N14" s="1110"/>
      <c r="O14" s="1110"/>
      <c r="P14" s="555" t="str">
        <f>IF(A14="","","Standard")</f>
        <v/>
      </c>
    </row>
    <row r="15" spans="1:16" ht="45" customHeight="1">
      <c r="A15" s="557" t="s">
        <v>549</v>
      </c>
      <c r="B15" s="1110"/>
      <c r="C15" s="1110"/>
      <c r="D15" s="1110"/>
      <c r="E15" s="1110"/>
      <c r="F15" s="1110"/>
      <c r="G15" s="1110"/>
      <c r="H15" s="1110"/>
      <c r="I15" s="1110"/>
      <c r="J15" s="1110"/>
      <c r="K15" s="1110"/>
      <c r="L15" s="1110"/>
      <c r="M15" s="1110"/>
      <c r="N15" s="1110"/>
      <c r="O15" s="1110"/>
      <c r="P15" s="554" t="s">
        <v>544</v>
      </c>
    </row>
    <row r="16" spans="1:16" ht="15" customHeight="1">
      <c r="A16" s="557" t="str">
        <f>IF(B15="Yes","If so, what are the patent numbers?","")</f>
        <v/>
      </c>
      <c r="B16" s="1110"/>
      <c r="C16" s="1110"/>
      <c r="D16" s="1110"/>
      <c r="E16" s="1110"/>
      <c r="F16" s="1110"/>
      <c r="G16" s="1110"/>
      <c r="H16" s="1110"/>
      <c r="I16" s="1110"/>
      <c r="J16" s="1110"/>
      <c r="K16" s="1110"/>
      <c r="L16" s="1110"/>
      <c r="M16" s="1110"/>
      <c r="N16" s="1110"/>
      <c r="O16" s="1110"/>
      <c r="P16" s="555" t="str">
        <f>IF(A16="","","Standard")</f>
        <v/>
      </c>
    </row>
    <row r="17" spans="1:16" ht="30" customHeight="1">
      <c r="A17" s="557" t="s">
        <v>548</v>
      </c>
      <c r="B17" s="1110"/>
      <c r="C17" s="1110"/>
      <c r="D17" s="1110"/>
      <c r="E17" s="1110"/>
      <c r="F17" s="1110"/>
      <c r="G17" s="1110"/>
      <c r="H17" s="1110"/>
      <c r="I17" s="1110"/>
      <c r="J17" s="1110"/>
      <c r="K17" s="1110"/>
      <c r="L17" s="1110"/>
      <c r="M17" s="1110"/>
      <c r="N17" s="1110"/>
      <c r="O17" s="1110"/>
      <c r="P17" s="554" t="s">
        <v>544</v>
      </c>
    </row>
    <row r="18" spans="1:16" ht="30" customHeight="1">
      <c r="A18" s="557" t="s">
        <v>547</v>
      </c>
      <c r="B18" s="1110"/>
      <c r="C18" s="1110"/>
      <c r="D18" s="1110"/>
      <c r="E18" s="1110"/>
      <c r="F18" s="1110"/>
      <c r="G18" s="1110"/>
      <c r="H18" s="1110"/>
      <c r="I18" s="1110"/>
      <c r="J18" s="1110"/>
      <c r="K18" s="1110"/>
      <c r="L18" s="1110"/>
      <c r="M18" s="1110"/>
      <c r="N18" s="1110"/>
      <c r="O18" s="1110"/>
      <c r="P18" s="554" t="s">
        <v>544</v>
      </c>
    </row>
    <row r="19" spans="1:16" ht="15" customHeight="1">
      <c r="A19" s="557" t="s">
        <v>546</v>
      </c>
      <c r="B19" s="1110"/>
      <c r="C19" s="1110"/>
      <c r="D19" s="1110"/>
      <c r="E19" s="1110"/>
      <c r="F19" s="1110"/>
      <c r="G19" s="1110"/>
      <c r="H19" s="1110"/>
      <c r="I19" s="1110"/>
      <c r="J19" s="1110"/>
      <c r="K19" s="1110"/>
      <c r="L19" s="1110"/>
      <c r="M19" s="1110"/>
      <c r="N19" s="1110"/>
      <c r="O19" s="1110"/>
      <c r="P19" s="554" t="s">
        <v>544</v>
      </c>
    </row>
    <row r="20" spans="1:16" ht="15" customHeight="1">
      <c r="A20" s="557" t="str">
        <f>IF(B19="Yes","If so, is vertebrate animal use indefinite?","")</f>
        <v/>
      </c>
      <c r="B20" s="1110"/>
      <c r="C20" s="1110"/>
      <c r="D20" s="1110"/>
      <c r="E20" s="1110"/>
      <c r="F20" s="1110"/>
      <c r="G20" s="1110"/>
      <c r="H20" s="1110"/>
      <c r="I20" s="1110"/>
      <c r="J20" s="1110"/>
      <c r="K20" s="1110"/>
      <c r="L20" s="1110"/>
      <c r="M20" s="1110"/>
      <c r="N20" s="1110"/>
      <c r="O20" s="1110"/>
      <c r="P20" s="555" t="str">
        <f>IF(A20="","","NRSA")</f>
        <v/>
      </c>
    </row>
    <row r="21" spans="1:16" ht="30" customHeight="1">
      <c r="A21" s="557" t="str">
        <f>IF(SUM('Cumulative Budget'!K62:'Cumulative Budget'!K73)&gt;0,"If there are subcontracts proposed in this project, do any of them involve the use of vertebrate animal subjects?","")</f>
        <v/>
      </c>
      <c r="B21" s="1110"/>
      <c r="C21" s="1110"/>
      <c r="D21" s="1110"/>
      <c r="E21" s="1110"/>
      <c r="F21" s="1110"/>
      <c r="G21" s="1110"/>
      <c r="H21" s="1110"/>
      <c r="I21" s="1110"/>
      <c r="J21" s="1110"/>
      <c r="K21" s="1110"/>
      <c r="L21" s="1110"/>
      <c r="M21" s="1110"/>
      <c r="N21" s="1110"/>
      <c r="O21" s="1110"/>
      <c r="P21" s="555" t="str">
        <f>IF(A21="","","Standard")</f>
        <v/>
      </c>
    </row>
    <row r="22" spans="1:16" ht="30" customHeight="1">
      <c r="A22" s="557" t="s">
        <v>545</v>
      </c>
      <c r="B22" s="1110"/>
      <c r="C22" s="1110"/>
      <c r="D22" s="1110"/>
      <c r="E22" s="1110"/>
      <c r="F22" s="1110"/>
      <c r="G22" s="1110"/>
      <c r="H22" s="1110"/>
      <c r="I22" s="1110"/>
      <c r="J22" s="1110"/>
      <c r="K22" s="1110"/>
      <c r="L22" s="1110"/>
      <c r="M22" s="1110"/>
      <c r="N22" s="1110"/>
      <c r="O22" s="1110"/>
      <c r="P22" s="554" t="s">
        <v>544</v>
      </c>
    </row>
    <row r="23" spans="1:16" ht="15" customHeight="1">
      <c r="A23" s="557" t="str">
        <f>IF(B22="Yes","If so, is human subjects involvement use indefinite?","")</f>
        <v/>
      </c>
      <c r="B23" s="1110"/>
      <c r="C23" s="1110"/>
      <c r="D23" s="1110"/>
      <c r="E23" s="1110"/>
      <c r="F23" s="1110"/>
      <c r="G23" s="1110"/>
      <c r="H23" s="1110"/>
      <c r="I23" s="1110"/>
      <c r="J23" s="1110"/>
      <c r="K23" s="1110"/>
      <c r="L23" s="1110"/>
      <c r="M23" s="1110"/>
      <c r="N23" s="1110"/>
      <c r="O23" s="1110"/>
      <c r="P23" s="555" t="str">
        <f>IF(A23="","","NRSA")</f>
        <v/>
      </c>
    </row>
    <row r="24" spans="1:16" ht="30" customHeight="1">
      <c r="A24" s="557" t="str">
        <f>IF(SUM('Cumulative Budget'!K62:'Cumulative Budget'!K73)&gt;0,"If there are subcontracts proposed in this project, do any of them involve the use of human subjects research?","")</f>
        <v/>
      </c>
      <c r="B24" s="1110"/>
      <c r="C24" s="1110"/>
      <c r="D24" s="1110"/>
      <c r="E24" s="1110"/>
      <c r="F24" s="1110"/>
      <c r="G24" s="1110"/>
      <c r="H24" s="1110"/>
      <c r="I24" s="1110"/>
      <c r="J24" s="1110"/>
      <c r="K24" s="1110"/>
      <c r="L24" s="1110"/>
      <c r="M24" s="1110"/>
      <c r="N24" s="1110"/>
      <c r="O24" s="1110"/>
      <c r="P24" s="555" t="str">
        <f>IF(A24="","","Standard")</f>
        <v/>
      </c>
    </row>
    <row r="25" spans="1:16" ht="30" customHeight="1">
      <c r="A25" s="557" t="s">
        <v>543</v>
      </c>
      <c r="B25" s="1110"/>
      <c r="C25" s="1110"/>
      <c r="D25" s="1110"/>
      <c r="E25" s="1110"/>
      <c r="F25" s="1110"/>
      <c r="G25" s="1110"/>
      <c r="H25" s="1110"/>
      <c r="I25" s="1110"/>
      <c r="J25" s="1110"/>
      <c r="K25" s="1110"/>
      <c r="L25" s="1110"/>
      <c r="M25" s="1110"/>
      <c r="N25" s="1110"/>
      <c r="O25" s="1110"/>
      <c r="P25" s="554" t="s">
        <v>537</v>
      </c>
    </row>
    <row r="26" spans="1:16" ht="15" customHeight="1">
      <c r="A26" s="557" t="s">
        <v>542</v>
      </c>
      <c r="B26" s="1110"/>
      <c r="C26" s="1110"/>
      <c r="D26" s="1110"/>
      <c r="E26" s="1110"/>
      <c r="F26" s="1110"/>
      <c r="G26" s="1110"/>
      <c r="H26" s="1110"/>
      <c r="I26" s="1110"/>
      <c r="J26" s="1110"/>
      <c r="K26" s="1110"/>
      <c r="L26" s="1110"/>
      <c r="M26" s="1110"/>
      <c r="N26" s="1110"/>
      <c r="O26" s="1110"/>
      <c r="P26" s="554" t="s">
        <v>537</v>
      </c>
    </row>
    <row r="27" spans="1:16" ht="30" customHeight="1">
      <c r="A27" s="557" t="s">
        <v>541</v>
      </c>
      <c r="B27" s="1110"/>
      <c r="C27" s="1110"/>
      <c r="D27" s="1110"/>
      <c r="E27" s="1110"/>
      <c r="F27" s="1110"/>
      <c r="G27" s="1110"/>
      <c r="H27" s="1110"/>
      <c r="I27" s="1110"/>
      <c r="J27" s="1110"/>
      <c r="K27" s="1110"/>
      <c r="L27" s="1110"/>
      <c r="M27" s="1110"/>
      <c r="N27" s="1110"/>
      <c r="O27" s="1110"/>
      <c r="P27" s="554" t="s">
        <v>537</v>
      </c>
    </row>
    <row r="28" spans="1:16" ht="30" customHeight="1">
      <c r="A28" s="551" t="s">
        <v>540</v>
      </c>
      <c r="B28" s="1113"/>
      <c r="C28" s="1113"/>
      <c r="D28" s="1113"/>
      <c r="E28" s="1113"/>
      <c r="F28" s="1113"/>
      <c r="G28" s="1113"/>
      <c r="H28" s="1113"/>
      <c r="I28" s="1113"/>
      <c r="J28" s="1113"/>
      <c r="K28" s="1113"/>
      <c r="L28" s="1113"/>
      <c r="M28" s="1113"/>
      <c r="N28" s="1113"/>
      <c r="O28" s="1113"/>
      <c r="P28" s="554" t="s">
        <v>537</v>
      </c>
    </row>
    <row r="29" spans="1:16" ht="30" customHeight="1">
      <c r="A29" s="551" t="s">
        <v>539</v>
      </c>
      <c r="B29" s="1113"/>
      <c r="C29" s="1113"/>
      <c r="D29" s="1113"/>
      <c r="E29" s="1113"/>
      <c r="F29" s="1113"/>
      <c r="G29" s="1113"/>
      <c r="H29" s="1113"/>
      <c r="I29" s="1113"/>
      <c r="J29" s="1113"/>
      <c r="K29" s="1113"/>
      <c r="L29" s="1113"/>
      <c r="M29" s="1113"/>
      <c r="N29" s="1113"/>
      <c r="O29" s="1113"/>
      <c r="P29" s="554" t="s">
        <v>537</v>
      </c>
    </row>
    <row r="30" spans="1:16" ht="30" customHeight="1">
      <c r="A30" s="551" t="s">
        <v>538</v>
      </c>
      <c r="B30" s="1113"/>
      <c r="C30" s="1113"/>
      <c r="D30" s="1113"/>
      <c r="E30" s="1113"/>
      <c r="F30" s="1113"/>
      <c r="G30" s="1113"/>
      <c r="H30" s="1113"/>
      <c r="I30" s="1113"/>
      <c r="J30" s="1113"/>
      <c r="K30" s="1113"/>
      <c r="L30" s="1113"/>
      <c r="M30" s="1113"/>
      <c r="N30" s="1113"/>
      <c r="O30" s="1113"/>
      <c r="P30" s="554" t="s">
        <v>537</v>
      </c>
    </row>
    <row r="31" spans="1:16" ht="30" customHeight="1">
      <c r="A31" s="551" t="s">
        <v>538</v>
      </c>
      <c r="B31" s="1113"/>
      <c r="C31" s="1113"/>
      <c r="D31" s="1113"/>
      <c r="E31" s="1113"/>
      <c r="F31" s="1113"/>
      <c r="G31" s="1113"/>
      <c r="H31" s="1113"/>
      <c r="I31" s="1113"/>
      <c r="J31" s="1113"/>
      <c r="K31" s="1113"/>
      <c r="L31" s="1113"/>
      <c r="M31" s="1113"/>
      <c r="N31" s="1113"/>
      <c r="O31" s="1113"/>
      <c r="P31" s="554" t="s">
        <v>537</v>
      </c>
    </row>
    <row r="32" spans="1:16" ht="15" customHeight="1">
      <c r="A32" s="551" t="s">
        <v>568</v>
      </c>
      <c r="B32" s="1113"/>
      <c r="C32" s="1113"/>
      <c r="D32" s="1113"/>
      <c r="E32" s="1113"/>
      <c r="F32" s="1113"/>
      <c r="G32" s="1113"/>
      <c r="H32" s="1113"/>
      <c r="I32" s="1113"/>
      <c r="J32" s="1113"/>
      <c r="K32" s="1113"/>
      <c r="L32" s="1113"/>
      <c r="M32" s="1113"/>
      <c r="N32" s="1113"/>
      <c r="O32" s="1113"/>
      <c r="P32" s="554" t="s">
        <v>524</v>
      </c>
    </row>
    <row r="33" spans="1:16" ht="15" customHeight="1">
      <c r="A33" s="551" t="s">
        <v>536</v>
      </c>
      <c r="B33" s="1113"/>
      <c r="C33" s="1113"/>
      <c r="D33" s="1113"/>
      <c r="E33" s="1113"/>
      <c r="F33" s="1113"/>
      <c r="G33" s="1113"/>
      <c r="H33" s="1113"/>
      <c r="I33" s="1113"/>
      <c r="J33" s="1113"/>
      <c r="K33" s="1113"/>
      <c r="L33" s="1113"/>
      <c r="M33" s="1113"/>
      <c r="N33" s="1113"/>
      <c r="O33" s="1113"/>
      <c r="P33" s="554" t="s">
        <v>524</v>
      </c>
    </row>
    <row r="34" spans="1:16" ht="15" customHeight="1">
      <c r="A34" s="551" t="s">
        <v>535</v>
      </c>
      <c r="B34" s="1113"/>
      <c r="C34" s="1113"/>
      <c r="D34" s="1113"/>
      <c r="E34" s="1113"/>
      <c r="F34" s="1113"/>
      <c r="G34" s="1113"/>
      <c r="H34" s="1113"/>
      <c r="I34" s="1113"/>
      <c r="J34" s="1113"/>
      <c r="K34" s="1113"/>
      <c r="L34" s="1113"/>
      <c r="M34" s="1113"/>
      <c r="N34" s="1113"/>
      <c r="O34" s="1113"/>
      <c r="P34" s="554" t="s">
        <v>524</v>
      </c>
    </row>
    <row r="35" spans="1:16" ht="15" customHeight="1">
      <c r="A35" s="551" t="s">
        <v>534</v>
      </c>
      <c r="B35" s="1113"/>
      <c r="C35" s="1113"/>
      <c r="D35" s="1113"/>
      <c r="E35" s="1113"/>
      <c r="F35" s="1113"/>
      <c r="G35" s="1113"/>
      <c r="H35" s="1113"/>
      <c r="I35" s="1113"/>
      <c r="J35" s="1113"/>
      <c r="K35" s="1113"/>
      <c r="L35" s="1113"/>
      <c r="M35" s="1113"/>
      <c r="N35" s="1113"/>
      <c r="O35" s="1113"/>
      <c r="P35" s="554" t="s">
        <v>524</v>
      </c>
    </row>
    <row r="36" spans="1:16" ht="15" customHeight="1">
      <c r="A36" s="551" t="s">
        <v>533</v>
      </c>
      <c r="B36" s="1113"/>
      <c r="C36" s="1113"/>
      <c r="D36" s="1113"/>
      <c r="E36" s="1113"/>
      <c r="F36" s="1113"/>
      <c r="G36" s="1113"/>
      <c r="H36" s="1113"/>
      <c r="I36" s="1113"/>
      <c r="J36" s="1113"/>
      <c r="K36" s="1113"/>
      <c r="L36" s="1113"/>
      <c r="M36" s="1113"/>
      <c r="N36" s="1113"/>
      <c r="O36" s="1113"/>
      <c r="P36" s="554" t="s">
        <v>524</v>
      </c>
    </row>
    <row r="37" spans="1:16" ht="15" customHeight="1">
      <c r="A37" s="551" t="s">
        <v>532</v>
      </c>
      <c r="B37" s="1113"/>
      <c r="C37" s="1113"/>
      <c r="D37" s="1113"/>
      <c r="E37" s="1113"/>
      <c r="F37" s="1113"/>
      <c r="G37" s="1113"/>
      <c r="H37" s="1113"/>
      <c r="I37" s="1113"/>
      <c r="J37" s="1113"/>
      <c r="K37" s="1113"/>
      <c r="L37" s="1113"/>
      <c r="M37" s="1113"/>
      <c r="N37" s="1113"/>
      <c r="O37" s="1113"/>
      <c r="P37" s="554" t="s">
        <v>524</v>
      </c>
    </row>
    <row r="38" spans="1:16" ht="15" customHeight="1">
      <c r="A38" s="552" t="s">
        <v>531</v>
      </c>
      <c r="B38" s="1113"/>
      <c r="C38" s="1113"/>
      <c r="D38" s="1113"/>
      <c r="E38" s="1113"/>
      <c r="F38" s="1113"/>
      <c r="G38" s="1113"/>
      <c r="H38" s="1113"/>
      <c r="I38" s="1113"/>
      <c r="J38" s="1113"/>
      <c r="K38" s="1113"/>
      <c r="L38" s="1113"/>
      <c r="M38" s="1113"/>
      <c r="N38" s="1113"/>
      <c r="O38" s="1113"/>
      <c r="P38" s="554" t="s">
        <v>524</v>
      </c>
    </row>
    <row r="39" spans="1:16" ht="15" customHeight="1">
      <c r="A39" s="551" t="s">
        <v>530</v>
      </c>
      <c r="B39" s="1113"/>
      <c r="C39" s="1113"/>
      <c r="D39" s="1113"/>
      <c r="E39" s="1113"/>
      <c r="F39" s="1113"/>
      <c r="G39" s="1113"/>
      <c r="H39" s="1113"/>
      <c r="I39" s="1113"/>
      <c r="J39" s="1113"/>
      <c r="K39" s="1113"/>
      <c r="L39" s="1113"/>
      <c r="M39" s="1113"/>
      <c r="N39" s="1113"/>
      <c r="O39" s="1113"/>
      <c r="P39" s="554" t="s">
        <v>524</v>
      </c>
    </row>
    <row r="40" spans="1:16" ht="15" customHeight="1">
      <c r="A40" s="551" t="s">
        <v>529</v>
      </c>
      <c r="B40" s="1113"/>
      <c r="C40" s="1113"/>
      <c r="D40" s="1113"/>
      <c r="E40" s="1113"/>
      <c r="F40" s="1113"/>
      <c r="G40" s="1113"/>
      <c r="H40" s="1113"/>
      <c r="I40" s="1113"/>
      <c r="J40" s="1113"/>
      <c r="K40" s="1113"/>
      <c r="L40" s="1113"/>
      <c r="M40" s="1113"/>
      <c r="N40" s="1113"/>
      <c r="O40" s="1113"/>
      <c r="P40" s="554" t="s">
        <v>524</v>
      </c>
    </row>
    <row r="41" spans="1:16" ht="45" customHeight="1">
      <c r="A41" s="551" t="s">
        <v>528</v>
      </c>
      <c r="B41" s="1114" t="s">
        <v>527</v>
      </c>
      <c r="C41" s="1114"/>
      <c r="D41" s="1114"/>
      <c r="E41" s="1114"/>
      <c r="F41" s="1114"/>
      <c r="G41" s="559"/>
      <c r="H41" s="1114" t="s">
        <v>526</v>
      </c>
      <c r="I41" s="1114"/>
      <c r="J41" s="1114"/>
      <c r="K41" s="559"/>
      <c r="L41" s="1114" t="s">
        <v>525</v>
      </c>
      <c r="M41" s="1114"/>
      <c r="N41" s="1114"/>
      <c r="O41" s="560"/>
      <c r="P41" s="554" t="s">
        <v>524</v>
      </c>
    </row>
    <row r="43" spans="1:16">
      <c r="M43" s="550"/>
    </row>
  </sheetData>
  <autoFilter ref="A1:P41"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42">
    <mergeCell ref="L41:N41"/>
    <mergeCell ref="H41:J41"/>
    <mergeCell ref="B41:F41"/>
    <mergeCell ref="B33:O33"/>
    <mergeCell ref="B34:O34"/>
    <mergeCell ref="B39:O39"/>
    <mergeCell ref="B40:O40"/>
    <mergeCell ref="B35:O35"/>
    <mergeCell ref="B36:O36"/>
    <mergeCell ref="B38:O38"/>
    <mergeCell ref="B37:O37"/>
    <mergeCell ref="B31:O31"/>
    <mergeCell ref="B23:O23"/>
    <mergeCell ref="B20:O20"/>
    <mergeCell ref="B32:O32"/>
    <mergeCell ref="B25:O25"/>
    <mergeCell ref="B26:O26"/>
    <mergeCell ref="B27:O27"/>
    <mergeCell ref="B28:O28"/>
    <mergeCell ref="B29:O29"/>
    <mergeCell ref="B30:O30"/>
    <mergeCell ref="B24:O24"/>
    <mergeCell ref="B18:O18"/>
    <mergeCell ref="B5:O5"/>
    <mergeCell ref="B19:O19"/>
    <mergeCell ref="B21:O21"/>
    <mergeCell ref="B22:O22"/>
    <mergeCell ref="B12:O12"/>
    <mergeCell ref="B14:O14"/>
    <mergeCell ref="B15:O15"/>
    <mergeCell ref="B17:O17"/>
    <mergeCell ref="B16:O16"/>
    <mergeCell ref="B7:O7"/>
    <mergeCell ref="B8:O8"/>
    <mergeCell ref="B9:O9"/>
    <mergeCell ref="B10:O10"/>
    <mergeCell ref="B11:O11"/>
    <mergeCell ref="B4:O4"/>
    <mergeCell ref="B2:O2"/>
    <mergeCell ref="B3:O3"/>
    <mergeCell ref="A1:O1"/>
    <mergeCell ref="B13:O13"/>
  </mergeCells>
  <dataValidations disablePrompts="1" count="2">
    <dataValidation type="list" allowBlank="1" showInputMessage="1" showErrorMessage="1" sqref="B5 B7:B11 B17:B27 B29:B31 B39:B40 B13:B15" xr:uid="{00000000-0002-0000-0B00-000000000000}">
      <formula1>"Yes, No"</formula1>
    </dataValidation>
    <dataValidation type="list" allowBlank="1" showInputMessage="1" showErrorMessage="1" sqref="G41 K41 O41 C6 E6 G6 I6 K6 M6 O6" xr:uid="{00000000-0002-0000-0B00-000001000000}">
      <formula1>"X"</formula1>
    </dataValidation>
  </dataValidations>
  <hyperlinks>
    <hyperlink ref="A38" r:id="rId1" display="What is the field of training?" xr:uid="{00000000-0004-0000-0B00-000000000000}"/>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9" tint="0.59999389629810485"/>
    <pageSetUpPr fitToPage="1"/>
  </sheetPr>
  <dimension ref="A1:S817"/>
  <sheetViews>
    <sheetView workbookViewId="0">
      <pane ySplit="1" topLeftCell="A146" activePane="bottomLeft" state="frozen"/>
      <selection activeCell="L122" sqref="L122"/>
      <selection pane="bottomLeft" activeCell="L158" sqref="L158"/>
    </sheetView>
  </sheetViews>
  <sheetFormatPr defaultRowHeight="12.75"/>
  <cols>
    <col min="1" max="1" width="16.85546875" style="22" bestFit="1" customWidth="1"/>
    <col min="2" max="2" width="18" style="22" bestFit="1" customWidth="1"/>
    <col min="3" max="3" width="7.85546875" style="11" bestFit="1" customWidth="1"/>
    <col min="4" max="4" width="12" style="11" bestFit="1" customWidth="1"/>
    <col min="5" max="5" width="9.140625" style="11" customWidth="1"/>
    <col min="6" max="6" width="13.7109375" style="11" bestFit="1" customWidth="1"/>
    <col min="7" max="8" width="7.28515625" style="11" bestFit="1" customWidth="1"/>
    <col min="9" max="9" width="8.28515625" style="11" bestFit="1" customWidth="1"/>
    <col min="10" max="10" width="7.140625" style="11" bestFit="1" customWidth="1"/>
    <col min="11" max="11" width="17.7109375" style="30" bestFit="1" customWidth="1"/>
    <col min="12" max="12" width="8.5703125" bestFit="1" customWidth="1"/>
    <col min="13" max="13" width="17.85546875" bestFit="1" customWidth="1"/>
    <col min="14" max="14" width="17.7109375" bestFit="1" customWidth="1"/>
    <col min="15" max="15" width="19.140625" bestFit="1" customWidth="1"/>
    <col min="16" max="16" width="21.7109375" bestFit="1" customWidth="1"/>
    <col min="17" max="17" width="21.85546875" bestFit="1" customWidth="1"/>
    <col min="18" max="19" width="7.28515625" style="690" bestFit="1" customWidth="1"/>
  </cols>
  <sheetData>
    <row r="1" spans="1:19">
      <c r="A1" s="22" t="s">
        <v>18</v>
      </c>
      <c r="B1" s="22" t="s">
        <v>19</v>
      </c>
      <c r="C1" s="12" t="s">
        <v>7</v>
      </c>
      <c r="D1" s="12" t="s">
        <v>8</v>
      </c>
      <c r="E1" s="12" t="s">
        <v>9</v>
      </c>
      <c r="F1" s="12" t="s">
        <v>10</v>
      </c>
      <c r="G1" s="101" t="s">
        <v>75</v>
      </c>
      <c r="H1" s="101" t="s">
        <v>74</v>
      </c>
      <c r="I1" s="101" t="s">
        <v>76</v>
      </c>
      <c r="J1" s="101" t="s">
        <v>77</v>
      </c>
      <c r="K1" s="30" t="s">
        <v>20</v>
      </c>
      <c r="L1" s="58" t="s">
        <v>36</v>
      </c>
      <c r="M1" s="401" t="s">
        <v>418</v>
      </c>
      <c r="N1" s="401" t="s">
        <v>419</v>
      </c>
      <c r="O1" s="401" t="s">
        <v>420</v>
      </c>
      <c r="P1" s="401" t="s">
        <v>467</v>
      </c>
      <c r="Q1" s="402" t="s">
        <v>468</v>
      </c>
    </row>
    <row r="2" spans="1:19" s="60" customFormat="1">
      <c r="A2" s="59">
        <v>37499</v>
      </c>
      <c r="B2" s="59">
        <f t="shared" ref="B2:B65" si="0">EDATE(A2,12)-1</f>
        <v>37863</v>
      </c>
      <c r="C2" s="102">
        <f>AVERAGE(G2:G13)</f>
        <v>0.24</v>
      </c>
      <c r="D2" s="102">
        <f>AVERAGE(H2:H13)</f>
        <v>0.253</v>
      </c>
      <c r="E2" s="102">
        <f>AVERAGE(I2:I13)</f>
        <v>7.0000000000000007E-2</v>
      </c>
      <c r="F2" s="102">
        <f>AVERAGE(J2:J13)</f>
        <v>1.7999999999999999E-2</v>
      </c>
      <c r="G2" s="104">
        <v>0.24</v>
      </c>
      <c r="H2" s="104">
        <v>0.253</v>
      </c>
      <c r="I2" s="104">
        <v>7.0000000000000007E-2</v>
      </c>
      <c r="J2" s="104">
        <v>1.7999999999999999E-2</v>
      </c>
      <c r="K2" s="54">
        <f>(L2*4)</f>
        <v>12048</v>
      </c>
      <c r="L2" s="113">
        <v>3012</v>
      </c>
      <c r="N2" s="98"/>
      <c r="R2" s="98"/>
      <c r="S2" s="98"/>
    </row>
    <row r="3" spans="1:19" s="60" customFormat="1">
      <c r="A3" s="59">
        <f t="shared" ref="A3:A66" si="1">EDATE(A2,1)</f>
        <v>37529</v>
      </c>
      <c r="B3" s="59">
        <f t="shared" si="0"/>
        <v>37893</v>
      </c>
      <c r="C3" s="102">
        <f t="shared" ref="C3:C66" si="2">AVERAGE(G3:G14)</f>
        <v>0.2387</v>
      </c>
      <c r="D3" s="102">
        <f t="shared" ref="D3:D66" si="3">AVERAGE(H3:H14)</f>
        <v>0.25190000000000001</v>
      </c>
      <c r="E3" s="102">
        <f t="shared" ref="E3:F18" si="4">AVERAGE(I3:I14)</f>
        <v>6.9800000000000001E-2</v>
      </c>
      <c r="F3" s="102">
        <f t="shared" si="4"/>
        <v>1.7899999999999999E-2</v>
      </c>
      <c r="G3" s="104">
        <v>0.24</v>
      </c>
      <c r="H3" s="104">
        <v>0.253</v>
      </c>
      <c r="I3" s="104">
        <v>7.0000000000000007E-2</v>
      </c>
      <c r="J3" s="104">
        <v>1.7999999999999999E-2</v>
      </c>
      <c r="K3" s="54">
        <f>((11/3)*L2)+((1/3)*L14)</f>
        <v>12096</v>
      </c>
      <c r="L3" s="113"/>
      <c r="R3" s="98"/>
      <c r="S3" s="98"/>
    </row>
    <row r="4" spans="1:19" s="60" customFormat="1">
      <c r="A4" s="59">
        <f t="shared" si="1"/>
        <v>37560</v>
      </c>
      <c r="B4" s="59">
        <f t="shared" si="0"/>
        <v>37924</v>
      </c>
      <c r="C4" s="102">
        <f t="shared" si="2"/>
        <v>0.23730000000000001</v>
      </c>
      <c r="D4" s="102">
        <f t="shared" si="3"/>
        <v>0.25080000000000002</v>
      </c>
      <c r="E4" s="102">
        <f t="shared" si="4"/>
        <v>6.9500000000000006E-2</v>
      </c>
      <c r="F4" s="102">
        <f t="shared" ref="F4:F67" si="5">AVERAGE(J4:J15)</f>
        <v>1.78E-2</v>
      </c>
      <c r="G4" s="104">
        <v>0.24</v>
      </c>
      <c r="H4" s="104">
        <v>0.253</v>
      </c>
      <c r="I4" s="104">
        <v>7.0000000000000007E-2</v>
      </c>
      <c r="J4" s="104">
        <v>1.7999999999999999E-2</v>
      </c>
      <c r="K4" s="54">
        <f>((10/3)*L2)+((2/3)*L14)</f>
        <v>12144</v>
      </c>
      <c r="L4" s="113"/>
      <c r="R4" s="98"/>
      <c r="S4" s="98"/>
    </row>
    <row r="5" spans="1:19" s="60" customFormat="1">
      <c r="A5" s="59">
        <f t="shared" si="1"/>
        <v>37590</v>
      </c>
      <c r="B5" s="59">
        <f t="shared" si="0"/>
        <v>37954</v>
      </c>
      <c r="C5" s="102">
        <f t="shared" si="2"/>
        <v>0.23599999999999999</v>
      </c>
      <c r="D5" s="102">
        <f t="shared" si="3"/>
        <v>0.24979999999999999</v>
      </c>
      <c r="E5" s="102">
        <f t="shared" si="4"/>
        <v>6.93E-2</v>
      </c>
      <c r="F5" s="102">
        <f t="shared" si="5"/>
        <v>1.78E-2</v>
      </c>
      <c r="G5" s="104">
        <v>0.24</v>
      </c>
      <c r="H5" s="104">
        <v>0.253</v>
      </c>
      <c r="I5" s="104">
        <v>7.0000000000000007E-2</v>
      </c>
      <c r="J5" s="104">
        <v>1.7999999999999999E-2</v>
      </c>
      <c r="K5" s="54">
        <f>((9/3)*L2)+((3/3)*L14)</f>
        <v>12192</v>
      </c>
      <c r="L5" s="113"/>
      <c r="R5" s="98"/>
      <c r="S5" s="98"/>
    </row>
    <row r="6" spans="1:19" s="60" customFormat="1">
      <c r="A6" s="59">
        <f t="shared" si="1"/>
        <v>37621</v>
      </c>
      <c r="B6" s="59">
        <f t="shared" si="0"/>
        <v>37985</v>
      </c>
      <c r="C6" s="102">
        <f t="shared" si="2"/>
        <v>0.23469999999999999</v>
      </c>
      <c r="D6" s="102">
        <f t="shared" si="3"/>
        <v>0.2487</v>
      </c>
      <c r="E6" s="102">
        <f t="shared" si="4"/>
        <v>6.9000000000000006E-2</v>
      </c>
      <c r="F6" s="102">
        <f t="shared" si="5"/>
        <v>1.77E-2</v>
      </c>
      <c r="G6" s="104">
        <v>0.24</v>
      </c>
      <c r="H6" s="104">
        <v>0.253</v>
      </c>
      <c r="I6" s="104">
        <v>7.0000000000000007E-2</v>
      </c>
      <c r="J6" s="104">
        <v>1.7999999999999999E-2</v>
      </c>
      <c r="K6" s="54">
        <f>((8/3)*L2)+((4/3)*L14)</f>
        <v>12240</v>
      </c>
      <c r="L6" s="113"/>
      <c r="R6" s="98"/>
      <c r="S6" s="98"/>
    </row>
    <row r="7" spans="1:19" s="60" customFormat="1">
      <c r="A7" s="59">
        <f t="shared" si="1"/>
        <v>37652</v>
      </c>
      <c r="B7" s="59">
        <f t="shared" si="0"/>
        <v>38016</v>
      </c>
      <c r="C7" s="102">
        <f t="shared" si="2"/>
        <v>0.23330000000000001</v>
      </c>
      <c r="D7" s="102">
        <f t="shared" si="3"/>
        <v>0.24759999999999999</v>
      </c>
      <c r="E7" s="102">
        <f t="shared" si="4"/>
        <v>6.88E-2</v>
      </c>
      <c r="F7" s="102">
        <f t="shared" si="5"/>
        <v>1.7600000000000001E-2</v>
      </c>
      <c r="G7" s="104">
        <v>0.24</v>
      </c>
      <c r="H7" s="104">
        <v>0.253</v>
      </c>
      <c r="I7" s="104">
        <v>7.0000000000000007E-2</v>
      </c>
      <c r="J7" s="104">
        <v>1.7999999999999999E-2</v>
      </c>
      <c r="K7" s="54">
        <f>((7/3)*L2)+((5/3)*L14)</f>
        <v>12288</v>
      </c>
      <c r="L7" s="113"/>
      <c r="R7" s="98"/>
      <c r="S7" s="98"/>
    </row>
    <row r="8" spans="1:19" s="60" customFormat="1">
      <c r="A8" s="59">
        <f t="shared" si="1"/>
        <v>37680</v>
      </c>
      <c r="B8" s="59">
        <f t="shared" si="0"/>
        <v>38045</v>
      </c>
      <c r="C8" s="102">
        <f t="shared" si="2"/>
        <v>0.23200000000000001</v>
      </c>
      <c r="D8" s="102">
        <f t="shared" si="3"/>
        <v>0.2465</v>
      </c>
      <c r="E8" s="102">
        <f t="shared" si="4"/>
        <v>6.8500000000000005E-2</v>
      </c>
      <c r="F8" s="102">
        <f t="shared" si="5"/>
        <v>1.7500000000000002E-2</v>
      </c>
      <c r="G8" s="104">
        <v>0.24</v>
      </c>
      <c r="H8" s="104">
        <v>0.253</v>
      </c>
      <c r="I8" s="104">
        <v>7.0000000000000007E-2</v>
      </c>
      <c r="J8" s="104">
        <v>1.7999999999999999E-2</v>
      </c>
      <c r="K8" s="54">
        <f>((6/3)*L2)+((6/3)*L14)</f>
        <v>12336</v>
      </c>
      <c r="L8" s="113"/>
      <c r="R8" s="98"/>
      <c r="S8" s="98"/>
    </row>
    <row r="9" spans="1:19" s="60" customFormat="1">
      <c r="A9" s="59">
        <f t="shared" si="1"/>
        <v>37711</v>
      </c>
      <c r="B9" s="59">
        <f t="shared" si="0"/>
        <v>38076</v>
      </c>
      <c r="C9" s="102">
        <f t="shared" si="2"/>
        <v>0.23069999999999999</v>
      </c>
      <c r="D9" s="102">
        <f t="shared" si="3"/>
        <v>0.24540000000000001</v>
      </c>
      <c r="E9" s="102">
        <f t="shared" si="4"/>
        <v>6.83E-2</v>
      </c>
      <c r="F9" s="102">
        <f t="shared" si="5"/>
        <v>1.7399999999999999E-2</v>
      </c>
      <c r="G9" s="104">
        <v>0.24</v>
      </c>
      <c r="H9" s="104">
        <v>0.253</v>
      </c>
      <c r="I9" s="104">
        <v>7.0000000000000007E-2</v>
      </c>
      <c r="J9" s="104">
        <v>1.7999999999999999E-2</v>
      </c>
      <c r="K9" s="54">
        <f>((5/3)*L2)+((7/3)*L14)</f>
        <v>12384</v>
      </c>
      <c r="L9" s="113"/>
      <c r="R9" s="98"/>
      <c r="S9" s="98"/>
    </row>
    <row r="10" spans="1:19" s="60" customFormat="1">
      <c r="A10" s="59">
        <f t="shared" si="1"/>
        <v>37741</v>
      </c>
      <c r="B10" s="59">
        <f t="shared" si="0"/>
        <v>38106</v>
      </c>
      <c r="C10" s="102">
        <f t="shared" si="2"/>
        <v>0.2293</v>
      </c>
      <c r="D10" s="102">
        <f t="shared" si="3"/>
        <v>0.24429999999999999</v>
      </c>
      <c r="E10" s="102">
        <f t="shared" si="4"/>
        <v>6.8000000000000005E-2</v>
      </c>
      <c r="F10" s="102">
        <f t="shared" si="5"/>
        <v>1.7299999999999999E-2</v>
      </c>
      <c r="G10" s="104">
        <v>0.24</v>
      </c>
      <c r="H10" s="104">
        <v>0.253</v>
      </c>
      <c r="I10" s="104">
        <v>7.0000000000000007E-2</v>
      </c>
      <c r="J10" s="104">
        <v>1.7999999999999999E-2</v>
      </c>
      <c r="K10" s="54">
        <f>((4/3)*L2)+((8/3)*L14)</f>
        <v>12432</v>
      </c>
      <c r="L10" s="113"/>
      <c r="R10" s="98"/>
      <c r="S10" s="98"/>
    </row>
    <row r="11" spans="1:19" s="60" customFormat="1">
      <c r="A11" s="59">
        <f t="shared" si="1"/>
        <v>37772</v>
      </c>
      <c r="B11" s="59">
        <f t="shared" si="0"/>
        <v>38137</v>
      </c>
      <c r="C11" s="102">
        <f t="shared" si="2"/>
        <v>0.22800000000000001</v>
      </c>
      <c r="D11" s="102">
        <f t="shared" si="3"/>
        <v>0.24329999999999999</v>
      </c>
      <c r="E11" s="102">
        <f t="shared" si="4"/>
        <v>6.7799999999999999E-2</v>
      </c>
      <c r="F11" s="102">
        <f t="shared" si="5"/>
        <v>1.7299999999999999E-2</v>
      </c>
      <c r="G11" s="104">
        <v>0.24</v>
      </c>
      <c r="H11" s="104">
        <v>0.253</v>
      </c>
      <c r="I11" s="104">
        <v>7.0000000000000007E-2</v>
      </c>
      <c r="J11" s="104">
        <v>1.7999999999999999E-2</v>
      </c>
      <c r="K11" s="54">
        <f>((3/3)*L2)+((9/3)*L14)</f>
        <v>12480</v>
      </c>
      <c r="L11" s="113"/>
      <c r="R11" s="98"/>
      <c r="S11" s="98"/>
    </row>
    <row r="12" spans="1:19" s="60" customFormat="1">
      <c r="A12" s="59">
        <f t="shared" si="1"/>
        <v>37802</v>
      </c>
      <c r="B12" s="59">
        <f t="shared" si="0"/>
        <v>38167</v>
      </c>
      <c r="C12" s="102">
        <f t="shared" si="2"/>
        <v>0.22670000000000001</v>
      </c>
      <c r="D12" s="102">
        <f t="shared" si="3"/>
        <v>0.2422</v>
      </c>
      <c r="E12" s="102">
        <f t="shared" si="4"/>
        <v>6.7500000000000004E-2</v>
      </c>
      <c r="F12" s="102">
        <f t="shared" si="5"/>
        <v>1.72E-2</v>
      </c>
      <c r="G12" s="104">
        <v>0.24</v>
      </c>
      <c r="H12" s="104">
        <v>0.253</v>
      </c>
      <c r="I12" s="104">
        <v>7.0000000000000007E-2</v>
      </c>
      <c r="J12" s="104">
        <v>1.7999999999999999E-2</v>
      </c>
      <c r="K12" s="54">
        <f>((2/3)*L2)+((10/3)*L14)</f>
        <v>12528</v>
      </c>
      <c r="L12" s="113"/>
      <c r="R12" s="98"/>
      <c r="S12" s="98"/>
    </row>
    <row r="13" spans="1:19" s="60" customFormat="1">
      <c r="A13" s="59">
        <f t="shared" si="1"/>
        <v>37833</v>
      </c>
      <c r="B13" s="59">
        <f t="shared" si="0"/>
        <v>38198</v>
      </c>
      <c r="C13" s="102">
        <f t="shared" si="2"/>
        <v>0.2253</v>
      </c>
      <c r="D13" s="102">
        <f t="shared" si="3"/>
        <v>0.24110000000000001</v>
      </c>
      <c r="E13" s="102">
        <f t="shared" si="4"/>
        <v>6.7299999999999999E-2</v>
      </c>
      <c r="F13" s="102">
        <f t="shared" si="5"/>
        <v>1.7100000000000001E-2</v>
      </c>
      <c r="G13" s="104">
        <v>0.24</v>
      </c>
      <c r="H13" s="104">
        <v>0.253</v>
      </c>
      <c r="I13" s="104">
        <v>7.0000000000000007E-2</v>
      </c>
      <c r="J13" s="104">
        <v>1.7999999999999999E-2</v>
      </c>
      <c r="K13" s="54">
        <f>((1/3)*L2)+((11/3)*L14)</f>
        <v>12576</v>
      </c>
      <c r="L13" s="113"/>
      <c r="R13" s="98"/>
      <c r="S13" s="98"/>
    </row>
    <row r="14" spans="1:19" s="96" customFormat="1">
      <c r="A14" s="95">
        <f t="shared" si="1"/>
        <v>37864</v>
      </c>
      <c r="B14" s="95">
        <f t="shared" si="0"/>
        <v>38229</v>
      </c>
      <c r="C14" s="105">
        <f t="shared" si="2"/>
        <v>0.224</v>
      </c>
      <c r="D14" s="105">
        <f t="shared" si="3"/>
        <v>0.24</v>
      </c>
      <c r="E14" s="105">
        <f t="shared" si="4"/>
        <v>6.7000000000000004E-2</v>
      </c>
      <c r="F14" s="105">
        <f t="shared" si="5"/>
        <v>1.7000000000000001E-2</v>
      </c>
      <c r="G14" s="107">
        <v>0.224</v>
      </c>
      <c r="H14" s="107">
        <v>0.24</v>
      </c>
      <c r="I14" s="107">
        <v>6.7000000000000004E-2</v>
      </c>
      <c r="J14" s="107">
        <v>1.7000000000000001E-2</v>
      </c>
      <c r="K14" s="94">
        <f>(L14*4)</f>
        <v>12624</v>
      </c>
      <c r="L14" s="114">
        <v>3156</v>
      </c>
      <c r="R14" s="421"/>
      <c r="S14" s="421"/>
    </row>
    <row r="15" spans="1:19" s="96" customFormat="1">
      <c r="A15" s="95">
        <f t="shared" si="1"/>
        <v>37894</v>
      </c>
      <c r="B15" s="95">
        <f t="shared" si="0"/>
        <v>38259</v>
      </c>
      <c r="C15" s="105">
        <f t="shared" si="2"/>
        <v>0.22359999999999999</v>
      </c>
      <c r="D15" s="105">
        <f t="shared" si="3"/>
        <v>0.24010000000000001</v>
      </c>
      <c r="E15" s="105">
        <f t="shared" si="4"/>
        <v>6.6900000000000001E-2</v>
      </c>
      <c r="F15" s="105">
        <f t="shared" si="5"/>
        <v>1.7000000000000001E-2</v>
      </c>
      <c r="G15" s="107">
        <v>0.224</v>
      </c>
      <c r="H15" s="107">
        <v>0.24</v>
      </c>
      <c r="I15" s="107">
        <v>6.7000000000000004E-2</v>
      </c>
      <c r="J15" s="107">
        <v>1.7000000000000001E-2</v>
      </c>
      <c r="K15" s="94">
        <f>((11/3)*L14)+((1/3)*L26)</f>
        <v>12675</v>
      </c>
      <c r="L15" s="114"/>
      <c r="R15" s="421"/>
      <c r="S15" s="421"/>
    </row>
    <row r="16" spans="1:19" s="96" customFormat="1">
      <c r="A16" s="95">
        <f t="shared" si="1"/>
        <v>37925</v>
      </c>
      <c r="B16" s="95">
        <f t="shared" si="0"/>
        <v>38290</v>
      </c>
      <c r="C16" s="105">
        <f t="shared" si="2"/>
        <v>0.22320000000000001</v>
      </c>
      <c r="D16" s="105">
        <f t="shared" si="3"/>
        <v>0.2402</v>
      </c>
      <c r="E16" s="105">
        <f t="shared" si="4"/>
        <v>6.6799999999999998E-2</v>
      </c>
      <c r="F16" s="105">
        <f t="shared" si="5"/>
        <v>1.7000000000000001E-2</v>
      </c>
      <c r="G16" s="107">
        <v>0.224</v>
      </c>
      <c r="H16" s="107">
        <v>0.24</v>
      </c>
      <c r="I16" s="107">
        <v>6.7000000000000004E-2</v>
      </c>
      <c r="J16" s="107">
        <v>1.7000000000000001E-2</v>
      </c>
      <c r="K16" s="94">
        <f>((10/3)*L14)+((2/3)*L26)</f>
        <v>12725</v>
      </c>
      <c r="L16" s="114"/>
      <c r="R16" s="421"/>
      <c r="S16" s="421"/>
    </row>
    <row r="17" spans="1:19" s="96" customFormat="1">
      <c r="A17" s="95">
        <f t="shared" si="1"/>
        <v>37955</v>
      </c>
      <c r="B17" s="95">
        <f t="shared" si="0"/>
        <v>38320</v>
      </c>
      <c r="C17" s="105">
        <f t="shared" si="2"/>
        <v>0.2228</v>
      </c>
      <c r="D17" s="105">
        <f t="shared" si="3"/>
        <v>0.24030000000000001</v>
      </c>
      <c r="E17" s="105">
        <f t="shared" si="4"/>
        <v>6.6799999999999998E-2</v>
      </c>
      <c r="F17" s="105">
        <f t="shared" si="5"/>
        <v>1.7000000000000001E-2</v>
      </c>
      <c r="G17" s="107">
        <v>0.224</v>
      </c>
      <c r="H17" s="107">
        <v>0.24</v>
      </c>
      <c r="I17" s="107">
        <v>6.7000000000000004E-2</v>
      </c>
      <c r="J17" s="107">
        <v>1.7000000000000001E-2</v>
      </c>
      <c r="K17" s="94">
        <f>((9/3)*L14)+((3/3)*L26)</f>
        <v>12776</v>
      </c>
      <c r="L17" s="114"/>
      <c r="R17" s="421"/>
      <c r="S17" s="421"/>
    </row>
    <row r="18" spans="1:19" s="96" customFormat="1">
      <c r="A18" s="95">
        <f t="shared" si="1"/>
        <v>37986</v>
      </c>
      <c r="B18" s="95">
        <f t="shared" si="0"/>
        <v>38351</v>
      </c>
      <c r="C18" s="105">
        <f t="shared" si="2"/>
        <v>0.2223</v>
      </c>
      <c r="D18" s="105">
        <f t="shared" si="3"/>
        <v>0.24030000000000001</v>
      </c>
      <c r="E18" s="105">
        <f t="shared" si="4"/>
        <v>6.6699999999999995E-2</v>
      </c>
      <c r="F18" s="105">
        <f t="shared" si="5"/>
        <v>1.7000000000000001E-2</v>
      </c>
      <c r="G18" s="107">
        <v>0.224</v>
      </c>
      <c r="H18" s="107">
        <v>0.24</v>
      </c>
      <c r="I18" s="107">
        <v>6.7000000000000004E-2</v>
      </c>
      <c r="J18" s="107">
        <v>1.7000000000000001E-2</v>
      </c>
      <c r="K18" s="94">
        <f>((8/3)*L14)+((4/3)*L26)</f>
        <v>12827</v>
      </c>
      <c r="L18" s="114"/>
      <c r="R18" s="421"/>
      <c r="S18" s="421"/>
    </row>
    <row r="19" spans="1:19" s="96" customFormat="1">
      <c r="A19" s="95">
        <f t="shared" si="1"/>
        <v>38017</v>
      </c>
      <c r="B19" s="95">
        <f t="shared" si="0"/>
        <v>38382</v>
      </c>
      <c r="C19" s="105">
        <f t="shared" si="2"/>
        <v>0.22189999999999999</v>
      </c>
      <c r="D19" s="105">
        <f t="shared" si="3"/>
        <v>0.2404</v>
      </c>
      <c r="E19" s="105">
        <f t="shared" ref="E19:E82" si="6">AVERAGE(I19:I30)</f>
        <v>6.6600000000000006E-2</v>
      </c>
      <c r="F19" s="105">
        <f t="shared" si="5"/>
        <v>1.7000000000000001E-2</v>
      </c>
      <c r="G19" s="107">
        <v>0.224</v>
      </c>
      <c r="H19" s="107">
        <v>0.24</v>
      </c>
      <c r="I19" s="107">
        <v>6.7000000000000004E-2</v>
      </c>
      <c r="J19" s="107">
        <v>1.7000000000000001E-2</v>
      </c>
      <c r="K19" s="94">
        <f>((7/3)*L14)+((5/3)*L26)</f>
        <v>12877</v>
      </c>
      <c r="L19" s="114"/>
      <c r="R19" s="421"/>
      <c r="S19" s="421"/>
    </row>
    <row r="20" spans="1:19" s="96" customFormat="1">
      <c r="A20" s="95">
        <f t="shared" si="1"/>
        <v>38046</v>
      </c>
      <c r="B20" s="95">
        <f t="shared" si="0"/>
        <v>38410</v>
      </c>
      <c r="C20" s="105">
        <f t="shared" si="2"/>
        <v>0.2215</v>
      </c>
      <c r="D20" s="105">
        <f t="shared" si="3"/>
        <v>0.24049999999999999</v>
      </c>
      <c r="E20" s="105">
        <f t="shared" si="6"/>
        <v>6.6500000000000004E-2</v>
      </c>
      <c r="F20" s="105">
        <f t="shared" si="5"/>
        <v>1.7000000000000001E-2</v>
      </c>
      <c r="G20" s="107">
        <v>0.224</v>
      </c>
      <c r="H20" s="107">
        <v>0.24</v>
      </c>
      <c r="I20" s="107">
        <v>6.7000000000000004E-2</v>
      </c>
      <c r="J20" s="107">
        <v>1.7000000000000001E-2</v>
      </c>
      <c r="K20" s="94">
        <f>((6/3)*L14)+((6/3)*L26)</f>
        <v>12928</v>
      </c>
      <c r="L20" s="114"/>
      <c r="R20" s="421"/>
      <c r="S20" s="421"/>
    </row>
    <row r="21" spans="1:19" s="96" customFormat="1">
      <c r="A21" s="95">
        <f t="shared" si="1"/>
        <v>38077</v>
      </c>
      <c r="B21" s="95">
        <f t="shared" si="0"/>
        <v>38441</v>
      </c>
      <c r="C21" s="105">
        <f t="shared" si="2"/>
        <v>0.22109999999999999</v>
      </c>
      <c r="D21" s="105">
        <f t="shared" si="3"/>
        <v>0.24060000000000001</v>
      </c>
      <c r="E21" s="105">
        <f t="shared" si="6"/>
        <v>6.6400000000000001E-2</v>
      </c>
      <c r="F21" s="105">
        <f t="shared" si="5"/>
        <v>1.7000000000000001E-2</v>
      </c>
      <c r="G21" s="107">
        <v>0.224</v>
      </c>
      <c r="H21" s="107">
        <v>0.24</v>
      </c>
      <c r="I21" s="107">
        <v>6.7000000000000004E-2</v>
      </c>
      <c r="J21" s="107">
        <v>1.7000000000000001E-2</v>
      </c>
      <c r="K21" s="94">
        <f>((5/3)*L14)+((7/3)*L26)</f>
        <v>12979</v>
      </c>
      <c r="L21" s="114"/>
      <c r="R21" s="421"/>
      <c r="S21" s="421"/>
    </row>
    <row r="22" spans="1:19" s="96" customFormat="1">
      <c r="A22" s="95">
        <f t="shared" si="1"/>
        <v>38107</v>
      </c>
      <c r="B22" s="95">
        <f t="shared" si="0"/>
        <v>38471</v>
      </c>
      <c r="C22" s="105">
        <f t="shared" si="2"/>
        <v>0.22070000000000001</v>
      </c>
      <c r="D22" s="105">
        <f t="shared" si="3"/>
        <v>0.2407</v>
      </c>
      <c r="E22" s="105">
        <f t="shared" si="6"/>
        <v>6.6299999999999998E-2</v>
      </c>
      <c r="F22" s="105">
        <f t="shared" si="5"/>
        <v>1.7000000000000001E-2</v>
      </c>
      <c r="G22" s="107">
        <v>0.224</v>
      </c>
      <c r="H22" s="107">
        <v>0.24</v>
      </c>
      <c r="I22" s="107">
        <v>6.7000000000000004E-2</v>
      </c>
      <c r="J22" s="107">
        <v>1.7000000000000001E-2</v>
      </c>
      <c r="K22" s="94">
        <f>((4/3)*L14)+((8/3)*L26)</f>
        <v>13029</v>
      </c>
      <c r="L22" s="114"/>
      <c r="R22" s="421"/>
      <c r="S22" s="421"/>
    </row>
    <row r="23" spans="1:19" s="96" customFormat="1">
      <c r="A23" s="95">
        <f t="shared" si="1"/>
        <v>38138</v>
      </c>
      <c r="B23" s="95">
        <f t="shared" si="0"/>
        <v>38502</v>
      </c>
      <c r="C23" s="105">
        <f t="shared" si="2"/>
        <v>0.2203</v>
      </c>
      <c r="D23" s="105">
        <f t="shared" si="3"/>
        <v>0.24079999999999999</v>
      </c>
      <c r="E23" s="105">
        <f t="shared" si="6"/>
        <v>6.6299999999999998E-2</v>
      </c>
      <c r="F23" s="105">
        <f t="shared" si="5"/>
        <v>1.7000000000000001E-2</v>
      </c>
      <c r="G23" s="107">
        <v>0.224</v>
      </c>
      <c r="H23" s="107">
        <v>0.24</v>
      </c>
      <c r="I23" s="107">
        <v>6.7000000000000004E-2</v>
      </c>
      <c r="J23" s="107">
        <v>1.7000000000000001E-2</v>
      </c>
      <c r="K23" s="94">
        <f>((3/3)*L14)+((9/3)*L26)</f>
        <v>13080</v>
      </c>
      <c r="L23" s="114"/>
      <c r="R23" s="421"/>
      <c r="S23" s="421"/>
    </row>
    <row r="24" spans="1:19" s="96" customFormat="1">
      <c r="A24" s="95">
        <f t="shared" si="1"/>
        <v>38168</v>
      </c>
      <c r="B24" s="95">
        <f t="shared" si="0"/>
        <v>38532</v>
      </c>
      <c r="C24" s="105">
        <f t="shared" si="2"/>
        <v>0.2198</v>
      </c>
      <c r="D24" s="105">
        <f t="shared" si="3"/>
        <v>0.24079999999999999</v>
      </c>
      <c r="E24" s="105">
        <f t="shared" si="6"/>
        <v>6.6199999999999995E-2</v>
      </c>
      <c r="F24" s="105">
        <f t="shared" si="5"/>
        <v>1.7000000000000001E-2</v>
      </c>
      <c r="G24" s="107">
        <v>0.224</v>
      </c>
      <c r="H24" s="107">
        <v>0.24</v>
      </c>
      <c r="I24" s="107">
        <v>6.7000000000000004E-2</v>
      </c>
      <c r="J24" s="107">
        <v>1.7000000000000001E-2</v>
      </c>
      <c r="K24" s="94">
        <f>((2/3)*L14)+((10/3)*L26)</f>
        <v>13131</v>
      </c>
      <c r="L24" s="114"/>
      <c r="R24" s="421"/>
      <c r="S24" s="421"/>
    </row>
    <row r="25" spans="1:19" s="96" customFormat="1">
      <c r="A25" s="95">
        <f t="shared" si="1"/>
        <v>38199</v>
      </c>
      <c r="B25" s="95">
        <f t="shared" si="0"/>
        <v>38563</v>
      </c>
      <c r="C25" s="105">
        <f t="shared" si="2"/>
        <v>0.21940000000000001</v>
      </c>
      <c r="D25" s="105">
        <f t="shared" si="3"/>
        <v>0.2409</v>
      </c>
      <c r="E25" s="105">
        <f t="shared" si="6"/>
        <v>6.6100000000000006E-2</v>
      </c>
      <c r="F25" s="105">
        <f t="shared" si="5"/>
        <v>1.7000000000000001E-2</v>
      </c>
      <c r="G25" s="107">
        <v>0.224</v>
      </c>
      <c r="H25" s="107">
        <v>0.24</v>
      </c>
      <c r="I25" s="107">
        <v>6.7000000000000004E-2</v>
      </c>
      <c r="J25" s="107">
        <v>1.7000000000000001E-2</v>
      </c>
      <c r="K25" s="94">
        <f>((1/3)*L14)+((11/3)*L26)</f>
        <v>13181</v>
      </c>
      <c r="L25" s="114"/>
      <c r="R25" s="421"/>
      <c r="S25" s="421"/>
    </row>
    <row r="26" spans="1:19" s="60" customFormat="1">
      <c r="A26" s="59">
        <f t="shared" si="1"/>
        <v>38230</v>
      </c>
      <c r="B26" s="59">
        <f t="shared" si="0"/>
        <v>38594</v>
      </c>
      <c r="C26" s="102">
        <f t="shared" si="2"/>
        <v>0.219</v>
      </c>
      <c r="D26" s="102">
        <f t="shared" si="3"/>
        <v>0.24099999999999999</v>
      </c>
      <c r="E26" s="102">
        <f t="shared" si="6"/>
        <v>6.6000000000000003E-2</v>
      </c>
      <c r="F26" s="102">
        <f t="shared" si="5"/>
        <v>1.7000000000000001E-2</v>
      </c>
      <c r="G26" s="104">
        <v>0.219</v>
      </c>
      <c r="H26" s="104">
        <v>0.24099999999999999</v>
      </c>
      <c r="I26" s="104">
        <v>6.6000000000000003E-2</v>
      </c>
      <c r="J26" s="104">
        <v>1.7000000000000001E-2</v>
      </c>
      <c r="K26" s="54">
        <f>(L26*4)</f>
        <v>13232</v>
      </c>
      <c r="L26" s="113">
        <v>3308</v>
      </c>
      <c r="R26" s="98"/>
      <c r="S26" s="98"/>
    </row>
    <row r="27" spans="1:19" s="60" customFormat="1">
      <c r="A27" s="59">
        <f t="shared" si="1"/>
        <v>38260</v>
      </c>
      <c r="B27" s="59">
        <f t="shared" si="0"/>
        <v>38624</v>
      </c>
      <c r="C27" s="102">
        <f t="shared" si="2"/>
        <v>0.21990000000000001</v>
      </c>
      <c r="D27" s="102">
        <f t="shared" si="3"/>
        <v>0.24129999999999999</v>
      </c>
      <c r="E27" s="102">
        <f t="shared" si="6"/>
        <v>6.6199999999999995E-2</v>
      </c>
      <c r="F27" s="102">
        <f t="shared" si="5"/>
        <v>1.72E-2</v>
      </c>
      <c r="G27" s="104">
        <v>0.219</v>
      </c>
      <c r="H27" s="104">
        <v>0.24099999999999999</v>
      </c>
      <c r="I27" s="104">
        <v>6.6000000000000003E-2</v>
      </c>
      <c r="J27" s="104">
        <v>1.7000000000000001E-2</v>
      </c>
      <c r="K27" s="54">
        <f>((11/3)*L26)+((1/3)*L38)</f>
        <v>13005</v>
      </c>
      <c r="L27" s="113"/>
      <c r="R27" s="98"/>
      <c r="S27" s="98"/>
    </row>
    <row r="28" spans="1:19" s="60" customFormat="1">
      <c r="A28" s="59">
        <f t="shared" si="1"/>
        <v>38291</v>
      </c>
      <c r="B28" s="59">
        <f t="shared" si="0"/>
        <v>38655</v>
      </c>
      <c r="C28" s="102">
        <f t="shared" si="2"/>
        <v>0.2208</v>
      </c>
      <c r="D28" s="102">
        <f t="shared" si="3"/>
        <v>0.2417</v>
      </c>
      <c r="E28" s="102">
        <f t="shared" si="6"/>
        <v>6.6299999999999998E-2</v>
      </c>
      <c r="F28" s="102">
        <f t="shared" si="5"/>
        <v>1.7299999999999999E-2</v>
      </c>
      <c r="G28" s="104">
        <v>0.219</v>
      </c>
      <c r="H28" s="104">
        <v>0.24099999999999999</v>
      </c>
      <c r="I28" s="104">
        <v>6.6000000000000003E-2</v>
      </c>
      <c r="J28" s="104">
        <v>1.7000000000000001E-2</v>
      </c>
      <c r="K28" s="54">
        <f>((10/3)*L26)+((2/3)*L38)</f>
        <v>12779</v>
      </c>
      <c r="L28" s="113"/>
      <c r="R28" s="98"/>
      <c r="S28" s="98"/>
    </row>
    <row r="29" spans="1:19" s="60" customFormat="1">
      <c r="A29" s="59">
        <f t="shared" si="1"/>
        <v>38321</v>
      </c>
      <c r="B29" s="59">
        <f t="shared" si="0"/>
        <v>38685</v>
      </c>
      <c r="C29" s="102">
        <f t="shared" si="2"/>
        <v>0.2218</v>
      </c>
      <c r="D29" s="102">
        <f t="shared" si="3"/>
        <v>0.24199999999999999</v>
      </c>
      <c r="E29" s="102">
        <f t="shared" si="6"/>
        <v>6.6500000000000004E-2</v>
      </c>
      <c r="F29" s="102">
        <f t="shared" si="5"/>
        <v>1.7500000000000002E-2</v>
      </c>
      <c r="G29" s="104">
        <v>0.219</v>
      </c>
      <c r="H29" s="104">
        <v>0.24099999999999999</v>
      </c>
      <c r="I29" s="104">
        <v>6.6000000000000003E-2</v>
      </c>
      <c r="J29" s="104">
        <v>1.7000000000000001E-2</v>
      </c>
      <c r="K29" s="54">
        <f>((9/3)*L26)+((3/3)*L38)</f>
        <v>12552</v>
      </c>
      <c r="L29" s="113"/>
      <c r="R29" s="98"/>
      <c r="S29" s="98"/>
    </row>
    <row r="30" spans="1:19" s="60" customFormat="1">
      <c r="A30" s="59">
        <f t="shared" si="1"/>
        <v>38352</v>
      </c>
      <c r="B30" s="59">
        <f t="shared" si="0"/>
        <v>38716</v>
      </c>
      <c r="C30" s="102">
        <f t="shared" si="2"/>
        <v>0.22270000000000001</v>
      </c>
      <c r="D30" s="102">
        <f t="shared" si="3"/>
        <v>0.24229999999999999</v>
      </c>
      <c r="E30" s="102">
        <f t="shared" si="6"/>
        <v>6.6699999999999995E-2</v>
      </c>
      <c r="F30" s="102">
        <f t="shared" si="5"/>
        <v>1.77E-2</v>
      </c>
      <c r="G30" s="104">
        <v>0.219</v>
      </c>
      <c r="H30" s="104">
        <v>0.24099999999999999</v>
      </c>
      <c r="I30" s="104">
        <v>6.6000000000000003E-2</v>
      </c>
      <c r="J30" s="104">
        <v>1.7000000000000001E-2</v>
      </c>
      <c r="K30" s="54">
        <f>((8/3)*L26)+((4/3)*L38)</f>
        <v>12325</v>
      </c>
      <c r="L30" s="113"/>
      <c r="M30" s="98"/>
      <c r="N30" s="98"/>
      <c r="R30" s="98"/>
      <c r="S30" s="98"/>
    </row>
    <row r="31" spans="1:19" s="60" customFormat="1">
      <c r="A31" s="59">
        <f t="shared" si="1"/>
        <v>38383</v>
      </c>
      <c r="B31" s="59">
        <f t="shared" si="0"/>
        <v>38747</v>
      </c>
      <c r="C31" s="102">
        <f t="shared" si="2"/>
        <v>0.22359999999999999</v>
      </c>
      <c r="D31" s="102">
        <f t="shared" si="3"/>
        <v>0.2427</v>
      </c>
      <c r="E31" s="102">
        <f t="shared" si="6"/>
        <v>6.6799999999999998E-2</v>
      </c>
      <c r="F31" s="102">
        <f t="shared" si="5"/>
        <v>1.78E-2</v>
      </c>
      <c r="G31" s="104">
        <v>0.219</v>
      </c>
      <c r="H31" s="104">
        <v>0.24099999999999999</v>
      </c>
      <c r="I31" s="104">
        <v>6.6000000000000003E-2</v>
      </c>
      <c r="J31" s="104">
        <v>1.7000000000000001E-2</v>
      </c>
      <c r="K31" s="54">
        <f>((7/3)*L26)+((5/3)*L38)</f>
        <v>12099</v>
      </c>
      <c r="L31" s="113"/>
      <c r="M31" s="98"/>
      <c r="N31" s="98"/>
      <c r="R31" s="98"/>
      <c r="S31" s="98"/>
    </row>
    <row r="32" spans="1:19" s="60" customFormat="1">
      <c r="A32" s="59">
        <f t="shared" si="1"/>
        <v>38411</v>
      </c>
      <c r="B32" s="59">
        <f t="shared" si="0"/>
        <v>38775</v>
      </c>
      <c r="C32" s="102">
        <f t="shared" si="2"/>
        <v>0.22450000000000001</v>
      </c>
      <c r="D32" s="102">
        <f t="shared" si="3"/>
        <v>0.24299999999999999</v>
      </c>
      <c r="E32" s="102">
        <f t="shared" si="6"/>
        <v>6.7000000000000004E-2</v>
      </c>
      <c r="F32" s="102">
        <f t="shared" si="5"/>
        <v>1.7999999999999999E-2</v>
      </c>
      <c r="G32" s="104">
        <v>0.219</v>
      </c>
      <c r="H32" s="104">
        <v>0.24099999999999999</v>
      </c>
      <c r="I32" s="104">
        <v>6.6000000000000003E-2</v>
      </c>
      <c r="J32" s="104">
        <v>1.7000000000000001E-2</v>
      </c>
      <c r="K32" s="54">
        <f>((6/3)*L26)+((6/3)*L38)</f>
        <v>11872</v>
      </c>
      <c r="L32" s="113"/>
      <c r="R32" s="98"/>
      <c r="S32" s="98"/>
    </row>
    <row r="33" spans="1:19" s="60" customFormat="1">
      <c r="A33" s="59">
        <f t="shared" si="1"/>
        <v>38442</v>
      </c>
      <c r="B33" s="59">
        <f t="shared" si="0"/>
        <v>38806</v>
      </c>
      <c r="C33" s="102">
        <f t="shared" si="2"/>
        <v>0.22539999999999999</v>
      </c>
      <c r="D33" s="102">
        <f t="shared" si="3"/>
        <v>0.24329999999999999</v>
      </c>
      <c r="E33" s="102">
        <f t="shared" si="6"/>
        <v>6.7199999999999996E-2</v>
      </c>
      <c r="F33" s="102">
        <f t="shared" si="5"/>
        <v>1.8200000000000001E-2</v>
      </c>
      <c r="G33" s="104">
        <v>0.219</v>
      </c>
      <c r="H33" s="104">
        <v>0.24099999999999999</v>
      </c>
      <c r="I33" s="104">
        <v>6.6000000000000003E-2</v>
      </c>
      <c r="J33" s="104">
        <v>1.7000000000000001E-2</v>
      </c>
      <c r="K33" s="54">
        <f>((5/3)*L26)+((7/3)*L38)</f>
        <v>11645</v>
      </c>
      <c r="L33" s="113"/>
      <c r="R33" s="98"/>
      <c r="S33" s="98"/>
    </row>
    <row r="34" spans="1:19" s="60" customFormat="1">
      <c r="A34" s="59">
        <f t="shared" si="1"/>
        <v>38472</v>
      </c>
      <c r="B34" s="59">
        <f t="shared" si="0"/>
        <v>38836</v>
      </c>
      <c r="C34" s="102">
        <f t="shared" si="2"/>
        <v>0.2263</v>
      </c>
      <c r="D34" s="102">
        <f t="shared" si="3"/>
        <v>0.2437</v>
      </c>
      <c r="E34" s="102">
        <f t="shared" si="6"/>
        <v>6.7299999999999999E-2</v>
      </c>
      <c r="F34" s="102">
        <f t="shared" si="5"/>
        <v>1.83E-2</v>
      </c>
      <c r="G34" s="104">
        <v>0.219</v>
      </c>
      <c r="H34" s="104">
        <v>0.24099999999999999</v>
      </c>
      <c r="I34" s="104">
        <v>6.6000000000000003E-2</v>
      </c>
      <c r="J34" s="104">
        <v>1.7000000000000001E-2</v>
      </c>
      <c r="K34" s="54">
        <f>((4/3)*L26)+((8/3)*L38)</f>
        <v>11419</v>
      </c>
      <c r="L34" s="113"/>
      <c r="R34" s="98"/>
      <c r="S34" s="98"/>
    </row>
    <row r="35" spans="1:19" s="60" customFormat="1">
      <c r="A35" s="59">
        <f t="shared" si="1"/>
        <v>38503</v>
      </c>
      <c r="B35" s="59">
        <f t="shared" si="0"/>
        <v>38867</v>
      </c>
      <c r="C35" s="102">
        <f t="shared" si="2"/>
        <v>0.2273</v>
      </c>
      <c r="D35" s="102">
        <f t="shared" si="3"/>
        <v>0.24399999999999999</v>
      </c>
      <c r="E35" s="102">
        <f t="shared" si="6"/>
        <v>6.7500000000000004E-2</v>
      </c>
      <c r="F35" s="102">
        <f t="shared" si="5"/>
        <v>1.8499999999999999E-2</v>
      </c>
      <c r="G35" s="104">
        <v>0.219</v>
      </c>
      <c r="H35" s="104">
        <v>0.24099999999999999</v>
      </c>
      <c r="I35" s="104">
        <v>6.6000000000000003E-2</v>
      </c>
      <c r="J35" s="104">
        <v>1.7000000000000001E-2</v>
      </c>
      <c r="K35" s="54">
        <f>((3/3)*L26)+((9/3)*L38)</f>
        <v>11192</v>
      </c>
      <c r="L35" s="113"/>
      <c r="R35" s="98"/>
      <c r="S35" s="98"/>
    </row>
    <row r="36" spans="1:19" s="60" customFormat="1">
      <c r="A36" s="59">
        <f t="shared" si="1"/>
        <v>38533</v>
      </c>
      <c r="B36" s="59">
        <f t="shared" si="0"/>
        <v>38897</v>
      </c>
      <c r="C36" s="102">
        <f t="shared" si="2"/>
        <v>0.22819999999999999</v>
      </c>
      <c r="D36" s="102">
        <f t="shared" si="3"/>
        <v>0.24429999999999999</v>
      </c>
      <c r="E36" s="102">
        <f t="shared" si="6"/>
        <v>6.7699999999999996E-2</v>
      </c>
      <c r="F36" s="102">
        <f t="shared" si="5"/>
        <v>1.8700000000000001E-2</v>
      </c>
      <c r="G36" s="104">
        <v>0.219</v>
      </c>
      <c r="H36" s="104">
        <v>0.24099999999999999</v>
      </c>
      <c r="I36" s="104">
        <v>6.6000000000000003E-2</v>
      </c>
      <c r="J36" s="104">
        <v>1.7000000000000001E-2</v>
      </c>
      <c r="K36" s="54">
        <f>((2/3)*L26)+((10/3)*L38)</f>
        <v>10965</v>
      </c>
      <c r="L36" s="113"/>
      <c r="R36" s="98"/>
      <c r="S36" s="98"/>
    </row>
    <row r="37" spans="1:19" s="60" customFormat="1">
      <c r="A37" s="59">
        <f t="shared" si="1"/>
        <v>38564</v>
      </c>
      <c r="B37" s="59">
        <f t="shared" si="0"/>
        <v>38928</v>
      </c>
      <c r="C37" s="102">
        <f t="shared" si="2"/>
        <v>0.2291</v>
      </c>
      <c r="D37" s="102">
        <f t="shared" si="3"/>
        <v>0.2447</v>
      </c>
      <c r="E37" s="102">
        <f t="shared" si="6"/>
        <v>6.7799999999999999E-2</v>
      </c>
      <c r="F37" s="102">
        <f t="shared" si="5"/>
        <v>1.8800000000000001E-2</v>
      </c>
      <c r="G37" s="104">
        <v>0.219</v>
      </c>
      <c r="H37" s="104">
        <v>0.24099999999999999</v>
      </c>
      <c r="I37" s="104">
        <v>6.6000000000000003E-2</v>
      </c>
      <c r="J37" s="104">
        <v>1.7000000000000001E-2</v>
      </c>
      <c r="K37" s="54">
        <f>((1/3)*L26)+((11/3)*L38)</f>
        <v>10739</v>
      </c>
      <c r="L37" s="113"/>
      <c r="R37" s="98"/>
      <c r="S37" s="98"/>
    </row>
    <row r="38" spans="1:19" s="96" customFormat="1">
      <c r="A38" s="95">
        <f t="shared" si="1"/>
        <v>38595</v>
      </c>
      <c r="B38" s="95">
        <f t="shared" si="0"/>
        <v>38959</v>
      </c>
      <c r="C38" s="105">
        <f t="shared" si="2"/>
        <v>0.23</v>
      </c>
      <c r="D38" s="105">
        <f t="shared" si="3"/>
        <v>0.245</v>
      </c>
      <c r="E38" s="105">
        <f t="shared" si="6"/>
        <v>6.8000000000000005E-2</v>
      </c>
      <c r="F38" s="105">
        <f t="shared" si="5"/>
        <v>1.9E-2</v>
      </c>
      <c r="G38" s="107">
        <v>0.23</v>
      </c>
      <c r="H38" s="107">
        <v>0.245</v>
      </c>
      <c r="I38" s="107">
        <v>6.8000000000000005E-2</v>
      </c>
      <c r="J38" s="107">
        <v>1.9E-2</v>
      </c>
      <c r="K38" s="94">
        <f>(L38*4)</f>
        <v>10512</v>
      </c>
      <c r="L38" s="114">
        <v>2628</v>
      </c>
      <c r="O38" s="403"/>
      <c r="P38" s="403"/>
      <c r="R38" s="421"/>
      <c r="S38" s="421"/>
    </row>
    <row r="39" spans="1:19" s="96" customFormat="1">
      <c r="A39" s="95">
        <f t="shared" si="1"/>
        <v>38625</v>
      </c>
      <c r="B39" s="95">
        <f t="shared" si="0"/>
        <v>38989</v>
      </c>
      <c r="C39" s="105">
        <f t="shared" si="2"/>
        <v>0.23080000000000001</v>
      </c>
      <c r="D39" s="105">
        <f t="shared" si="3"/>
        <v>0.24579999999999999</v>
      </c>
      <c r="E39" s="105">
        <f t="shared" si="6"/>
        <v>6.8000000000000005E-2</v>
      </c>
      <c r="F39" s="105">
        <f t="shared" si="5"/>
        <v>1.89E-2</v>
      </c>
      <c r="G39" s="107">
        <v>0.23</v>
      </c>
      <c r="H39" s="107">
        <v>0.245</v>
      </c>
      <c r="I39" s="107">
        <v>6.8000000000000005E-2</v>
      </c>
      <c r="J39" s="107">
        <v>1.9E-2</v>
      </c>
      <c r="K39" s="94">
        <f>((11/3)*L38)+((1/3)*L50)</f>
        <v>10552</v>
      </c>
      <c r="L39" s="114"/>
      <c r="R39" s="421"/>
      <c r="S39" s="421"/>
    </row>
    <row r="40" spans="1:19" s="96" customFormat="1">
      <c r="A40" s="95">
        <f t="shared" si="1"/>
        <v>38656</v>
      </c>
      <c r="B40" s="95">
        <f t="shared" si="0"/>
        <v>39020</v>
      </c>
      <c r="C40" s="105">
        <f t="shared" si="2"/>
        <v>0.23169999999999999</v>
      </c>
      <c r="D40" s="105">
        <f t="shared" si="3"/>
        <v>0.2467</v>
      </c>
      <c r="E40" s="105">
        <f t="shared" si="6"/>
        <v>6.8000000000000005E-2</v>
      </c>
      <c r="F40" s="105">
        <f t="shared" si="5"/>
        <v>1.8800000000000001E-2</v>
      </c>
      <c r="G40" s="107">
        <v>0.23</v>
      </c>
      <c r="H40" s="107">
        <v>0.245</v>
      </c>
      <c r="I40" s="107">
        <v>6.8000000000000005E-2</v>
      </c>
      <c r="J40" s="107">
        <v>1.9E-2</v>
      </c>
      <c r="K40" s="94">
        <f>((10/3)*L38)+((2/3)*L50)</f>
        <v>10592</v>
      </c>
      <c r="L40" s="114"/>
      <c r="R40" s="421"/>
      <c r="S40" s="421"/>
    </row>
    <row r="41" spans="1:19" s="96" customFormat="1">
      <c r="A41" s="95">
        <f t="shared" si="1"/>
        <v>38686</v>
      </c>
      <c r="B41" s="95">
        <f t="shared" si="0"/>
        <v>39050</v>
      </c>
      <c r="C41" s="105">
        <f t="shared" si="2"/>
        <v>0.23250000000000001</v>
      </c>
      <c r="D41" s="105">
        <f t="shared" si="3"/>
        <v>0.2475</v>
      </c>
      <c r="E41" s="105">
        <f t="shared" si="6"/>
        <v>6.8000000000000005E-2</v>
      </c>
      <c r="F41" s="105">
        <f t="shared" si="5"/>
        <v>1.8800000000000001E-2</v>
      </c>
      <c r="G41" s="107">
        <v>0.23</v>
      </c>
      <c r="H41" s="107">
        <v>0.245</v>
      </c>
      <c r="I41" s="107">
        <v>6.8000000000000005E-2</v>
      </c>
      <c r="J41" s="107">
        <v>1.9E-2</v>
      </c>
      <c r="K41" s="94">
        <f>((9/3)*L38)+((3/3)*L50)</f>
        <v>10632</v>
      </c>
      <c r="L41" s="114"/>
      <c r="R41" s="421"/>
      <c r="S41" s="421"/>
    </row>
    <row r="42" spans="1:19" s="96" customFormat="1">
      <c r="A42" s="95">
        <f t="shared" si="1"/>
        <v>38717</v>
      </c>
      <c r="B42" s="95">
        <f t="shared" si="0"/>
        <v>39081</v>
      </c>
      <c r="C42" s="105">
        <f t="shared" si="2"/>
        <v>0.23330000000000001</v>
      </c>
      <c r="D42" s="105">
        <f t="shared" si="3"/>
        <v>0.24829999999999999</v>
      </c>
      <c r="E42" s="105">
        <f t="shared" si="6"/>
        <v>6.8000000000000005E-2</v>
      </c>
      <c r="F42" s="105">
        <f t="shared" si="5"/>
        <v>1.8700000000000001E-2</v>
      </c>
      <c r="G42" s="107">
        <v>0.23</v>
      </c>
      <c r="H42" s="107">
        <v>0.245</v>
      </c>
      <c r="I42" s="107">
        <v>6.8000000000000005E-2</v>
      </c>
      <c r="J42" s="107">
        <v>1.9E-2</v>
      </c>
      <c r="K42" s="94">
        <f>((8/3)*L38)+((4/3)*L50)</f>
        <v>10672</v>
      </c>
      <c r="L42" s="114"/>
      <c r="R42" s="421"/>
      <c r="S42" s="421"/>
    </row>
    <row r="43" spans="1:19" s="96" customFormat="1">
      <c r="A43" s="95">
        <f t="shared" si="1"/>
        <v>38748</v>
      </c>
      <c r="B43" s="95">
        <f t="shared" si="0"/>
        <v>39112</v>
      </c>
      <c r="C43" s="105">
        <f t="shared" si="2"/>
        <v>0.23419999999999999</v>
      </c>
      <c r="D43" s="105">
        <f t="shared" si="3"/>
        <v>0.2492</v>
      </c>
      <c r="E43" s="105">
        <f t="shared" si="6"/>
        <v>6.8000000000000005E-2</v>
      </c>
      <c r="F43" s="105">
        <f t="shared" si="5"/>
        <v>1.8599999999999998E-2</v>
      </c>
      <c r="G43" s="107">
        <v>0.23</v>
      </c>
      <c r="H43" s="107">
        <v>0.245</v>
      </c>
      <c r="I43" s="107">
        <v>6.8000000000000005E-2</v>
      </c>
      <c r="J43" s="107">
        <v>1.9E-2</v>
      </c>
      <c r="K43" s="94">
        <f>((7/3)*L38)+((5/3)*L50)</f>
        <v>10712</v>
      </c>
      <c r="L43" s="114"/>
      <c r="R43" s="421"/>
      <c r="S43" s="421"/>
    </row>
    <row r="44" spans="1:19" s="96" customFormat="1">
      <c r="A44" s="95">
        <f t="shared" si="1"/>
        <v>38776</v>
      </c>
      <c r="B44" s="95">
        <f t="shared" si="0"/>
        <v>39140</v>
      </c>
      <c r="C44" s="105">
        <f t="shared" si="2"/>
        <v>0.23499999999999999</v>
      </c>
      <c r="D44" s="105">
        <f t="shared" si="3"/>
        <v>0.25</v>
      </c>
      <c r="E44" s="105">
        <f t="shared" si="6"/>
        <v>6.8000000000000005E-2</v>
      </c>
      <c r="F44" s="105">
        <f t="shared" si="5"/>
        <v>1.8499999999999999E-2</v>
      </c>
      <c r="G44" s="107">
        <v>0.23</v>
      </c>
      <c r="H44" s="107">
        <v>0.245</v>
      </c>
      <c r="I44" s="107">
        <v>6.8000000000000005E-2</v>
      </c>
      <c r="J44" s="107">
        <v>1.9E-2</v>
      </c>
      <c r="K44" s="94">
        <f>((6/3)*L38)+((6/3)*L50)</f>
        <v>10752</v>
      </c>
      <c r="L44" s="114"/>
      <c r="R44" s="421"/>
      <c r="S44" s="421"/>
    </row>
    <row r="45" spans="1:19" s="96" customFormat="1">
      <c r="A45" s="95">
        <f t="shared" si="1"/>
        <v>38807</v>
      </c>
      <c r="B45" s="95">
        <f t="shared" si="0"/>
        <v>39171</v>
      </c>
      <c r="C45" s="105">
        <f t="shared" si="2"/>
        <v>0.23580000000000001</v>
      </c>
      <c r="D45" s="105">
        <f t="shared" si="3"/>
        <v>0.25080000000000002</v>
      </c>
      <c r="E45" s="105">
        <f t="shared" si="6"/>
        <v>6.8000000000000005E-2</v>
      </c>
      <c r="F45" s="105">
        <f t="shared" si="5"/>
        <v>1.84E-2</v>
      </c>
      <c r="G45" s="107">
        <v>0.23</v>
      </c>
      <c r="H45" s="107">
        <v>0.245</v>
      </c>
      <c r="I45" s="107">
        <v>6.8000000000000005E-2</v>
      </c>
      <c r="J45" s="107">
        <v>1.9E-2</v>
      </c>
      <c r="K45" s="94">
        <f>((5/3)*L38)+((7/3)*L50)</f>
        <v>10792</v>
      </c>
      <c r="L45" s="114"/>
      <c r="R45" s="421"/>
      <c r="S45" s="421"/>
    </row>
    <row r="46" spans="1:19" s="96" customFormat="1">
      <c r="A46" s="95">
        <f t="shared" si="1"/>
        <v>38837</v>
      </c>
      <c r="B46" s="95">
        <f t="shared" si="0"/>
        <v>39201</v>
      </c>
      <c r="C46" s="105">
        <f t="shared" si="2"/>
        <v>0.23669999999999999</v>
      </c>
      <c r="D46" s="105">
        <f t="shared" si="3"/>
        <v>0.25169999999999998</v>
      </c>
      <c r="E46" s="105">
        <f t="shared" si="6"/>
        <v>6.8000000000000005E-2</v>
      </c>
      <c r="F46" s="105">
        <f t="shared" si="5"/>
        <v>1.83E-2</v>
      </c>
      <c r="G46" s="107">
        <v>0.23</v>
      </c>
      <c r="H46" s="107">
        <v>0.245</v>
      </c>
      <c r="I46" s="107">
        <v>6.8000000000000005E-2</v>
      </c>
      <c r="J46" s="107">
        <v>1.9E-2</v>
      </c>
      <c r="K46" s="94">
        <f>((4/3)*L38)+((8/3)*L50)</f>
        <v>10832</v>
      </c>
      <c r="L46" s="114"/>
      <c r="R46" s="421"/>
      <c r="S46" s="421"/>
    </row>
    <row r="47" spans="1:19" s="96" customFormat="1">
      <c r="A47" s="95">
        <f t="shared" si="1"/>
        <v>38868</v>
      </c>
      <c r="B47" s="95">
        <f t="shared" si="0"/>
        <v>39232</v>
      </c>
      <c r="C47" s="105">
        <f t="shared" si="2"/>
        <v>0.23749999999999999</v>
      </c>
      <c r="D47" s="105">
        <f t="shared" si="3"/>
        <v>0.2525</v>
      </c>
      <c r="E47" s="105">
        <f t="shared" si="6"/>
        <v>6.8000000000000005E-2</v>
      </c>
      <c r="F47" s="105">
        <f t="shared" si="5"/>
        <v>1.83E-2</v>
      </c>
      <c r="G47" s="107">
        <v>0.23</v>
      </c>
      <c r="H47" s="107">
        <v>0.245</v>
      </c>
      <c r="I47" s="107">
        <v>6.8000000000000005E-2</v>
      </c>
      <c r="J47" s="107">
        <v>1.9E-2</v>
      </c>
      <c r="K47" s="94">
        <f>((3/3)*L38)+((9/3)*L50)</f>
        <v>10872</v>
      </c>
      <c r="L47" s="114"/>
      <c r="R47" s="421"/>
      <c r="S47" s="421"/>
    </row>
    <row r="48" spans="1:19" s="96" customFormat="1">
      <c r="A48" s="95">
        <f t="shared" si="1"/>
        <v>38898</v>
      </c>
      <c r="B48" s="95">
        <f t="shared" si="0"/>
        <v>39262</v>
      </c>
      <c r="C48" s="105">
        <f t="shared" si="2"/>
        <v>0.23830000000000001</v>
      </c>
      <c r="D48" s="105">
        <f t="shared" si="3"/>
        <v>0.25330000000000003</v>
      </c>
      <c r="E48" s="105">
        <f t="shared" si="6"/>
        <v>6.8000000000000005E-2</v>
      </c>
      <c r="F48" s="105">
        <f t="shared" si="5"/>
        <v>1.8200000000000001E-2</v>
      </c>
      <c r="G48" s="107">
        <v>0.23</v>
      </c>
      <c r="H48" s="107">
        <v>0.245</v>
      </c>
      <c r="I48" s="107">
        <v>6.8000000000000005E-2</v>
      </c>
      <c r="J48" s="107">
        <v>1.9E-2</v>
      </c>
      <c r="K48" s="94">
        <f>((2/3)*L38)+((10/3)*L50)</f>
        <v>10912</v>
      </c>
      <c r="L48" s="114"/>
      <c r="R48" s="421"/>
      <c r="S48" s="421"/>
    </row>
    <row r="49" spans="1:19" s="96" customFormat="1">
      <c r="A49" s="95">
        <f t="shared" si="1"/>
        <v>38929</v>
      </c>
      <c r="B49" s="95">
        <f t="shared" si="0"/>
        <v>39293</v>
      </c>
      <c r="C49" s="105">
        <f t="shared" si="2"/>
        <v>0.2392</v>
      </c>
      <c r="D49" s="105">
        <f t="shared" si="3"/>
        <v>0.25419999999999998</v>
      </c>
      <c r="E49" s="105">
        <f t="shared" si="6"/>
        <v>6.8000000000000005E-2</v>
      </c>
      <c r="F49" s="105">
        <f t="shared" si="5"/>
        <v>1.8100000000000002E-2</v>
      </c>
      <c r="G49" s="107">
        <v>0.23</v>
      </c>
      <c r="H49" s="107">
        <v>0.245</v>
      </c>
      <c r="I49" s="107">
        <v>6.8000000000000005E-2</v>
      </c>
      <c r="J49" s="107">
        <v>1.9E-2</v>
      </c>
      <c r="K49" s="94">
        <f>((1/3)*L38)+((11/3)*L50)</f>
        <v>10952</v>
      </c>
      <c r="L49" s="114"/>
      <c r="R49" s="421"/>
      <c r="S49" s="421"/>
    </row>
    <row r="50" spans="1:19" s="60" customFormat="1">
      <c r="A50" s="59">
        <f t="shared" si="1"/>
        <v>38960</v>
      </c>
      <c r="B50" s="59">
        <f t="shared" si="0"/>
        <v>39324</v>
      </c>
      <c r="C50" s="102">
        <f t="shared" si="2"/>
        <v>0.24</v>
      </c>
      <c r="D50" s="102">
        <f t="shared" si="3"/>
        <v>0.255</v>
      </c>
      <c r="E50" s="102">
        <f t="shared" si="6"/>
        <v>6.8000000000000005E-2</v>
      </c>
      <c r="F50" s="102">
        <f t="shared" si="5"/>
        <v>1.7999999999999999E-2</v>
      </c>
      <c r="G50" s="104">
        <v>0.24</v>
      </c>
      <c r="H50" s="104">
        <v>0.255</v>
      </c>
      <c r="I50" s="104">
        <v>6.8000000000000005E-2</v>
      </c>
      <c r="J50" s="104">
        <v>1.7999999999999999E-2</v>
      </c>
      <c r="K50" s="54">
        <f>(L50*4)</f>
        <v>10992</v>
      </c>
      <c r="L50" s="113">
        <v>2748</v>
      </c>
      <c r="R50" s="98"/>
      <c r="S50" s="98"/>
    </row>
    <row r="51" spans="1:19" s="60" customFormat="1">
      <c r="A51" s="59">
        <f t="shared" si="1"/>
        <v>38990</v>
      </c>
      <c r="B51" s="59">
        <f t="shared" si="0"/>
        <v>39354</v>
      </c>
      <c r="C51" s="102">
        <f t="shared" si="2"/>
        <v>0.2414</v>
      </c>
      <c r="D51" s="102">
        <f t="shared" si="3"/>
        <v>0.25629999999999997</v>
      </c>
      <c r="E51" s="102">
        <f t="shared" si="6"/>
        <v>6.8099999999999994E-2</v>
      </c>
      <c r="F51" s="102">
        <f t="shared" si="5"/>
        <v>1.8200000000000001E-2</v>
      </c>
      <c r="G51" s="104">
        <v>0.24</v>
      </c>
      <c r="H51" s="104">
        <v>0.255</v>
      </c>
      <c r="I51" s="104">
        <v>6.8000000000000005E-2</v>
      </c>
      <c r="J51" s="104">
        <v>1.7999999999999999E-2</v>
      </c>
      <c r="K51" s="54">
        <f>((11/3)*L50)+((1/3)*L62)</f>
        <v>11032</v>
      </c>
      <c r="L51" s="115"/>
      <c r="R51" s="98"/>
      <c r="S51" s="98"/>
    </row>
    <row r="52" spans="1:19" s="60" customFormat="1">
      <c r="A52" s="59">
        <f t="shared" si="1"/>
        <v>39021</v>
      </c>
      <c r="B52" s="59">
        <f t="shared" si="0"/>
        <v>39385</v>
      </c>
      <c r="C52" s="102">
        <f t="shared" si="2"/>
        <v>0.24279999999999999</v>
      </c>
      <c r="D52" s="102">
        <f t="shared" si="3"/>
        <v>0.25750000000000001</v>
      </c>
      <c r="E52" s="102">
        <f t="shared" si="6"/>
        <v>6.8199999999999997E-2</v>
      </c>
      <c r="F52" s="102">
        <f t="shared" si="5"/>
        <v>1.83E-2</v>
      </c>
      <c r="G52" s="104">
        <v>0.24</v>
      </c>
      <c r="H52" s="104">
        <v>0.255</v>
      </c>
      <c r="I52" s="104">
        <v>6.8000000000000005E-2</v>
      </c>
      <c r="J52" s="104">
        <v>1.7999999999999999E-2</v>
      </c>
      <c r="K52" s="54">
        <f>((10/3)*L50)+((2/3)*L62)</f>
        <v>11073</v>
      </c>
      <c r="L52" s="113"/>
      <c r="R52" s="98"/>
      <c r="S52" s="98"/>
    </row>
    <row r="53" spans="1:19" s="60" customFormat="1">
      <c r="A53" s="59">
        <f t="shared" si="1"/>
        <v>39051</v>
      </c>
      <c r="B53" s="59">
        <f t="shared" si="0"/>
        <v>39415</v>
      </c>
      <c r="C53" s="102">
        <f t="shared" si="2"/>
        <v>0.24429999999999999</v>
      </c>
      <c r="D53" s="102">
        <f t="shared" si="3"/>
        <v>0.25879999999999997</v>
      </c>
      <c r="E53" s="102">
        <f t="shared" si="6"/>
        <v>6.83E-2</v>
      </c>
      <c r="F53" s="102">
        <f t="shared" si="5"/>
        <v>1.8499999999999999E-2</v>
      </c>
      <c r="G53" s="104">
        <v>0.24</v>
      </c>
      <c r="H53" s="104">
        <v>0.255</v>
      </c>
      <c r="I53" s="104">
        <v>6.8000000000000005E-2</v>
      </c>
      <c r="J53" s="104">
        <v>1.7999999999999999E-2</v>
      </c>
      <c r="K53" s="54">
        <f>((9/3)*L50)+((3/3)*L62)</f>
        <v>11113</v>
      </c>
      <c r="L53" s="113"/>
      <c r="R53" s="98"/>
      <c r="S53" s="98"/>
    </row>
    <row r="54" spans="1:19" s="60" customFormat="1">
      <c r="A54" s="59">
        <f t="shared" si="1"/>
        <v>39082</v>
      </c>
      <c r="B54" s="59">
        <f t="shared" si="0"/>
        <v>39446</v>
      </c>
      <c r="C54" s="102">
        <f t="shared" si="2"/>
        <v>0.2457</v>
      </c>
      <c r="D54" s="102">
        <f t="shared" si="3"/>
        <v>0.26</v>
      </c>
      <c r="E54" s="102">
        <f t="shared" si="6"/>
        <v>6.83E-2</v>
      </c>
      <c r="F54" s="102">
        <f t="shared" si="5"/>
        <v>1.8700000000000001E-2</v>
      </c>
      <c r="G54" s="104">
        <v>0.24</v>
      </c>
      <c r="H54" s="104">
        <v>0.255</v>
      </c>
      <c r="I54" s="104">
        <v>6.8000000000000005E-2</v>
      </c>
      <c r="J54" s="104">
        <v>1.7999999999999999E-2</v>
      </c>
      <c r="K54" s="54">
        <f>((8/3)*L50)+((4/3)*L62)</f>
        <v>11153</v>
      </c>
      <c r="L54" s="113"/>
      <c r="R54" s="98"/>
      <c r="S54" s="98"/>
    </row>
    <row r="55" spans="1:19" s="60" customFormat="1">
      <c r="A55" s="59">
        <f t="shared" si="1"/>
        <v>39113</v>
      </c>
      <c r="B55" s="59">
        <f t="shared" si="0"/>
        <v>39477</v>
      </c>
      <c r="C55" s="102">
        <f t="shared" si="2"/>
        <v>0.24709999999999999</v>
      </c>
      <c r="D55" s="102">
        <f t="shared" si="3"/>
        <v>0.26129999999999998</v>
      </c>
      <c r="E55" s="102">
        <f t="shared" si="6"/>
        <v>6.8400000000000002E-2</v>
      </c>
      <c r="F55" s="102">
        <f t="shared" si="5"/>
        <v>1.8800000000000001E-2</v>
      </c>
      <c r="G55" s="104">
        <v>0.24</v>
      </c>
      <c r="H55" s="104">
        <v>0.255</v>
      </c>
      <c r="I55" s="104">
        <v>6.8000000000000005E-2</v>
      </c>
      <c r="J55" s="104">
        <v>1.7999999999999999E-2</v>
      </c>
      <c r="K55" s="54">
        <f>((7/3)*L50)+((5/3)*L62)</f>
        <v>11194</v>
      </c>
      <c r="L55" s="113"/>
      <c r="R55" s="98"/>
      <c r="S55" s="98"/>
    </row>
    <row r="56" spans="1:19" s="60" customFormat="1">
      <c r="A56" s="59">
        <f t="shared" si="1"/>
        <v>39141</v>
      </c>
      <c r="B56" s="59">
        <f t="shared" si="0"/>
        <v>39506</v>
      </c>
      <c r="C56" s="102">
        <f t="shared" si="2"/>
        <v>0.2485</v>
      </c>
      <c r="D56" s="102">
        <f t="shared" si="3"/>
        <v>0.26250000000000001</v>
      </c>
      <c r="E56" s="102">
        <f t="shared" si="6"/>
        <v>6.8500000000000005E-2</v>
      </c>
      <c r="F56" s="102">
        <f t="shared" si="5"/>
        <v>1.9E-2</v>
      </c>
      <c r="G56" s="104">
        <v>0.24</v>
      </c>
      <c r="H56" s="104">
        <v>0.255</v>
      </c>
      <c r="I56" s="104">
        <v>6.8000000000000005E-2</v>
      </c>
      <c r="J56" s="104">
        <v>1.7999999999999999E-2</v>
      </c>
      <c r="K56" s="54">
        <f>((6/3)*L50)+((6/3)*L62)</f>
        <v>11234</v>
      </c>
      <c r="L56" s="113"/>
      <c r="R56" s="98"/>
      <c r="S56" s="98"/>
    </row>
    <row r="57" spans="1:19" s="60" customFormat="1">
      <c r="A57" s="59">
        <f t="shared" si="1"/>
        <v>39172</v>
      </c>
      <c r="B57" s="59">
        <f t="shared" si="0"/>
        <v>39537</v>
      </c>
      <c r="C57" s="102">
        <f t="shared" si="2"/>
        <v>0.24990000000000001</v>
      </c>
      <c r="D57" s="102">
        <f t="shared" si="3"/>
        <v>0.26379999999999998</v>
      </c>
      <c r="E57" s="102">
        <f t="shared" si="6"/>
        <v>6.8599999999999994E-2</v>
      </c>
      <c r="F57" s="102">
        <f t="shared" si="5"/>
        <v>1.9199999999999998E-2</v>
      </c>
      <c r="G57" s="104">
        <v>0.24</v>
      </c>
      <c r="H57" s="104">
        <v>0.255</v>
      </c>
      <c r="I57" s="104">
        <v>6.8000000000000005E-2</v>
      </c>
      <c r="J57" s="104">
        <v>1.7999999999999999E-2</v>
      </c>
      <c r="K57" s="54">
        <f>((5/3)*L50)+((7/3)*L62)</f>
        <v>11274</v>
      </c>
      <c r="L57" s="113"/>
      <c r="R57" s="98"/>
      <c r="S57" s="98"/>
    </row>
    <row r="58" spans="1:19" s="60" customFormat="1">
      <c r="A58" s="59">
        <f t="shared" si="1"/>
        <v>39202</v>
      </c>
      <c r="B58" s="59">
        <f t="shared" si="0"/>
        <v>39567</v>
      </c>
      <c r="C58" s="102">
        <f t="shared" si="2"/>
        <v>0.25130000000000002</v>
      </c>
      <c r="D58" s="102">
        <f t="shared" si="3"/>
        <v>0.26500000000000001</v>
      </c>
      <c r="E58" s="102">
        <f t="shared" si="6"/>
        <v>6.8699999999999997E-2</v>
      </c>
      <c r="F58" s="102">
        <f t="shared" si="5"/>
        <v>1.9300000000000001E-2</v>
      </c>
      <c r="G58" s="104">
        <v>0.24</v>
      </c>
      <c r="H58" s="104">
        <v>0.255</v>
      </c>
      <c r="I58" s="104">
        <v>6.8000000000000005E-2</v>
      </c>
      <c r="J58" s="104">
        <v>1.7999999999999999E-2</v>
      </c>
      <c r="K58" s="54">
        <f>((4/3)*L50)+((8/3)*L62)</f>
        <v>11315</v>
      </c>
      <c r="L58" s="113"/>
      <c r="R58" s="98"/>
      <c r="S58" s="98"/>
    </row>
    <row r="59" spans="1:19" s="60" customFormat="1">
      <c r="A59" s="59">
        <f t="shared" si="1"/>
        <v>39233</v>
      </c>
      <c r="B59" s="59">
        <f t="shared" si="0"/>
        <v>39598</v>
      </c>
      <c r="C59" s="102">
        <f t="shared" si="2"/>
        <v>0.25280000000000002</v>
      </c>
      <c r="D59" s="102">
        <f t="shared" si="3"/>
        <v>0.26629999999999998</v>
      </c>
      <c r="E59" s="102">
        <f t="shared" si="6"/>
        <v>6.88E-2</v>
      </c>
      <c r="F59" s="102">
        <f t="shared" si="5"/>
        <v>1.95E-2</v>
      </c>
      <c r="G59" s="104">
        <v>0.24</v>
      </c>
      <c r="H59" s="104">
        <v>0.255</v>
      </c>
      <c r="I59" s="104">
        <v>6.8000000000000005E-2</v>
      </c>
      <c r="J59" s="104">
        <v>1.7999999999999999E-2</v>
      </c>
      <c r="K59" s="54">
        <f>((3/3)*L50)+((9/3)*L62)</f>
        <v>11355</v>
      </c>
      <c r="L59" s="113"/>
      <c r="R59" s="98"/>
      <c r="S59" s="98"/>
    </row>
    <row r="60" spans="1:19" s="60" customFormat="1">
      <c r="A60" s="59">
        <f t="shared" si="1"/>
        <v>39263</v>
      </c>
      <c r="B60" s="59">
        <f t="shared" si="0"/>
        <v>39628</v>
      </c>
      <c r="C60" s="102">
        <f t="shared" si="2"/>
        <v>0.25419999999999998</v>
      </c>
      <c r="D60" s="102">
        <f t="shared" si="3"/>
        <v>0.26750000000000002</v>
      </c>
      <c r="E60" s="102">
        <f t="shared" si="6"/>
        <v>6.88E-2</v>
      </c>
      <c r="F60" s="102">
        <f t="shared" si="5"/>
        <v>1.9699999999999999E-2</v>
      </c>
      <c r="G60" s="104">
        <v>0.24</v>
      </c>
      <c r="H60" s="104">
        <v>0.255</v>
      </c>
      <c r="I60" s="104">
        <v>6.8000000000000005E-2</v>
      </c>
      <c r="J60" s="104">
        <v>1.7999999999999999E-2</v>
      </c>
      <c r="K60" s="54">
        <f>((2/3)*L50)+((10/3)*L62)</f>
        <v>11395</v>
      </c>
      <c r="L60" s="113"/>
      <c r="R60" s="98"/>
      <c r="S60" s="98"/>
    </row>
    <row r="61" spans="1:19" s="60" customFormat="1">
      <c r="A61" s="59">
        <f t="shared" si="1"/>
        <v>39294</v>
      </c>
      <c r="B61" s="59">
        <f t="shared" si="0"/>
        <v>39659</v>
      </c>
      <c r="C61" s="102">
        <f t="shared" si="2"/>
        <v>0.25559999999999999</v>
      </c>
      <c r="D61" s="102">
        <f t="shared" si="3"/>
        <v>0.26879999999999998</v>
      </c>
      <c r="E61" s="102">
        <f t="shared" si="6"/>
        <v>6.8900000000000003E-2</v>
      </c>
      <c r="F61" s="102">
        <f t="shared" si="5"/>
        <v>1.9800000000000002E-2</v>
      </c>
      <c r="G61" s="104">
        <v>0.24</v>
      </c>
      <c r="H61" s="104">
        <v>0.255</v>
      </c>
      <c r="I61" s="104">
        <v>6.8000000000000005E-2</v>
      </c>
      <c r="J61" s="104">
        <v>1.7999999999999999E-2</v>
      </c>
      <c r="K61" s="54">
        <f>((1/3)*L50)+((11/3)*L62)</f>
        <v>11436</v>
      </c>
      <c r="L61" s="113"/>
      <c r="R61" s="98"/>
      <c r="S61" s="98"/>
    </row>
    <row r="62" spans="1:19" s="96" customFormat="1">
      <c r="A62" s="95">
        <f t="shared" si="1"/>
        <v>39325</v>
      </c>
      <c r="B62" s="95">
        <f t="shared" si="0"/>
        <v>39690</v>
      </c>
      <c r="C62" s="105">
        <f t="shared" si="2"/>
        <v>0.25700000000000001</v>
      </c>
      <c r="D62" s="105">
        <f t="shared" si="3"/>
        <v>0.27</v>
      </c>
      <c r="E62" s="105">
        <f t="shared" si="6"/>
        <v>6.9000000000000006E-2</v>
      </c>
      <c r="F62" s="105">
        <f t="shared" si="5"/>
        <v>0.02</v>
      </c>
      <c r="G62" s="109">
        <v>0.25700000000000001</v>
      </c>
      <c r="H62" s="108">
        <v>0.27</v>
      </c>
      <c r="I62" s="109">
        <v>6.9000000000000006E-2</v>
      </c>
      <c r="J62" s="110">
        <v>0.02</v>
      </c>
      <c r="K62" s="94">
        <f>(L62*4)</f>
        <v>11476</v>
      </c>
      <c r="L62" s="116">
        <v>2869</v>
      </c>
      <c r="O62" s="404"/>
      <c r="P62" s="404"/>
      <c r="R62" s="421"/>
      <c r="S62" s="421"/>
    </row>
    <row r="63" spans="1:19" s="96" customFormat="1">
      <c r="A63" s="95">
        <f t="shared" si="1"/>
        <v>39355</v>
      </c>
      <c r="B63" s="95">
        <f t="shared" si="0"/>
        <v>39720</v>
      </c>
      <c r="C63" s="105">
        <f t="shared" si="2"/>
        <v>0.25740000000000002</v>
      </c>
      <c r="D63" s="105">
        <f t="shared" si="3"/>
        <v>0.2702</v>
      </c>
      <c r="E63" s="105">
        <f t="shared" si="6"/>
        <v>6.9000000000000006E-2</v>
      </c>
      <c r="F63" s="105">
        <f t="shared" si="5"/>
        <v>0.02</v>
      </c>
      <c r="G63" s="106">
        <v>0.25700000000000001</v>
      </c>
      <c r="H63" s="111">
        <v>0.27</v>
      </c>
      <c r="I63" s="106">
        <v>6.9000000000000006E-2</v>
      </c>
      <c r="J63" s="112">
        <v>0.02</v>
      </c>
      <c r="K63" s="94">
        <f>((11/3)*L62)+((1/3)*L74)</f>
        <v>11517</v>
      </c>
      <c r="L63" s="114"/>
      <c r="R63" s="421"/>
      <c r="S63" s="421"/>
    </row>
    <row r="64" spans="1:19" s="96" customFormat="1">
      <c r="A64" s="95">
        <f t="shared" si="1"/>
        <v>39386</v>
      </c>
      <c r="B64" s="95">
        <f t="shared" si="0"/>
        <v>39751</v>
      </c>
      <c r="C64" s="105">
        <f t="shared" si="2"/>
        <v>0.25779999999999997</v>
      </c>
      <c r="D64" s="105">
        <f t="shared" si="3"/>
        <v>0.27029999999999998</v>
      </c>
      <c r="E64" s="105">
        <f t="shared" si="6"/>
        <v>6.9000000000000006E-2</v>
      </c>
      <c r="F64" s="105">
        <f t="shared" si="5"/>
        <v>0.02</v>
      </c>
      <c r="G64" s="106">
        <v>0.25700000000000001</v>
      </c>
      <c r="H64" s="111">
        <v>0.27</v>
      </c>
      <c r="I64" s="106">
        <v>6.9000000000000006E-2</v>
      </c>
      <c r="J64" s="112">
        <v>0.02</v>
      </c>
      <c r="K64" s="94">
        <f>((10/3)*L62)+((2/3)*L74)</f>
        <v>11558</v>
      </c>
      <c r="L64" s="114"/>
      <c r="R64" s="421"/>
      <c r="S64" s="421"/>
    </row>
    <row r="65" spans="1:19" s="96" customFormat="1">
      <c r="A65" s="95">
        <f t="shared" si="1"/>
        <v>39416</v>
      </c>
      <c r="B65" s="95">
        <f t="shared" si="0"/>
        <v>39781</v>
      </c>
      <c r="C65" s="105">
        <f t="shared" si="2"/>
        <v>0.25829999999999997</v>
      </c>
      <c r="D65" s="105">
        <f t="shared" si="3"/>
        <v>0.27050000000000002</v>
      </c>
      <c r="E65" s="105">
        <f t="shared" si="6"/>
        <v>6.9000000000000006E-2</v>
      </c>
      <c r="F65" s="105">
        <f t="shared" si="5"/>
        <v>0.02</v>
      </c>
      <c r="G65" s="106">
        <v>0.25700000000000001</v>
      </c>
      <c r="H65" s="111">
        <v>0.27</v>
      </c>
      <c r="I65" s="106">
        <v>6.9000000000000006E-2</v>
      </c>
      <c r="J65" s="112">
        <v>0.02</v>
      </c>
      <c r="K65" s="94">
        <f>((9/3)*L62)+((3/3)*L74)</f>
        <v>11599</v>
      </c>
      <c r="L65" s="114"/>
      <c r="R65" s="421"/>
      <c r="S65" s="421"/>
    </row>
    <row r="66" spans="1:19" s="96" customFormat="1">
      <c r="A66" s="95">
        <f t="shared" si="1"/>
        <v>39447</v>
      </c>
      <c r="B66" s="95">
        <f t="shared" ref="B66:B129" si="7">EDATE(A66,12)-1</f>
        <v>39812</v>
      </c>
      <c r="C66" s="105">
        <f t="shared" si="2"/>
        <v>0.25869999999999999</v>
      </c>
      <c r="D66" s="105">
        <f t="shared" si="3"/>
        <v>0.2707</v>
      </c>
      <c r="E66" s="105">
        <f t="shared" si="6"/>
        <v>6.9000000000000006E-2</v>
      </c>
      <c r="F66" s="105">
        <f t="shared" si="5"/>
        <v>0.02</v>
      </c>
      <c r="G66" s="106">
        <v>0.25700000000000001</v>
      </c>
      <c r="H66" s="111">
        <v>0.27</v>
      </c>
      <c r="I66" s="106">
        <v>6.9000000000000006E-2</v>
      </c>
      <c r="J66" s="112">
        <v>0.02</v>
      </c>
      <c r="K66" s="94">
        <f>((8/3)*L62)+((4/3)*L74)</f>
        <v>11640</v>
      </c>
      <c r="L66" s="114"/>
      <c r="R66" s="421"/>
      <c r="S66" s="421"/>
    </row>
    <row r="67" spans="1:19" s="96" customFormat="1">
      <c r="A67" s="95">
        <f t="shared" ref="A67:A130" si="8">EDATE(A66,1)</f>
        <v>39478</v>
      </c>
      <c r="B67" s="95">
        <f t="shared" si="7"/>
        <v>39843</v>
      </c>
      <c r="C67" s="105">
        <f t="shared" ref="C67:C130" si="9">AVERAGE(G67:G78)</f>
        <v>0.2591</v>
      </c>
      <c r="D67" s="105">
        <f t="shared" ref="D67:D130" si="10">AVERAGE(H67:H78)</f>
        <v>0.27079999999999999</v>
      </c>
      <c r="E67" s="105">
        <f t="shared" si="6"/>
        <v>6.9000000000000006E-2</v>
      </c>
      <c r="F67" s="105">
        <f t="shared" si="5"/>
        <v>0.02</v>
      </c>
      <c r="G67" s="106">
        <v>0.25700000000000001</v>
      </c>
      <c r="H67" s="111">
        <v>0.27</v>
      </c>
      <c r="I67" s="106">
        <v>6.9000000000000006E-2</v>
      </c>
      <c r="J67" s="112">
        <v>0.02</v>
      </c>
      <c r="K67" s="94">
        <f>((7/3)*L62)+((5/3)*L74)</f>
        <v>11681</v>
      </c>
      <c r="L67" s="114"/>
      <c r="R67" s="421"/>
      <c r="S67" s="421"/>
    </row>
    <row r="68" spans="1:19" s="96" customFormat="1">
      <c r="A68" s="95">
        <f t="shared" si="8"/>
        <v>39507</v>
      </c>
      <c r="B68" s="95">
        <f t="shared" si="7"/>
        <v>39871</v>
      </c>
      <c r="C68" s="105">
        <f t="shared" si="9"/>
        <v>0.25950000000000001</v>
      </c>
      <c r="D68" s="105">
        <f t="shared" si="10"/>
        <v>0.27100000000000002</v>
      </c>
      <c r="E68" s="105">
        <f t="shared" si="6"/>
        <v>6.9000000000000006E-2</v>
      </c>
      <c r="F68" s="105">
        <f t="shared" ref="F68:F131" si="11">AVERAGE(J68:J79)</f>
        <v>0.02</v>
      </c>
      <c r="G68" s="106">
        <v>0.25700000000000001</v>
      </c>
      <c r="H68" s="111">
        <v>0.27</v>
      </c>
      <c r="I68" s="106">
        <v>6.9000000000000006E-2</v>
      </c>
      <c r="J68" s="112">
        <v>0.02</v>
      </c>
      <c r="K68" s="94">
        <f>((6/3)*L62)+((6/3)*L74)</f>
        <v>11722</v>
      </c>
      <c r="L68" s="114"/>
      <c r="R68" s="421"/>
      <c r="S68" s="421"/>
    </row>
    <row r="69" spans="1:19" s="96" customFormat="1">
      <c r="A69" s="95">
        <f t="shared" si="8"/>
        <v>39538</v>
      </c>
      <c r="B69" s="95">
        <f t="shared" si="7"/>
        <v>39902</v>
      </c>
      <c r="C69" s="105">
        <f t="shared" si="9"/>
        <v>0.25990000000000002</v>
      </c>
      <c r="D69" s="105">
        <f t="shared" si="10"/>
        <v>0.2712</v>
      </c>
      <c r="E69" s="105">
        <f t="shared" si="6"/>
        <v>6.9000000000000006E-2</v>
      </c>
      <c r="F69" s="105">
        <f t="shared" si="11"/>
        <v>0.02</v>
      </c>
      <c r="G69" s="106">
        <v>0.25700000000000001</v>
      </c>
      <c r="H69" s="111">
        <v>0.27</v>
      </c>
      <c r="I69" s="106">
        <v>6.9000000000000006E-2</v>
      </c>
      <c r="J69" s="112">
        <v>0.02</v>
      </c>
      <c r="K69" s="94">
        <f>((5/3)*L62)+((7/3)*L74)</f>
        <v>11763</v>
      </c>
      <c r="L69" s="114"/>
      <c r="R69" s="421"/>
      <c r="S69" s="421"/>
    </row>
    <row r="70" spans="1:19" s="96" customFormat="1">
      <c r="A70" s="95">
        <f t="shared" si="8"/>
        <v>39568</v>
      </c>
      <c r="B70" s="95">
        <f t="shared" si="7"/>
        <v>39932</v>
      </c>
      <c r="C70" s="105">
        <f t="shared" si="9"/>
        <v>0.26029999999999998</v>
      </c>
      <c r="D70" s="105">
        <f t="shared" si="10"/>
        <v>0.27129999999999999</v>
      </c>
      <c r="E70" s="105">
        <f t="shared" si="6"/>
        <v>6.9000000000000006E-2</v>
      </c>
      <c r="F70" s="105">
        <f t="shared" si="11"/>
        <v>0.02</v>
      </c>
      <c r="G70" s="106">
        <v>0.25700000000000001</v>
      </c>
      <c r="H70" s="111">
        <v>0.27</v>
      </c>
      <c r="I70" s="106">
        <v>6.9000000000000006E-2</v>
      </c>
      <c r="J70" s="112">
        <v>0.02</v>
      </c>
      <c r="K70" s="94">
        <f>((4/3)*L62)+((8/3)*L74)</f>
        <v>11804</v>
      </c>
      <c r="L70" s="114"/>
      <c r="R70" s="421"/>
      <c r="S70" s="421"/>
    </row>
    <row r="71" spans="1:19" s="96" customFormat="1">
      <c r="A71" s="95">
        <f t="shared" si="8"/>
        <v>39599</v>
      </c>
      <c r="B71" s="95">
        <f t="shared" si="7"/>
        <v>39963</v>
      </c>
      <c r="C71" s="105">
        <f t="shared" si="9"/>
        <v>0.26079999999999998</v>
      </c>
      <c r="D71" s="105">
        <f t="shared" si="10"/>
        <v>0.27150000000000002</v>
      </c>
      <c r="E71" s="105">
        <f t="shared" si="6"/>
        <v>6.9000000000000006E-2</v>
      </c>
      <c r="F71" s="105">
        <f t="shared" si="11"/>
        <v>0.02</v>
      </c>
      <c r="G71" s="106">
        <v>0.25700000000000001</v>
      </c>
      <c r="H71" s="111">
        <v>0.27</v>
      </c>
      <c r="I71" s="106">
        <v>6.9000000000000006E-2</v>
      </c>
      <c r="J71" s="112">
        <v>0.02</v>
      </c>
      <c r="K71" s="94">
        <f>((3/3)*L62)+((9/3)*L74)</f>
        <v>11845</v>
      </c>
      <c r="L71" s="114"/>
      <c r="R71" s="421"/>
      <c r="S71" s="421"/>
    </row>
    <row r="72" spans="1:19" s="96" customFormat="1">
      <c r="A72" s="95">
        <f t="shared" si="8"/>
        <v>39629</v>
      </c>
      <c r="B72" s="95">
        <f t="shared" si="7"/>
        <v>39993</v>
      </c>
      <c r="C72" s="105">
        <f t="shared" si="9"/>
        <v>0.26119999999999999</v>
      </c>
      <c r="D72" s="105">
        <f t="shared" si="10"/>
        <v>0.2717</v>
      </c>
      <c r="E72" s="105">
        <f t="shared" si="6"/>
        <v>6.9000000000000006E-2</v>
      </c>
      <c r="F72" s="105">
        <f t="shared" si="11"/>
        <v>0.02</v>
      </c>
      <c r="G72" s="106">
        <v>0.25700000000000001</v>
      </c>
      <c r="H72" s="111">
        <v>0.27</v>
      </c>
      <c r="I72" s="106">
        <v>6.9000000000000006E-2</v>
      </c>
      <c r="J72" s="112">
        <v>0.02</v>
      </c>
      <c r="K72" s="94">
        <f>((2/3)*L62)+((10/3)*L74)</f>
        <v>11886</v>
      </c>
      <c r="L72" s="114"/>
      <c r="R72" s="421"/>
      <c r="S72" s="421"/>
    </row>
    <row r="73" spans="1:19" s="96" customFormat="1">
      <c r="A73" s="95">
        <f t="shared" si="8"/>
        <v>39660</v>
      </c>
      <c r="B73" s="95">
        <f t="shared" si="7"/>
        <v>40024</v>
      </c>
      <c r="C73" s="105">
        <f t="shared" si="9"/>
        <v>0.2616</v>
      </c>
      <c r="D73" s="105">
        <f t="shared" si="10"/>
        <v>0.27179999999999999</v>
      </c>
      <c r="E73" s="105">
        <f t="shared" si="6"/>
        <v>6.9000000000000006E-2</v>
      </c>
      <c r="F73" s="105">
        <f t="shared" si="11"/>
        <v>0.02</v>
      </c>
      <c r="G73" s="405">
        <v>0.25700000000000001</v>
      </c>
      <c r="H73" s="406">
        <v>0.27</v>
      </c>
      <c r="I73" s="405">
        <v>6.9000000000000006E-2</v>
      </c>
      <c r="J73" s="407">
        <v>0.02</v>
      </c>
      <c r="K73" s="94">
        <f>((1/3)*L62)+((11/3)*L74)</f>
        <v>11927</v>
      </c>
      <c r="L73" s="114"/>
      <c r="R73" s="421"/>
      <c r="S73" s="421"/>
    </row>
    <row r="74" spans="1:19" s="60" customFormat="1">
      <c r="A74" s="59">
        <f t="shared" si="8"/>
        <v>39691</v>
      </c>
      <c r="B74" s="59">
        <f t="shared" si="7"/>
        <v>40055</v>
      </c>
      <c r="C74" s="102">
        <f t="shared" si="9"/>
        <v>0.26200000000000001</v>
      </c>
      <c r="D74" s="102">
        <f t="shared" si="10"/>
        <v>0.27200000000000002</v>
      </c>
      <c r="E74" s="102">
        <f t="shared" si="6"/>
        <v>6.9000000000000006E-2</v>
      </c>
      <c r="F74" s="102">
        <f t="shared" si="11"/>
        <v>0.02</v>
      </c>
      <c r="G74" s="408">
        <v>0.26200000000000001</v>
      </c>
      <c r="H74" s="409">
        <v>0.27200000000000002</v>
      </c>
      <c r="I74" s="408">
        <v>6.9000000000000006E-2</v>
      </c>
      <c r="J74" s="410">
        <v>0.02</v>
      </c>
      <c r="K74" s="54">
        <f>(L74*4)</f>
        <v>11968</v>
      </c>
      <c r="L74" s="117">
        <v>2992</v>
      </c>
      <c r="R74" s="98"/>
      <c r="S74" s="98"/>
    </row>
    <row r="75" spans="1:19" s="60" customFormat="1">
      <c r="A75" s="59">
        <f t="shared" si="8"/>
        <v>39721</v>
      </c>
      <c r="B75" s="59">
        <f t="shared" si="7"/>
        <v>40085</v>
      </c>
      <c r="C75" s="102">
        <f t="shared" si="9"/>
        <v>0.26269999999999999</v>
      </c>
      <c r="D75" s="102">
        <f t="shared" si="10"/>
        <v>0.27200000000000002</v>
      </c>
      <c r="E75" s="102">
        <f t="shared" si="6"/>
        <v>6.8699999999999997E-2</v>
      </c>
      <c r="F75" s="102">
        <f t="shared" si="11"/>
        <v>0.02</v>
      </c>
      <c r="G75" s="103">
        <v>0.26200000000000001</v>
      </c>
      <c r="H75" s="411">
        <v>0.27200000000000002</v>
      </c>
      <c r="I75" s="103">
        <v>6.9000000000000006E-2</v>
      </c>
      <c r="J75" s="412">
        <v>0.02</v>
      </c>
      <c r="K75" s="54">
        <f>((11/3)*L74)+((1/3)*L86)</f>
        <v>12008</v>
      </c>
      <c r="L75" s="113"/>
      <c r="R75" s="98"/>
      <c r="S75" s="98"/>
    </row>
    <row r="76" spans="1:19" s="60" customFormat="1">
      <c r="A76" s="59">
        <f t="shared" si="8"/>
        <v>39752</v>
      </c>
      <c r="B76" s="59">
        <f t="shared" si="7"/>
        <v>40116</v>
      </c>
      <c r="C76" s="102">
        <f t="shared" si="9"/>
        <v>0.26329999999999998</v>
      </c>
      <c r="D76" s="102">
        <f t="shared" si="10"/>
        <v>0.27200000000000002</v>
      </c>
      <c r="E76" s="102">
        <f t="shared" si="6"/>
        <v>6.83E-2</v>
      </c>
      <c r="F76" s="102">
        <f t="shared" si="11"/>
        <v>0.02</v>
      </c>
      <c r="G76" s="103">
        <v>0.26200000000000001</v>
      </c>
      <c r="H76" s="411">
        <v>0.27200000000000002</v>
      </c>
      <c r="I76" s="103">
        <v>6.9000000000000006E-2</v>
      </c>
      <c r="J76" s="412">
        <v>0.02</v>
      </c>
      <c r="K76" s="54">
        <f>((10/3)*L74)+((2/3)*L86)</f>
        <v>12049</v>
      </c>
      <c r="L76" s="113"/>
      <c r="R76" s="98"/>
      <c r="S76" s="98"/>
    </row>
    <row r="77" spans="1:19" s="60" customFormat="1">
      <c r="A77" s="59">
        <f t="shared" si="8"/>
        <v>39782</v>
      </c>
      <c r="B77" s="59">
        <f t="shared" si="7"/>
        <v>40146</v>
      </c>
      <c r="C77" s="102">
        <f t="shared" si="9"/>
        <v>0.26400000000000001</v>
      </c>
      <c r="D77" s="102">
        <f t="shared" si="10"/>
        <v>0.27200000000000002</v>
      </c>
      <c r="E77" s="102">
        <f t="shared" si="6"/>
        <v>6.8000000000000005E-2</v>
      </c>
      <c r="F77" s="102">
        <f t="shared" si="11"/>
        <v>0.02</v>
      </c>
      <c r="G77" s="103">
        <v>0.26200000000000001</v>
      </c>
      <c r="H77" s="411">
        <v>0.27200000000000002</v>
      </c>
      <c r="I77" s="103">
        <v>6.9000000000000006E-2</v>
      </c>
      <c r="J77" s="412">
        <v>0.02</v>
      </c>
      <c r="K77" s="54">
        <f>((9/3)*L74)+((3/3)*L86)</f>
        <v>12089</v>
      </c>
      <c r="L77" s="113"/>
      <c r="R77" s="98"/>
      <c r="S77" s="98"/>
    </row>
    <row r="78" spans="1:19" s="60" customFormat="1">
      <c r="A78" s="59">
        <f t="shared" si="8"/>
        <v>39813</v>
      </c>
      <c r="B78" s="59">
        <f t="shared" si="7"/>
        <v>40177</v>
      </c>
      <c r="C78" s="102">
        <f t="shared" si="9"/>
        <v>0.26469999999999999</v>
      </c>
      <c r="D78" s="102">
        <f t="shared" si="10"/>
        <v>0.27200000000000002</v>
      </c>
      <c r="E78" s="102">
        <f t="shared" si="6"/>
        <v>6.7699999999999996E-2</v>
      </c>
      <c r="F78" s="102">
        <f t="shared" si="11"/>
        <v>0.02</v>
      </c>
      <c r="G78" s="103">
        <v>0.26200000000000001</v>
      </c>
      <c r="H78" s="411">
        <v>0.27200000000000002</v>
      </c>
      <c r="I78" s="103">
        <v>6.9000000000000006E-2</v>
      </c>
      <c r="J78" s="412">
        <v>0.02</v>
      </c>
      <c r="K78" s="54">
        <f>((8/3)*L74)+((4/3)*L86)</f>
        <v>12129</v>
      </c>
      <c r="L78" s="113"/>
      <c r="R78" s="98"/>
      <c r="S78" s="98"/>
    </row>
    <row r="79" spans="1:19" s="60" customFormat="1">
      <c r="A79" s="59">
        <f t="shared" si="8"/>
        <v>39844</v>
      </c>
      <c r="B79" s="59">
        <f t="shared" si="7"/>
        <v>40208</v>
      </c>
      <c r="C79" s="102">
        <f t="shared" si="9"/>
        <v>0.26529999999999998</v>
      </c>
      <c r="D79" s="102">
        <f t="shared" si="10"/>
        <v>0.27200000000000002</v>
      </c>
      <c r="E79" s="102">
        <f t="shared" si="6"/>
        <v>6.7299999999999999E-2</v>
      </c>
      <c r="F79" s="102">
        <f t="shared" si="11"/>
        <v>0.02</v>
      </c>
      <c r="G79" s="103">
        <v>0.26200000000000001</v>
      </c>
      <c r="H79" s="411">
        <v>0.27200000000000002</v>
      </c>
      <c r="I79" s="103">
        <v>6.9000000000000006E-2</v>
      </c>
      <c r="J79" s="412">
        <v>0.02</v>
      </c>
      <c r="K79" s="54">
        <f>((7/3)*L74)+((5/3)*L86)</f>
        <v>12170</v>
      </c>
      <c r="L79" s="113"/>
      <c r="R79" s="98"/>
      <c r="S79" s="98"/>
    </row>
    <row r="80" spans="1:19" s="60" customFormat="1">
      <c r="A80" s="59">
        <f t="shared" si="8"/>
        <v>39872</v>
      </c>
      <c r="B80" s="59">
        <f t="shared" si="7"/>
        <v>40236</v>
      </c>
      <c r="C80" s="102">
        <f t="shared" si="9"/>
        <v>0.26600000000000001</v>
      </c>
      <c r="D80" s="102">
        <f t="shared" si="10"/>
        <v>0.27200000000000002</v>
      </c>
      <c r="E80" s="102">
        <f t="shared" si="6"/>
        <v>6.7000000000000004E-2</v>
      </c>
      <c r="F80" s="102">
        <f t="shared" si="11"/>
        <v>0.02</v>
      </c>
      <c r="G80" s="103">
        <v>0.26200000000000001</v>
      </c>
      <c r="H80" s="411">
        <v>0.27200000000000002</v>
      </c>
      <c r="I80" s="103">
        <v>6.9000000000000006E-2</v>
      </c>
      <c r="J80" s="412">
        <v>0.02</v>
      </c>
      <c r="K80" s="54">
        <f>((6/3)*L74)+((6/3)*L86)</f>
        <v>12210</v>
      </c>
      <c r="L80" s="113"/>
      <c r="R80" s="98"/>
      <c r="S80" s="98"/>
    </row>
    <row r="81" spans="1:19" s="60" customFormat="1">
      <c r="A81" s="59">
        <f t="shared" si="8"/>
        <v>39903</v>
      </c>
      <c r="B81" s="59">
        <f t="shared" si="7"/>
        <v>40267</v>
      </c>
      <c r="C81" s="102">
        <f t="shared" si="9"/>
        <v>0.26669999999999999</v>
      </c>
      <c r="D81" s="102">
        <f t="shared" si="10"/>
        <v>0.27200000000000002</v>
      </c>
      <c r="E81" s="102">
        <f t="shared" si="6"/>
        <v>6.6699999999999995E-2</v>
      </c>
      <c r="F81" s="102">
        <f t="shared" si="11"/>
        <v>0.02</v>
      </c>
      <c r="G81" s="103">
        <v>0.26200000000000001</v>
      </c>
      <c r="H81" s="411">
        <v>0.27200000000000002</v>
      </c>
      <c r="I81" s="103">
        <v>6.9000000000000006E-2</v>
      </c>
      <c r="J81" s="412">
        <v>0.02</v>
      </c>
      <c r="K81" s="54">
        <f>((5/3)*L74)+((7/3)*L86)</f>
        <v>12250</v>
      </c>
      <c r="L81" s="113"/>
      <c r="R81" s="98"/>
      <c r="S81" s="98"/>
    </row>
    <row r="82" spans="1:19" s="60" customFormat="1">
      <c r="A82" s="59">
        <f t="shared" si="8"/>
        <v>39933</v>
      </c>
      <c r="B82" s="59">
        <f t="shared" si="7"/>
        <v>40297</v>
      </c>
      <c r="C82" s="102">
        <f t="shared" si="9"/>
        <v>0.26729999999999998</v>
      </c>
      <c r="D82" s="102">
        <f t="shared" si="10"/>
        <v>0.27200000000000002</v>
      </c>
      <c r="E82" s="102">
        <f t="shared" si="6"/>
        <v>6.6299999999999998E-2</v>
      </c>
      <c r="F82" s="102">
        <f t="shared" si="11"/>
        <v>0.02</v>
      </c>
      <c r="G82" s="103">
        <v>0.26200000000000001</v>
      </c>
      <c r="H82" s="411">
        <v>0.27200000000000002</v>
      </c>
      <c r="I82" s="103">
        <v>6.9000000000000006E-2</v>
      </c>
      <c r="J82" s="412">
        <v>0.02</v>
      </c>
      <c r="K82" s="54">
        <f>((4/3)*L74)+((8/3)*L86)</f>
        <v>12291</v>
      </c>
      <c r="L82" s="113"/>
      <c r="R82" s="98"/>
      <c r="S82" s="98"/>
    </row>
    <row r="83" spans="1:19" s="60" customFormat="1">
      <c r="A83" s="59">
        <f t="shared" si="8"/>
        <v>39964</v>
      </c>
      <c r="B83" s="59">
        <f t="shared" si="7"/>
        <v>40328</v>
      </c>
      <c r="C83" s="102">
        <f t="shared" si="9"/>
        <v>0.26800000000000002</v>
      </c>
      <c r="D83" s="102">
        <f t="shared" si="10"/>
        <v>0.27200000000000002</v>
      </c>
      <c r="E83" s="102">
        <f t="shared" ref="E83:E146" si="12">AVERAGE(I83:I94)</f>
        <v>6.6000000000000003E-2</v>
      </c>
      <c r="F83" s="102">
        <f t="shared" si="11"/>
        <v>0.02</v>
      </c>
      <c r="G83" s="103">
        <v>0.26200000000000001</v>
      </c>
      <c r="H83" s="411">
        <v>0.27200000000000002</v>
      </c>
      <c r="I83" s="103">
        <v>6.9000000000000006E-2</v>
      </c>
      <c r="J83" s="412">
        <v>0.02</v>
      </c>
      <c r="K83" s="54">
        <f>((3/3)*L74)+((9/3)*L86)</f>
        <v>12331</v>
      </c>
      <c r="L83" s="113"/>
      <c r="R83" s="98"/>
      <c r="S83" s="98"/>
    </row>
    <row r="84" spans="1:19" s="60" customFormat="1">
      <c r="A84" s="59">
        <f t="shared" si="8"/>
        <v>39994</v>
      </c>
      <c r="B84" s="59">
        <f t="shared" si="7"/>
        <v>40358</v>
      </c>
      <c r="C84" s="102">
        <f t="shared" si="9"/>
        <v>0.26869999999999999</v>
      </c>
      <c r="D84" s="102">
        <f t="shared" si="10"/>
        <v>0.27200000000000002</v>
      </c>
      <c r="E84" s="102">
        <f t="shared" si="12"/>
        <v>6.5699999999999995E-2</v>
      </c>
      <c r="F84" s="102">
        <f t="shared" si="11"/>
        <v>0.02</v>
      </c>
      <c r="G84" s="103">
        <v>0.26200000000000001</v>
      </c>
      <c r="H84" s="411">
        <v>0.27200000000000002</v>
      </c>
      <c r="I84" s="103">
        <v>6.9000000000000006E-2</v>
      </c>
      <c r="J84" s="412">
        <v>0.02</v>
      </c>
      <c r="K84" s="54">
        <f>((2/3)*L74)+((10/3)*L86)</f>
        <v>12371</v>
      </c>
      <c r="L84" s="113"/>
      <c r="R84" s="98"/>
      <c r="S84" s="98"/>
    </row>
    <row r="85" spans="1:19" s="60" customFormat="1">
      <c r="A85" s="59">
        <f t="shared" si="8"/>
        <v>40025</v>
      </c>
      <c r="B85" s="59">
        <f t="shared" si="7"/>
        <v>40389</v>
      </c>
      <c r="C85" s="102">
        <f t="shared" si="9"/>
        <v>0.26929999999999998</v>
      </c>
      <c r="D85" s="102">
        <f t="shared" si="10"/>
        <v>0.27200000000000002</v>
      </c>
      <c r="E85" s="102">
        <f t="shared" si="12"/>
        <v>6.5299999999999997E-2</v>
      </c>
      <c r="F85" s="102">
        <f t="shared" si="11"/>
        <v>0.02</v>
      </c>
      <c r="G85" s="413">
        <v>0.26200000000000001</v>
      </c>
      <c r="H85" s="414">
        <v>0.27200000000000002</v>
      </c>
      <c r="I85" s="413">
        <v>6.9000000000000006E-2</v>
      </c>
      <c r="J85" s="415">
        <v>0.02</v>
      </c>
      <c r="K85" s="54">
        <f>((1/3)*L74)+((11/3)*L86)</f>
        <v>12412</v>
      </c>
      <c r="L85" s="113"/>
      <c r="R85" s="98"/>
      <c r="S85" s="98"/>
    </row>
    <row r="86" spans="1:19" s="96" customFormat="1">
      <c r="A86" s="95">
        <f t="shared" si="8"/>
        <v>40056</v>
      </c>
      <c r="B86" s="95">
        <f t="shared" si="7"/>
        <v>40420</v>
      </c>
      <c r="C86" s="105">
        <f t="shared" si="9"/>
        <v>0.27</v>
      </c>
      <c r="D86" s="105">
        <f t="shared" si="10"/>
        <v>0.27200000000000002</v>
      </c>
      <c r="E86" s="105">
        <f t="shared" si="12"/>
        <v>6.5000000000000002E-2</v>
      </c>
      <c r="F86" s="105">
        <f t="shared" si="11"/>
        <v>0.02</v>
      </c>
      <c r="G86" s="106">
        <v>0.27</v>
      </c>
      <c r="H86" s="416">
        <v>0.27200000000000002</v>
      </c>
      <c r="I86" s="106">
        <v>6.5000000000000002E-2</v>
      </c>
      <c r="J86" s="417">
        <v>0.02</v>
      </c>
      <c r="K86" s="94">
        <f>(L86*4)</f>
        <v>12452</v>
      </c>
      <c r="L86" s="116">
        <v>3113</v>
      </c>
      <c r="R86" s="421"/>
      <c r="S86" s="421"/>
    </row>
    <row r="87" spans="1:19" s="96" customFormat="1">
      <c r="A87" s="95">
        <f t="shared" si="8"/>
        <v>40086</v>
      </c>
      <c r="B87" s="95">
        <f t="shared" si="7"/>
        <v>40450</v>
      </c>
      <c r="C87" s="105">
        <f t="shared" si="9"/>
        <v>0.2707</v>
      </c>
      <c r="D87" s="105">
        <f t="shared" si="10"/>
        <v>0.27200000000000002</v>
      </c>
      <c r="E87" s="105">
        <f t="shared" si="12"/>
        <v>6.4699999999999994E-2</v>
      </c>
      <c r="F87" s="105">
        <f t="shared" si="11"/>
        <v>2.0299999999999999E-2</v>
      </c>
      <c r="G87" s="106">
        <v>0.27</v>
      </c>
      <c r="H87" s="416">
        <v>0.27200000000000002</v>
      </c>
      <c r="I87" s="106">
        <v>6.5000000000000002E-2</v>
      </c>
      <c r="J87" s="417">
        <v>0.02</v>
      </c>
      <c r="K87" s="94">
        <f>((11/3)*L86)+((1/3)*L98)</f>
        <v>12491</v>
      </c>
      <c r="L87" s="114"/>
      <c r="R87" s="421"/>
      <c r="S87" s="421"/>
    </row>
    <row r="88" spans="1:19" s="96" customFormat="1">
      <c r="A88" s="95">
        <f t="shared" si="8"/>
        <v>40117</v>
      </c>
      <c r="B88" s="95">
        <f t="shared" si="7"/>
        <v>40481</v>
      </c>
      <c r="C88" s="105">
        <f t="shared" si="9"/>
        <v>0.27129999999999999</v>
      </c>
      <c r="D88" s="105">
        <f t="shared" si="10"/>
        <v>0.27200000000000002</v>
      </c>
      <c r="E88" s="105">
        <f t="shared" si="12"/>
        <v>6.4299999999999996E-2</v>
      </c>
      <c r="F88" s="105">
        <f t="shared" si="11"/>
        <v>2.0500000000000001E-2</v>
      </c>
      <c r="G88" s="106">
        <v>0.27</v>
      </c>
      <c r="H88" s="416">
        <v>0.27200000000000002</v>
      </c>
      <c r="I88" s="106">
        <v>6.5000000000000002E-2</v>
      </c>
      <c r="J88" s="417">
        <v>0.02</v>
      </c>
      <c r="K88" s="94">
        <f>((10/3)*L86)+((2/3)*L98)</f>
        <v>12531</v>
      </c>
      <c r="L88" s="114"/>
      <c r="R88" s="421"/>
      <c r="S88" s="421"/>
    </row>
    <row r="89" spans="1:19" s="96" customFormat="1">
      <c r="A89" s="95">
        <f t="shared" si="8"/>
        <v>40147</v>
      </c>
      <c r="B89" s="95">
        <f t="shared" si="7"/>
        <v>40511</v>
      </c>
      <c r="C89" s="105">
        <f t="shared" si="9"/>
        <v>0.27200000000000002</v>
      </c>
      <c r="D89" s="105">
        <f t="shared" si="10"/>
        <v>0.27200000000000002</v>
      </c>
      <c r="E89" s="105">
        <f t="shared" si="12"/>
        <v>6.4000000000000001E-2</v>
      </c>
      <c r="F89" s="105">
        <f t="shared" si="11"/>
        <v>2.0799999999999999E-2</v>
      </c>
      <c r="G89" s="106">
        <v>0.27</v>
      </c>
      <c r="H89" s="416">
        <v>0.27200000000000002</v>
      </c>
      <c r="I89" s="106">
        <v>6.5000000000000002E-2</v>
      </c>
      <c r="J89" s="417">
        <v>0.02</v>
      </c>
      <c r="K89" s="94">
        <f>((9/3)*L86)+((3/3)*L98)</f>
        <v>12570</v>
      </c>
      <c r="L89" s="114"/>
      <c r="R89" s="421"/>
      <c r="S89" s="421"/>
    </row>
    <row r="90" spans="1:19" s="96" customFormat="1">
      <c r="A90" s="95">
        <f t="shared" si="8"/>
        <v>40178</v>
      </c>
      <c r="B90" s="95">
        <f t="shared" si="7"/>
        <v>40542</v>
      </c>
      <c r="C90" s="105">
        <f t="shared" si="9"/>
        <v>0.2727</v>
      </c>
      <c r="D90" s="105">
        <f t="shared" si="10"/>
        <v>0.27200000000000002</v>
      </c>
      <c r="E90" s="105">
        <f t="shared" si="12"/>
        <v>6.3700000000000007E-2</v>
      </c>
      <c r="F90" s="105">
        <f t="shared" si="11"/>
        <v>2.1000000000000001E-2</v>
      </c>
      <c r="G90" s="106">
        <v>0.27</v>
      </c>
      <c r="H90" s="416">
        <v>0.27200000000000002</v>
      </c>
      <c r="I90" s="106">
        <v>6.5000000000000002E-2</v>
      </c>
      <c r="J90" s="417">
        <v>0.02</v>
      </c>
      <c r="K90" s="94">
        <f>((8/3)*L86)+((4/3)*L98)</f>
        <v>12609</v>
      </c>
      <c r="L90" s="114"/>
      <c r="R90" s="421"/>
      <c r="S90" s="421"/>
    </row>
    <row r="91" spans="1:19" s="96" customFormat="1">
      <c r="A91" s="95">
        <f t="shared" si="8"/>
        <v>40209</v>
      </c>
      <c r="B91" s="95">
        <f t="shared" si="7"/>
        <v>40573</v>
      </c>
      <c r="C91" s="105">
        <f t="shared" si="9"/>
        <v>0.27329999999999999</v>
      </c>
      <c r="D91" s="105">
        <f t="shared" si="10"/>
        <v>0.27200000000000002</v>
      </c>
      <c r="E91" s="105">
        <f t="shared" si="12"/>
        <v>6.3299999999999995E-2</v>
      </c>
      <c r="F91" s="105">
        <f t="shared" si="11"/>
        <v>2.1299999999999999E-2</v>
      </c>
      <c r="G91" s="106">
        <v>0.27</v>
      </c>
      <c r="H91" s="416">
        <v>0.27200000000000002</v>
      </c>
      <c r="I91" s="106">
        <v>6.5000000000000002E-2</v>
      </c>
      <c r="J91" s="417">
        <v>0.02</v>
      </c>
      <c r="K91" s="94">
        <f>((7/3)*L86)+((5/3)*L98)</f>
        <v>12649</v>
      </c>
      <c r="L91" s="114"/>
      <c r="R91" s="421"/>
      <c r="S91" s="421"/>
    </row>
    <row r="92" spans="1:19" s="96" customFormat="1">
      <c r="A92" s="95">
        <f t="shared" si="8"/>
        <v>40237</v>
      </c>
      <c r="B92" s="95">
        <f t="shared" si="7"/>
        <v>40601</v>
      </c>
      <c r="C92" s="105">
        <f t="shared" si="9"/>
        <v>0.27400000000000002</v>
      </c>
      <c r="D92" s="105">
        <f t="shared" si="10"/>
        <v>0.27200000000000002</v>
      </c>
      <c r="E92" s="105">
        <f t="shared" si="12"/>
        <v>6.3E-2</v>
      </c>
      <c r="F92" s="105">
        <f t="shared" si="11"/>
        <v>2.1499999999999998E-2</v>
      </c>
      <c r="G92" s="106">
        <v>0.27</v>
      </c>
      <c r="H92" s="416">
        <v>0.27200000000000002</v>
      </c>
      <c r="I92" s="106">
        <v>6.5000000000000002E-2</v>
      </c>
      <c r="J92" s="417">
        <v>0.02</v>
      </c>
      <c r="K92" s="94">
        <f>((6/3)*L86)+((6/3)*L98)</f>
        <v>12688</v>
      </c>
      <c r="L92" s="114"/>
      <c r="R92" s="421"/>
      <c r="S92" s="421"/>
    </row>
    <row r="93" spans="1:19" s="96" customFormat="1">
      <c r="A93" s="95">
        <f t="shared" si="8"/>
        <v>40268</v>
      </c>
      <c r="B93" s="95">
        <f t="shared" si="7"/>
        <v>40632</v>
      </c>
      <c r="C93" s="105">
        <f t="shared" si="9"/>
        <v>0.2747</v>
      </c>
      <c r="D93" s="105">
        <f t="shared" si="10"/>
        <v>0.27200000000000002</v>
      </c>
      <c r="E93" s="105">
        <f t="shared" si="12"/>
        <v>6.2700000000000006E-2</v>
      </c>
      <c r="F93" s="105">
        <f t="shared" si="11"/>
        <v>2.18E-2</v>
      </c>
      <c r="G93" s="106">
        <v>0.27</v>
      </c>
      <c r="H93" s="416">
        <v>0.27200000000000002</v>
      </c>
      <c r="I93" s="106">
        <v>6.5000000000000002E-2</v>
      </c>
      <c r="J93" s="417">
        <v>0.02</v>
      </c>
      <c r="K93" s="94">
        <f>((5/3)*L86)+((7/3)*L98)</f>
        <v>12727</v>
      </c>
      <c r="L93" s="114"/>
      <c r="R93" s="421"/>
      <c r="S93" s="421"/>
    </row>
    <row r="94" spans="1:19" s="96" customFormat="1">
      <c r="A94" s="95">
        <f t="shared" si="8"/>
        <v>40298</v>
      </c>
      <c r="B94" s="95">
        <f t="shared" si="7"/>
        <v>40662</v>
      </c>
      <c r="C94" s="105">
        <f t="shared" si="9"/>
        <v>0.27529999999999999</v>
      </c>
      <c r="D94" s="105">
        <f t="shared" si="10"/>
        <v>0.27200000000000002</v>
      </c>
      <c r="E94" s="105">
        <f t="shared" si="12"/>
        <v>6.2300000000000001E-2</v>
      </c>
      <c r="F94" s="105">
        <f t="shared" si="11"/>
        <v>2.1999999999999999E-2</v>
      </c>
      <c r="G94" s="106">
        <v>0.27</v>
      </c>
      <c r="H94" s="416">
        <v>0.27200000000000002</v>
      </c>
      <c r="I94" s="106">
        <v>6.5000000000000002E-2</v>
      </c>
      <c r="J94" s="417">
        <v>0.02</v>
      </c>
      <c r="K94" s="94">
        <f>((4/3)*L86)+((8/3)*L98)</f>
        <v>12767</v>
      </c>
      <c r="L94" s="114"/>
      <c r="R94" s="421"/>
      <c r="S94" s="421"/>
    </row>
    <row r="95" spans="1:19" s="96" customFormat="1">
      <c r="A95" s="95">
        <f t="shared" si="8"/>
        <v>40329</v>
      </c>
      <c r="B95" s="95">
        <f t="shared" si="7"/>
        <v>40693</v>
      </c>
      <c r="C95" s="105">
        <f t="shared" si="9"/>
        <v>0.27600000000000002</v>
      </c>
      <c r="D95" s="105">
        <f t="shared" si="10"/>
        <v>0.27200000000000002</v>
      </c>
      <c r="E95" s="105">
        <f t="shared" si="12"/>
        <v>6.2E-2</v>
      </c>
      <c r="F95" s="105">
        <f t="shared" si="11"/>
        <v>2.23E-2</v>
      </c>
      <c r="G95" s="106">
        <v>0.27</v>
      </c>
      <c r="H95" s="416">
        <v>0.27200000000000002</v>
      </c>
      <c r="I95" s="106">
        <v>6.5000000000000002E-2</v>
      </c>
      <c r="J95" s="417">
        <v>0.02</v>
      </c>
      <c r="K95" s="94">
        <f>((3/3)*L86)+((9/3)*L98)</f>
        <v>12806</v>
      </c>
      <c r="L95" s="114"/>
      <c r="R95" s="421"/>
      <c r="S95" s="421"/>
    </row>
    <row r="96" spans="1:19" s="96" customFormat="1">
      <c r="A96" s="95">
        <f t="shared" si="8"/>
        <v>40359</v>
      </c>
      <c r="B96" s="95">
        <f t="shared" si="7"/>
        <v>40723</v>
      </c>
      <c r="C96" s="105">
        <f t="shared" si="9"/>
        <v>0.2767</v>
      </c>
      <c r="D96" s="105">
        <f t="shared" si="10"/>
        <v>0.27200000000000002</v>
      </c>
      <c r="E96" s="105">
        <f t="shared" si="12"/>
        <v>6.1699999999999998E-2</v>
      </c>
      <c r="F96" s="105">
        <f t="shared" si="11"/>
        <v>2.2499999999999999E-2</v>
      </c>
      <c r="G96" s="106">
        <v>0.27</v>
      </c>
      <c r="H96" s="416">
        <v>0.27200000000000002</v>
      </c>
      <c r="I96" s="106">
        <v>6.5000000000000002E-2</v>
      </c>
      <c r="J96" s="417">
        <v>0.02</v>
      </c>
      <c r="K96" s="94">
        <f>((2/3)*L86)+((10/3)*L98)</f>
        <v>12845</v>
      </c>
      <c r="L96" s="114"/>
      <c r="R96" s="421"/>
      <c r="S96" s="421"/>
    </row>
    <row r="97" spans="1:19" s="96" customFormat="1">
      <c r="A97" s="95">
        <f t="shared" si="8"/>
        <v>40390</v>
      </c>
      <c r="B97" s="95">
        <f t="shared" si="7"/>
        <v>40754</v>
      </c>
      <c r="C97" s="105">
        <f t="shared" si="9"/>
        <v>0.27729999999999999</v>
      </c>
      <c r="D97" s="105">
        <f t="shared" si="10"/>
        <v>0.27200000000000002</v>
      </c>
      <c r="E97" s="105">
        <f t="shared" si="12"/>
        <v>6.13E-2</v>
      </c>
      <c r="F97" s="105">
        <f t="shared" si="11"/>
        <v>2.2800000000000001E-2</v>
      </c>
      <c r="G97" s="106">
        <v>0.27</v>
      </c>
      <c r="H97" s="416">
        <v>0.27200000000000002</v>
      </c>
      <c r="I97" s="106">
        <v>6.5000000000000002E-2</v>
      </c>
      <c r="J97" s="417">
        <v>0.02</v>
      </c>
      <c r="K97" s="94">
        <f>((1/3)*L86)+((11/3)*L98)</f>
        <v>12885</v>
      </c>
      <c r="L97" s="114"/>
      <c r="R97" s="421"/>
      <c r="S97" s="421"/>
    </row>
    <row r="98" spans="1:19" s="60" customFormat="1">
      <c r="A98" s="59">
        <f t="shared" si="8"/>
        <v>40421</v>
      </c>
      <c r="B98" s="59">
        <f t="shared" si="7"/>
        <v>40785</v>
      </c>
      <c r="C98" s="102">
        <f t="shared" si="9"/>
        <v>0.27800000000000002</v>
      </c>
      <c r="D98" s="102">
        <f t="shared" si="10"/>
        <v>0.27200000000000002</v>
      </c>
      <c r="E98" s="102">
        <f t="shared" si="12"/>
        <v>6.0999999999999999E-2</v>
      </c>
      <c r="F98" s="102">
        <f t="shared" si="11"/>
        <v>2.3E-2</v>
      </c>
      <c r="G98" s="103">
        <v>0.27800000000000002</v>
      </c>
      <c r="H98" s="418">
        <v>0.27200000000000002</v>
      </c>
      <c r="I98" s="103">
        <v>6.0999999999999999E-2</v>
      </c>
      <c r="J98" s="419">
        <v>2.3E-2</v>
      </c>
      <c r="K98" s="54">
        <f>(L98*4)</f>
        <v>12924</v>
      </c>
      <c r="L98" s="117">
        <v>3231</v>
      </c>
      <c r="M98" s="98"/>
      <c r="N98" s="98"/>
      <c r="O98" s="98"/>
      <c r="P98" s="98"/>
      <c r="R98" s="98"/>
      <c r="S98" s="98"/>
    </row>
    <row r="99" spans="1:19" s="60" customFormat="1">
      <c r="A99" s="59">
        <f t="shared" si="8"/>
        <v>40451</v>
      </c>
      <c r="B99" s="59">
        <f t="shared" si="7"/>
        <v>40815</v>
      </c>
      <c r="C99" s="102">
        <f t="shared" si="9"/>
        <v>0.27539999999999998</v>
      </c>
      <c r="D99" s="102">
        <f t="shared" si="10"/>
        <v>0.27200000000000002</v>
      </c>
      <c r="E99" s="102">
        <f t="shared" si="12"/>
        <v>6.0999999999999999E-2</v>
      </c>
      <c r="F99" s="102">
        <f t="shared" si="11"/>
        <v>2.3E-2</v>
      </c>
      <c r="G99" s="103">
        <v>0.27800000000000002</v>
      </c>
      <c r="H99" s="418">
        <v>0.27200000000000002</v>
      </c>
      <c r="I99" s="103">
        <v>6.0999999999999999E-2</v>
      </c>
      <c r="J99" s="419">
        <v>2.3E-2</v>
      </c>
      <c r="K99" s="54">
        <f>((11/3)*L98)+((1/3)*L110)</f>
        <v>12965</v>
      </c>
      <c r="L99" s="113"/>
      <c r="M99" s="98"/>
      <c r="N99" s="98"/>
      <c r="O99" s="98"/>
      <c r="P99" s="98"/>
      <c r="R99" s="98"/>
      <c r="S99" s="98"/>
    </row>
    <row r="100" spans="1:19" s="60" customFormat="1">
      <c r="A100" s="59">
        <f t="shared" si="8"/>
        <v>40482</v>
      </c>
      <c r="B100" s="59">
        <f t="shared" si="7"/>
        <v>40846</v>
      </c>
      <c r="C100" s="102">
        <f t="shared" si="9"/>
        <v>0.27279999999999999</v>
      </c>
      <c r="D100" s="102">
        <f t="shared" si="10"/>
        <v>0.27200000000000002</v>
      </c>
      <c r="E100" s="102">
        <f t="shared" si="12"/>
        <v>6.0999999999999999E-2</v>
      </c>
      <c r="F100" s="102">
        <f t="shared" si="11"/>
        <v>2.3E-2</v>
      </c>
      <c r="G100" s="103">
        <v>0.27800000000000002</v>
      </c>
      <c r="H100" s="418">
        <v>0.27200000000000002</v>
      </c>
      <c r="I100" s="103">
        <v>6.0999999999999999E-2</v>
      </c>
      <c r="J100" s="419">
        <v>2.3E-2</v>
      </c>
      <c r="K100" s="54">
        <f>((10/3)*L98)+((2/3)*L110)</f>
        <v>13006</v>
      </c>
      <c r="L100" s="113"/>
      <c r="M100" s="98"/>
      <c r="N100" s="98"/>
      <c r="O100" s="98"/>
      <c r="P100" s="98"/>
      <c r="R100" s="98"/>
      <c r="S100" s="98"/>
    </row>
    <row r="101" spans="1:19" s="60" customFormat="1">
      <c r="A101" s="59">
        <f t="shared" si="8"/>
        <v>40512</v>
      </c>
      <c r="B101" s="59">
        <f t="shared" si="7"/>
        <v>40876</v>
      </c>
      <c r="C101" s="102">
        <f t="shared" si="9"/>
        <v>0.27029999999999998</v>
      </c>
      <c r="D101" s="102">
        <f t="shared" si="10"/>
        <v>0.27200000000000002</v>
      </c>
      <c r="E101" s="102">
        <f t="shared" si="12"/>
        <v>6.0999999999999999E-2</v>
      </c>
      <c r="F101" s="102">
        <f t="shared" si="11"/>
        <v>2.3E-2</v>
      </c>
      <c r="G101" s="103">
        <v>0.27800000000000002</v>
      </c>
      <c r="H101" s="418">
        <v>0.27200000000000002</v>
      </c>
      <c r="I101" s="103">
        <v>6.0999999999999999E-2</v>
      </c>
      <c r="J101" s="419">
        <v>2.3E-2</v>
      </c>
      <c r="K101" s="54">
        <f>((9/3)*L98)+((3/3)*L110)</f>
        <v>13047</v>
      </c>
      <c r="L101" s="113"/>
      <c r="M101" s="98"/>
      <c r="N101" s="98"/>
      <c r="O101" s="98"/>
      <c r="P101" s="98"/>
      <c r="R101" s="98"/>
      <c r="S101" s="98"/>
    </row>
    <row r="102" spans="1:19" s="60" customFormat="1">
      <c r="A102" s="59">
        <f t="shared" si="8"/>
        <v>40543</v>
      </c>
      <c r="B102" s="59">
        <f t="shared" si="7"/>
        <v>40907</v>
      </c>
      <c r="C102" s="102">
        <f t="shared" si="9"/>
        <v>0.26769999999999999</v>
      </c>
      <c r="D102" s="102">
        <f t="shared" si="10"/>
        <v>0.27200000000000002</v>
      </c>
      <c r="E102" s="102">
        <f t="shared" si="12"/>
        <v>6.0999999999999999E-2</v>
      </c>
      <c r="F102" s="102">
        <f t="shared" si="11"/>
        <v>2.3E-2</v>
      </c>
      <c r="G102" s="103">
        <v>0.27800000000000002</v>
      </c>
      <c r="H102" s="418">
        <v>0.27200000000000002</v>
      </c>
      <c r="I102" s="103">
        <v>6.0999999999999999E-2</v>
      </c>
      <c r="J102" s="419">
        <v>2.3E-2</v>
      </c>
      <c r="K102" s="54">
        <f>((8/3)*L98)+((4/3)*L110)</f>
        <v>13088</v>
      </c>
      <c r="L102" s="113"/>
      <c r="M102" s="98"/>
      <c r="N102" s="98"/>
      <c r="O102" s="98"/>
      <c r="P102" s="98"/>
      <c r="R102" s="98"/>
      <c r="S102" s="98"/>
    </row>
    <row r="103" spans="1:19" s="60" customFormat="1">
      <c r="A103" s="59">
        <f t="shared" si="8"/>
        <v>40574</v>
      </c>
      <c r="B103" s="59">
        <f t="shared" si="7"/>
        <v>40938</v>
      </c>
      <c r="C103" s="102">
        <f t="shared" si="9"/>
        <v>0.2651</v>
      </c>
      <c r="D103" s="102">
        <f t="shared" si="10"/>
        <v>0.27200000000000002</v>
      </c>
      <c r="E103" s="102">
        <f t="shared" si="12"/>
        <v>6.0999999999999999E-2</v>
      </c>
      <c r="F103" s="102">
        <f t="shared" si="11"/>
        <v>2.3E-2</v>
      </c>
      <c r="G103" s="103">
        <v>0.27800000000000002</v>
      </c>
      <c r="H103" s="418">
        <v>0.27200000000000002</v>
      </c>
      <c r="I103" s="103">
        <v>6.0999999999999999E-2</v>
      </c>
      <c r="J103" s="419">
        <v>2.3E-2</v>
      </c>
      <c r="K103" s="54">
        <f>((7/3)*L98)+((5/3)*L110)</f>
        <v>13129</v>
      </c>
      <c r="L103" s="113"/>
      <c r="M103" s="98"/>
      <c r="N103" s="98"/>
      <c r="O103" s="98"/>
      <c r="P103" s="98"/>
      <c r="R103" s="98"/>
      <c r="S103" s="98"/>
    </row>
    <row r="104" spans="1:19" s="60" customFormat="1">
      <c r="A104" s="59">
        <f t="shared" si="8"/>
        <v>40602</v>
      </c>
      <c r="B104" s="59">
        <f t="shared" si="7"/>
        <v>40967</v>
      </c>
      <c r="C104" s="102">
        <f t="shared" si="9"/>
        <v>0.26250000000000001</v>
      </c>
      <c r="D104" s="102">
        <f t="shared" si="10"/>
        <v>0.27200000000000002</v>
      </c>
      <c r="E104" s="102">
        <f t="shared" si="12"/>
        <v>6.0999999999999999E-2</v>
      </c>
      <c r="F104" s="102">
        <f t="shared" si="11"/>
        <v>2.3E-2</v>
      </c>
      <c r="G104" s="103">
        <v>0.27800000000000002</v>
      </c>
      <c r="H104" s="418">
        <v>0.27200000000000002</v>
      </c>
      <c r="I104" s="103">
        <v>6.0999999999999999E-2</v>
      </c>
      <c r="J104" s="419">
        <v>2.3E-2</v>
      </c>
      <c r="K104" s="54">
        <f>((6/3)*L98)+((6/3)*L110)</f>
        <v>13170</v>
      </c>
      <c r="L104" s="113"/>
      <c r="M104" s="98"/>
      <c r="N104" s="98"/>
      <c r="O104" s="98"/>
      <c r="P104" s="98"/>
      <c r="R104" s="98"/>
      <c r="S104" s="98"/>
    </row>
    <row r="105" spans="1:19" s="60" customFormat="1">
      <c r="A105" s="59">
        <f t="shared" si="8"/>
        <v>40633</v>
      </c>
      <c r="B105" s="59">
        <f t="shared" si="7"/>
        <v>40998</v>
      </c>
      <c r="C105" s="102">
        <f t="shared" si="9"/>
        <v>0.25990000000000002</v>
      </c>
      <c r="D105" s="102">
        <f t="shared" si="10"/>
        <v>0.27200000000000002</v>
      </c>
      <c r="E105" s="102">
        <f t="shared" si="12"/>
        <v>6.0999999999999999E-2</v>
      </c>
      <c r="F105" s="102">
        <f t="shared" si="11"/>
        <v>2.3E-2</v>
      </c>
      <c r="G105" s="103">
        <v>0.27800000000000002</v>
      </c>
      <c r="H105" s="418">
        <v>0.27200000000000002</v>
      </c>
      <c r="I105" s="103">
        <v>6.0999999999999999E-2</v>
      </c>
      <c r="J105" s="419">
        <v>2.3E-2</v>
      </c>
      <c r="K105" s="54">
        <f>((5/3)*L98)+((7/3)*L110)</f>
        <v>13211</v>
      </c>
      <c r="L105" s="113"/>
      <c r="M105" s="98"/>
      <c r="N105" s="98"/>
      <c r="O105" s="98"/>
      <c r="P105" s="98"/>
      <c r="R105" s="98"/>
      <c r="S105" s="98"/>
    </row>
    <row r="106" spans="1:19" s="60" customFormat="1">
      <c r="A106" s="59">
        <f t="shared" si="8"/>
        <v>40663</v>
      </c>
      <c r="B106" s="59">
        <f t="shared" si="7"/>
        <v>41028</v>
      </c>
      <c r="C106" s="102">
        <f t="shared" si="9"/>
        <v>0.25729999999999997</v>
      </c>
      <c r="D106" s="102">
        <f t="shared" si="10"/>
        <v>0.27200000000000002</v>
      </c>
      <c r="E106" s="102">
        <f t="shared" si="12"/>
        <v>6.0999999999999999E-2</v>
      </c>
      <c r="F106" s="102">
        <f t="shared" si="11"/>
        <v>2.3E-2</v>
      </c>
      <c r="G106" s="103">
        <v>0.27800000000000002</v>
      </c>
      <c r="H106" s="418">
        <v>0.27200000000000002</v>
      </c>
      <c r="I106" s="103">
        <v>6.0999999999999999E-2</v>
      </c>
      <c r="J106" s="419">
        <v>2.3E-2</v>
      </c>
      <c r="K106" s="54">
        <f>((4/3)*L98)+((8/3)*L110)</f>
        <v>13252</v>
      </c>
      <c r="L106" s="113"/>
      <c r="M106" s="98"/>
      <c r="N106" s="98"/>
      <c r="O106" s="98"/>
      <c r="P106" s="98"/>
      <c r="R106" s="98"/>
      <c r="S106" s="98"/>
    </row>
    <row r="107" spans="1:19" s="60" customFormat="1">
      <c r="A107" s="59">
        <f t="shared" si="8"/>
        <v>40694</v>
      </c>
      <c r="B107" s="59">
        <f t="shared" si="7"/>
        <v>41059</v>
      </c>
      <c r="C107" s="102">
        <f t="shared" si="9"/>
        <v>0.25480000000000003</v>
      </c>
      <c r="D107" s="102">
        <f t="shared" si="10"/>
        <v>0.27200000000000002</v>
      </c>
      <c r="E107" s="102">
        <f t="shared" si="12"/>
        <v>6.0999999999999999E-2</v>
      </c>
      <c r="F107" s="102">
        <f t="shared" si="11"/>
        <v>2.3E-2</v>
      </c>
      <c r="G107" s="103">
        <v>0.27800000000000002</v>
      </c>
      <c r="H107" s="418">
        <v>0.27200000000000002</v>
      </c>
      <c r="I107" s="103">
        <v>6.0999999999999999E-2</v>
      </c>
      <c r="J107" s="419">
        <v>2.3E-2</v>
      </c>
      <c r="K107" s="54">
        <f>((3/3)*L98)+((9/3)*L110)</f>
        <v>13293</v>
      </c>
      <c r="L107" s="113"/>
      <c r="M107" s="98"/>
      <c r="N107" s="98"/>
      <c r="O107" s="98"/>
      <c r="P107" s="98"/>
      <c r="R107" s="98"/>
      <c r="S107" s="98"/>
    </row>
    <row r="108" spans="1:19" s="60" customFormat="1">
      <c r="A108" s="59">
        <f t="shared" si="8"/>
        <v>40724</v>
      </c>
      <c r="B108" s="59">
        <f t="shared" si="7"/>
        <v>41089</v>
      </c>
      <c r="C108" s="102">
        <f t="shared" si="9"/>
        <v>0.25219999999999998</v>
      </c>
      <c r="D108" s="102">
        <f t="shared" si="10"/>
        <v>0.27200000000000002</v>
      </c>
      <c r="E108" s="102">
        <f t="shared" si="12"/>
        <v>6.0999999999999999E-2</v>
      </c>
      <c r="F108" s="102">
        <f t="shared" si="11"/>
        <v>2.3E-2</v>
      </c>
      <c r="G108" s="103">
        <v>0.27800000000000002</v>
      </c>
      <c r="H108" s="418">
        <v>0.27200000000000002</v>
      </c>
      <c r="I108" s="103">
        <v>6.0999999999999999E-2</v>
      </c>
      <c r="J108" s="419">
        <v>2.3E-2</v>
      </c>
      <c r="K108" s="54">
        <f>((2/3)*L98)+((10/3)*L110)</f>
        <v>13334</v>
      </c>
      <c r="L108" s="113"/>
      <c r="M108" s="98"/>
      <c r="N108" s="98"/>
      <c r="O108" s="98"/>
      <c r="P108" s="98"/>
      <c r="R108" s="98"/>
      <c r="S108" s="98"/>
    </row>
    <row r="109" spans="1:19" s="60" customFormat="1">
      <c r="A109" s="59">
        <f t="shared" si="8"/>
        <v>40755</v>
      </c>
      <c r="B109" s="59">
        <f t="shared" si="7"/>
        <v>41120</v>
      </c>
      <c r="C109" s="99">
        <f t="shared" si="9"/>
        <v>0.24959999999999999</v>
      </c>
      <c r="D109" s="99">
        <f t="shared" si="10"/>
        <v>0.27200000000000002</v>
      </c>
      <c r="E109" s="99">
        <f t="shared" si="12"/>
        <v>6.0999999999999999E-2</v>
      </c>
      <c r="F109" s="99">
        <f t="shared" si="11"/>
        <v>2.3E-2</v>
      </c>
      <c r="G109" s="103">
        <v>0.27800000000000002</v>
      </c>
      <c r="H109" s="418">
        <v>0.27200000000000002</v>
      </c>
      <c r="I109" s="103">
        <v>6.0999999999999999E-2</v>
      </c>
      <c r="J109" s="419">
        <v>2.3E-2</v>
      </c>
      <c r="K109" s="54">
        <f>((1/3)*L98)+((11/3)*L110)</f>
        <v>13375</v>
      </c>
      <c r="L109" s="113"/>
      <c r="M109" s="98"/>
      <c r="N109" s="98"/>
      <c r="O109" s="98"/>
      <c r="P109" s="98"/>
      <c r="R109" s="98"/>
      <c r="S109" s="98"/>
    </row>
    <row r="110" spans="1:19" s="96" customFormat="1">
      <c r="A110" s="95">
        <f t="shared" si="8"/>
        <v>40786</v>
      </c>
      <c r="B110" s="95">
        <f t="shared" si="7"/>
        <v>41151</v>
      </c>
      <c r="C110" s="105">
        <f t="shared" si="9"/>
        <v>0.247</v>
      </c>
      <c r="D110" s="105">
        <f t="shared" si="10"/>
        <v>0.27200000000000002</v>
      </c>
      <c r="E110" s="105">
        <f t="shared" si="12"/>
        <v>6.0999999999999999E-2</v>
      </c>
      <c r="F110" s="105">
        <f t="shared" si="11"/>
        <v>2.3E-2</v>
      </c>
      <c r="G110" s="106">
        <v>0.247</v>
      </c>
      <c r="H110" s="416">
        <v>0.27200000000000002</v>
      </c>
      <c r="I110" s="106">
        <v>6.0999999999999999E-2</v>
      </c>
      <c r="J110" s="417">
        <v>2.3E-2</v>
      </c>
      <c r="K110" s="94">
        <f>(L110*4)</f>
        <v>13416</v>
      </c>
      <c r="L110" s="420">
        <v>3354</v>
      </c>
      <c r="M110" s="421">
        <f>AVERAGE(R110:R121)</f>
        <v>0.55500000000000005</v>
      </c>
      <c r="N110" s="421">
        <v>0.26</v>
      </c>
      <c r="O110" s="421">
        <f>AVERAGE(S110:S121)</f>
        <v>0.55500000000000005</v>
      </c>
      <c r="P110" s="421">
        <v>0.32800000000000001</v>
      </c>
      <c r="Q110" s="421">
        <v>0.68899999999999995</v>
      </c>
      <c r="R110" s="421">
        <v>0.55500000000000005</v>
      </c>
      <c r="S110" s="421">
        <v>0.55500000000000005</v>
      </c>
    </row>
    <row r="111" spans="1:19" s="96" customFormat="1">
      <c r="A111" s="95">
        <f t="shared" si="8"/>
        <v>40816</v>
      </c>
      <c r="B111" s="95">
        <f t="shared" si="7"/>
        <v>41181</v>
      </c>
      <c r="C111" s="105">
        <f t="shared" si="9"/>
        <v>0.24610000000000001</v>
      </c>
      <c r="D111" s="105">
        <f t="shared" si="10"/>
        <v>0.27200000000000002</v>
      </c>
      <c r="E111" s="105">
        <f t="shared" si="12"/>
        <v>6.13E-2</v>
      </c>
      <c r="F111" s="105">
        <f t="shared" si="11"/>
        <v>2.3300000000000001E-2</v>
      </c>
      <c r="G111" s="106">
        <v>0.247</v>
      </c>
      <c r="H111" s="416">
        <v>0.27200000000000002</v>
      </c>
      <c r="I111" s="106">
        <v>6.0999999999999999E-2</v>
      </c>
      <c r="J111" s="417">
        <v>2.3E-2</v>
      </c>
      <c r="K111" s="94">
        <f>((11/3)*L110)+((1/3)*L122)</f>
        <v>13457</v>
      </c>
      <c r="L111" s="114"/>
      <c r="M111" s="421">
        <f t="shared" ref="M111:M174" si="13">AVERAGE(R111:R122)</f>
        <v>0.55579999999999996</v>
      </c>
      <c r="N111" s="421">
        <v>0.26</v>
      </c>
      <c r="O111" s="421">
        <f t="shared" ref="O111:O174" si="14">AVERAGE(S111:S122)</f>
        <v>0.55669999999999997</v>
      </c>
      <c r="P111" s="421">
        <v>0.32800000000000001</v>
      </c>
      <c r="Q111" s="421">
        <v>0.68899999999999995</v>
      </c>
      <c r="R111" s="421">
        <v>0.55500000000000005</v>
      </c>
      <c r="S111" s="421">
        <v>0.55500000000000005</v>
      </c>
    </row>
    <row r="112" spans="1:19" s="96" customFormat="1">
      <c r="A112" s="95">
        <f t="shared" si="8"/>
        <v>40847</v>
      </c>
      <c r="B112" s="95">
        <f t="shared" si="7"/>
        <v>41212</v>
      </c>
      <c r="C112" s="105">
        <f t="shared" si="9"/>
        <v>0.2452</v>
      </c>
      <c r="D112" s="105">
        <f t="shared" si="10"/>
        <v>0.27200000000000002</v>
      </c>
      <c r="E112" s="105">
        <f t="shared" si="12"/>
        <v>6.1499999999999999E-2</v>
      </c>
      <c r="F112" s="105">
        <f t="shared" si="11"/>
        <v>2.35E-2</v>
      </c>
      <c r="G112" s="106">
        <v>0.247</v>
      </c>
      <c r="H112" s="416">
        <v>0.27200000000000002</v>
      </c>
      <c r="I112" s="106">
        <v>6.0999999999999999E-2</v>
      </c>
      <c r="J112" s="417">
        <v>2.3E-2</v>
      </c>
      <c r="K112" s="94">
        <f>((10/3)*L110)+((2/3)*L122)</f>
        <v>13499</v>
      </c>
      <c r="L112" s="114"/>
      <c r="M112" s="421">
        <f t="shared" si="13"/>
        <v>0.55669999999999997</v>
      </c>
      <c r="N112" s="421">
        <v>0.26</v>
      </c>
      <c r="O112" s="421">
        <f t="shared" si="14"/>
        <v>0.55830000000000002</v>
      </c>
      <c r="P112" s="421">
        <v>0.32800000000000001</v>
      </c>
      <c r="Q112" s="421">
        <v>0.68899999999999995</v>
      </c>
      <c r="R112" s="421">
        <v>0.55500000000000005</v>
      </c>
      <c r="S112" s="421">
        <v>0.55500000000000005</v>
      </c>
    </row>
    <row r="113" spans="1:19" s="96" customFormat="1">
      <c r="A113" s="95">
        <f t="shared" si="8"/>
        <v>40877</v>
      </c>
      <c r="B113" s="95">
        <f t="shared" si="7"/>
        <v>41242</v>
      </c>
      <c r="C113" s="105">
        <f t="shared" si="9"/>
        <v>0.24429999999999999</v>
      </c>
      <c r="D113" s="105">
        <f t="shared" si="10"/>
        <v>0.27200000000000002</v>
      </c>
      <c r="E113" s="105">
        <f t="shared" si="12"/>
        <v>6.1800000000000001E-2</v>
      </c>
      <c r="F113" s="105">
        <f t="shared" si="11"/>
        <v>2.3800000000000002E-2</v>
      </c>
      <c r="G113" s="106">
        <v>0.247</v>
      </c>
      <c r="H113" s="416">
        <v>0.27200000000000002</v>
      </c>
      <c r="I113" s="106">
        <v>6.0999999999999999E-2</v>
      </c>
      <c r="J113" s="417">
        <v>2.3E-2</v>
      </c>
      <c r="K113" s="94">
        <f>((9/3)*L110)+((3/3)*L122)</f>
        <v>13540</v>
      </c>
      <c r="L113" s="114"/>
      <c r="M113" s="421">
        <f t="shared" si="13"/>
        <v>0.5575</v>
      </c>
      <c r="N113" s="421">
        <v>0.26</v>
      </c>
      <c r="O113" s="421">
        <f t="shared" si="14"/>
        <v>0.56000000000000005</v>
      </c>
      <c r="P113" s="421">
        <v>0.32800000000000001</v>
      </c>
      <c r="Q113" s="421">
        <v>0.68899999999999995</v>
      </c>
      <c r="R113" s="421">
        <v>0.55500000000000005</v>
      </c>
      <c r="S113" s="421">
        <v>0.55500000000000005</v>
      </c>
    </row>
    <row r="114" spans="1:19" s="96" customFormat="1">
      <c r="A114" s="95">
        <f t="shared" si="8"/>
        <v>40908</v>
      </c>
      <c r="B114" s="95">
        <f t="shared" si="7"/>
        <v>41273</v>
      </c>
      <c r="C114" s="105">
        <f t="shared" si="9"/>
        <v>0.24329999999999999</v>
      </c>
      <c r="D114" s="105">
        <f t="shared" si="10"/>
        <v>0.27200000000000002</v>
      </c>
      <c r="E114" s="105">
        <f t="shared" si="12"/>
        <v>6.2E-2</v>
      </c>
      <c r="F114" s="105">
        <f t="shared" si="11"/>
        <v>2.4E-2</v>
      </c>
      <c r="G114" s="106">
        <v>0.247</v>
      </c>
      <c r="H114" s="416">
        <v>0.27200000000000002</v>
      </c>
      <c r="I114" s="106">
        <v>6.0999999999999999E-2</v>
      </c>
      <c r="J114" s="417">
        <v>2.3E-2</v>
      </c>
      <c r="K114" s="94">
        <f>((8/3)*L110)+((4/3)*L122)</f>
        <v>13581</v>
      </c>
      <c r="L114" s="114"/>
      <c r="M114" s="421">
        <f t="shared" si="13"/>
        <v>0.55830000000000002</v>
      </c>
      <c r="N114" s="421">
        <v>0.26</v>
      </c>
      <c r="O114" s="421">
        <f t="shared" si="14"/>
        <v>0.56169999999999998</v>
      </c>
      <c r="P114" s="421">
        <v>0.32800000000000001</v>
      </c>
      <c r="Q114" s="421">
        <v>0.68899999999999995</v>
      </c>
      <c r="R114" s="421">
        <v>0.55500000000000005</v>
      </c>
      <c r="S114" s="421">
        <v>0.55500000000000005</v>
      </c>
    </row>
    <row r="115" spans="1:19" s="96" customFormat="1">
      <c r="A115" s="95">
        <f t="shared" si="8"/>
        <v>40939</v>
      </c>
      <c r="B115" s="95">
        <f t="shared" si="7"/>
        <v>41304</v>
      </c>
      <c r="C115" s="105">
        <f t="shared" si="9"/>
        <v>0.2424</v>
      </c>
      <c r="D115" s="105">
        <f t="shared" si="10"/>
        <v>0.27200000000000002</v>
      </c>
      <c r="E115" s="105">
        <f t="shared" si="12"/>
        <v>6.2300000000000001E-2</v>
      </c>
      <c r="F115" s="105">
        <f t="shared" si="11"/>
        <v>2.4299999999999999E-2</v>
      </c>
      <c r="G115" s="106">
        <v>0.247</v>
      </c>
      <c r="H115" s="416">
        <v>0.27200000000000002</v>
      </c>
      <c r="I115" s="106">
        <v>6.0999999999999999E-2</v>
      </c>
      <c r="J115" s="417">
        <v>2.3E-2</v>
      </c>
      <c r="K115" s="94">
        <f>((7/3)*L110)+((5/3)*L122)</f>
        <v>13623</v>
      </c>
      <c r="L115" s="114"/>
      <c r="M115" s="421">
        <f t="shared" si="13"/>
        <v>0.55920000000000003</v>
      </c>
      <c r="N115" s="421">
        <v>0.26</v>
      </c>
      <c r="O115" s="421">
        <f t="shared" si="14"/>
        <v>0.56330000000000002</v>
      </c>
      <c r="P115" s="421">
        <v>0.32800000000000001</v>
      </c>
      <c r="Q115" s="421">
        <v>0.68899999999999995</v>
      </c>
      <c r="R115" s="421">
        <v>0.55500000000000005</v>
      </c>
      <c r="S115" s="421">
        <v>0.55500000000000005</v>
      </c>
    </row>
    <row r="116" spans="1:19" s="96" customFormat="1">
      <c r="A116" s="95">
        <f t="shared" si="8"/>
        <v>40968</v>
      </c>
      <c r="B116" s="95">
        <f t="shared" si="7"/>
        <v>41332</v>
      </c>
      <c r="C116" s="105">
        <f t="shared" si="9"/>
        <v>0.24149999999999999</v>
      </c>
      <c r="D116" s="105">
        <f t="shared" si="10"/>
        <v>0.27200000000000002</v>
      </c>
      <c r="E116" s="105">
        <f t="shared" si="12"/>
        <v>6.25E-2</v>
      </c>
      <c r="F116" s="105">
        <f t="shared" si="11"/>
        <v>2.4500000000000001E-2</v>
      </c>
      <c r="G116" s="106">
        <v>0.247</v>
      </c>
      <c r="H116" s="416">
        <v>0.27200000000000002</v>
      </c>
      <c r="I116" s="106">
        <v>6.0999999999999999E-2</v>
      </c>
      <c r="J116" s="417">
        <v>2.3E-2</v>
      </c>
      <c r="K116" s="94">
        <f>((6/3)*L110)+((6/3)*L122)</f>
        <v>13664</v>
      </c>
      <c r="L116" s="114"/>
      <c r="M116" s="421">
        <f t="shared" si="13"/>
        <v>0.56000000000000005</v>
      </c>
      <c r="N116" s="421">
        <v>0.26</v>
      </c>
      <c r="O116" s="421">
        <f t="shared" si="14"/>
        <v>0.56499999999999995</v>
      </c>
      <c r="P116" s="421">
        <v>0.32800000000000001</v>
      </c>
      <c r="Q116" s="421">
        <v>0.68899999999999995</v>
      </c>
      <c r="R116" s="421">
        <v>0.55500000000000005</v>
      </c>
      <c r="S116" s="421">
        <v>0.55500000000000005</v>
      </c>
    </row>
    <row r="117" spans="1:19" s="96" customFormat="1">
      <c r="A117" s="95">
        <f t="shared" si="8"/>
        <v>40999</v>
      </c>
      <c r="B117" s="95">
        <f t="shared" si="7"/>
        <v>41363</v>
      </c>
      <c r="C117" s="105">
        <f t="shared" si="9"/>
        <v>0.24060000000000001</v>
      </c>
      <c r="D117" s="105">
        <f t="shared" si="10"/>
        <v>0.27200000000000002</v>
      </c>
      <c r="E117" s="105">
        <f t="shared" si="12"/>
        <v>6.2799999999999995E-2</v>
      </c>
      <c r="F117" s="105">
        <f t="shared" si="11"/>
        <v>2.4799999999999999E-2</v>
      </c>
      <c r="G117" s="106">
        <v>0.247</v>
      </c>
      <c r="H117" s="416">
        <v>0.27200000000000002</v>
      </c>
      <c r="I117" s="106">
        <v>6.0999999999999999E-2</v>
      </c>
      <c r="J117" s="417">
        <v>2.3E-2</v>
      </c>
      <c r="K117" s="94">
        <f>((5/3)*L110)+((7/3)*L122)</f>
        <v>13705</v>
      </c>
      <c r="L117" s="114"/>
      <c r="M117" s="421">
        <f t="shared" si="13"/>
        <v>0.56079999999999997</v>
      </c>
      <c r="N117" s="421">
        <v>0.26</v>
      </c>
      <c r="O117" s="421">
        <f t="shared" si="14"/>
        <v>0.56669999999999998</v>
      </c>
      <c r="P117" s="421">
        <v>0.32800000000000001</v>
      </c>
      <c r="Q117" s="421">
        <v>0.68899999999999995</v>
      </c>
      <c r="R117" s="421">
        <v>0.55500000000000005</v>
      </c>
      <c r="S117" s="421">
        <v>0.55500000000000005</v>
      </c>
    </row>
    <row r="118" spans="1:19" s="96" customFormat="1">
      <c r="A118" s="95">
        <f t="shared" si="8"/>
        <v>41029</v>
      </c>
      <c r="B118" s="95">
        <f t="shared" si="7"/>
        <v>41393</v>
      </c>
      <c r="C118" s="105">
        <f t="shared" si="9"/>
        <v>0.2397</v>
      </c>
      <c r="D118" s="105">
        <f t="shared" si="10"/>
        <v>0.27200000000000002</v>
      </c>
      <c r="E118" s="105">
        <f t="shared" si="12"/>
        <v>6.3E-2</v>
      </c>
      <c r="F118" s="105">
        <f t="shared" si="11"/>
        <v>2.5000000000000001E-2</v>
      </c>
      <c r="G118" s="106">
        <v>0.247</v>
      </c>
      <c r="H118" s="416">
        <v>0.27200000000000002</v>
      </c>
      <c r="I118" s="106">
        <v>6.0999999999999999E-2</v>
      </c>
      <c r="J118" s="417">
        <v>2.3E-2</v>
      </c>
      <c r="K118" s="94">
        <f>((4/3)*L110)+((8/3)*L122)</f>
        <v>13747</v>
      </c>
      <c r="L118" s="114"/>
      <c r="M118" s="421">
        <f t="shared" si="13"/>
        <v>0.56169999999999998</v>
      </c>
      <c r="N118" s="421">
        <v>0.26</v>
      </c>
      <c r="O118" s="421">
        <f t="shared" si="14"/>
        <v>0.56830000000000003</v>
      </c>
      <c r="P118" s="421">
        <v>0.32800000000000001</v>
      </c>
      <c r="Q118" s="421">
        <v>0.68899999999999995</v>
      </c>
      <c r="R118" s="421">
        <v>0.55500000000000005</v>
      </c>
      <c r="S118" s="421">
        <v>0.55500000000000005</v>
      </c>
    </row>
    <row r="119" spans="1:19" s="96" customFormat="1">
      <c r="A119" s="95">
        <f t="shared" si="8"/>
        <v>41060</v>
      </c>
      <c r="B119" s="95">
        <f t="shared" si="7"/>
        <v>41424</v>
      </c>
      <c r="C119" s="105">
        <f t="shared" si="9"/>
        <v>0.23880000000000001</v>
      </c>
      <c r="D119" s="105">
        <f t="shared" si="10"/>
        <v>0.27200000000000002</v>
      </c>
      <c r="E119" s="105">
        <f t="shared" si="12"/>
        <v>6.3299999999999995E-2</v>
      </c>
      <c r="F119" s="105">
        <f t="shared" si="11"/>
        <v>2.53E-2</v>
      </c>
      <c r="G119" s="106">
        <v>0.247</v>
      </c>
      <c r="H119" s="416">
        <v>0.27200000000000002</v>
      </c>
      <c r="I119" s="106">
        <v>6.0999999999999999E-2</v>
      </c>
      <c r="J119" s="417">
        <v>2.3E-2</v>
      </c>
      <c r="K119" s="94">
        <f>((3/3)*L110)+((9/3)*L122)</f>
        <v>13788</v>
      </c>
      <c r="L119" s="114"/>
      <c r="M119" s="421">
        <f t="shared" si="13"/>
        <v>0.5625</v>
      </c>
      <c r="N119" s="421">
        <v>0.26</v>
      </c>
      <c r="O119" s="421">
        <f t="shared" si="14"/>
        <v>0.56999999999999995</v>
      </c>
      <c r="P119" s="421">
        <v>0.32800000000000001</v>
      </c>
      <c r="Q119" s="421">
        <v>0.68899999999999995</v>
      </c>
      <c r="R119" s="421">
        <v>0.55500000000000005</v>
      </c>
      <c r="S119" s="421">
        <v>0.55500000000000005</v>
      </c>
    </row>
    <row r="120" spans="1:19" s="96" customFormat="1">
      <c r="A120" s="95">
        <f t="shared" si="8"/>
        <v>41090</v>
      </c>
      <c r="B120" s="95">
        <f t="shared" si="7"/>
        <v>41454</v>
      </c>
      <c r="C120" s="105">
        <f t="shared" si="9"/>
        <v>0.23780000000000001</v>
      </c>
      <c r="D120" s="105">
        <f t="shared" si="10"/>
        <v>0.27200000000000002</v>
      </c>
      <c r="E120" s="105">
        <f t="shared" si="12"/>
        <v>6.3500000000000001E-2</v>
      </c>
      <c r="F120" s="105">
        <f t="shared" si="11"/>
        <v>2.5499999999999998E-2</v>
      </c>
      <c r="G120" s="106">
        <v>0.247</v>
      </c>
      <c r="H120" s="416">
        <v>0.27200000000000002</v>
      </c>
      <c r="I120" s="106">
        <v>6.0999999999999999E-2</v>
      </c>
      <c r="J120" s="417">
        <v>2.3E-2</v>
      </c>
      <c r="K120" s="94">
        <f>((2/3)*L110)+((10/3)*L122)</f>
        <v>13829</v>
      </c>
      <c r="L120" s="114"/>
      <c r="M120" s="421">
        <f t="shared" si="13"/>
        <v>0.56330000000000002</v>
      </c>
      <c r="N120" s="421">
        <v>0.26</v>
      </c>
      <c r="O120" s="421">
        <f t="shared" si="14"/>
        <v>0.57169999999999999</v>
      </c>
      <c r="P120" s="421">
        <v>0.32800000000000001</v>
      </c>
      <c r="Q120" s="421">
        <v>0.68899999999999995</v>
      </c>
      <c r="R120" s="421">
        <v>0.55500000000000005</v>
      </c>
      <c r="S120" s="421">
        <v>0.55500000000000005</v>
      </c>
    </row>
    <row r="121" spans="1:19" s="96" customFormat="1">
      <c r="A121" s="100">
        <f t="shared" si="8"/>
        <v>41121</v>
      </c>
      <c r="B121" s="100">
        <f t="shared" si="7"/>
        <v>41485</v>
      </c>
      <c r="C121" s="105">
        <f t="shared" si="9"/>
        <v>0.2369</v>
      </c>
      <c r="D121" s="105">
        <f t="shared" si="10"/>
        <v>0.27200000000000002</v>
      </c>
      <c r="E121" s="105">
        <f t="shared" si="12"/>
        <v>6.3799999999999996E-2</v>
      </c>
      <c r="F121" s="105">
        <f t="shared" si="11"/>
        <v>2.58E-2</v>
      </c>
      <c r="G121" s="106">
        <v>0.247</v>
      </c>
      <c r="H121" s="416">
        <v>0.27200000000000002</v>
      </c>
      <c r="I121" s="106">
        <v>6.0999999999999999E-2</v>
      </c>
      <c r="J121" s="417">
        <v>2.3E-2</v>
      </c>
      <c r="K121" s="94">
        <f>((1/3)*L110)+((11/3)*L122)</f>
        <v>13871</v>
      </c>
      <c r="L121" s="114"/>
      <c r="M121" s="421">
        <f t="shared" si="13"/>
        <v>0.56420000000000003</v>
      </c>
      <c r="N121" s="421">
        <v>0.26</v>
      </c>
      <c r="O121" s="421">
        <f t="shared" si="14"/>
        <v>0.57330000000000003</v>
      </c>
      <c r="P121" s="421">
        <v>0.32800000000000001</v>
      </c>
      <c r="Q121" s="421">
        <v>0.68899999999999995</v>
      </c>
      <c r="R121" s="421">
        <v>0.55500000000000005</v>
      </c>
      <c r="S121" s="421">
        <v>0.55500000000000005</v>
      </c>
    </row>
    <row r="122" spans="1:19" s="60" customFormat="1">
      <c r="A122" s="59">
        <f t="shared" si="8"/>
        <v>41152</v>
      </c>
      <c r="B122" s="59">
        <f t="shared" si="7"/>
        <v>41516</v>
      </c>
      <c r="C122" s="102">
        <f t="shared" si="9"/>
        <v>0.23599999999999999</v>
      </c>
      <c r="D122" s="102">
        <f t="shared" si="10"/>
        <v>0.27200000000000002</v>
      </c>
      <c r="E122" s="102">
        <f t="shared" si="12"/>
        <v>6.4000000000000001E-2</v>
      </c>
      <c r="F122" s="102">
        <f t="shared" si="11"/>
        <v>2.5999999999999999E-2</v>
      </c>
      <c r="G122" s="104">
        <v>0.23599999999999999</v>
      </c>
      <c r="H122" s="104">
        <v>0.27200000000000002</v>
      </c>
      <c r="I122" s="103">
        <v>6.4000000000000001E-2</v>
      </c>
      <c r="J122" s="104">
        <v>2.5999999999999999E-2</v>
      </c>
      <c r="K122" s="54">
        <f>(L122*4)</f>
        <v>13912</v>
      </c>
      <c r="L122" s="587">
        <v>3478</v>
      </c>
      <c r="M122" s="98">
        <f t="shared" si="13"/>
        <v>0.56499999999999995</v>
      </c>
      <c r="N122" s="98">
        <v>0.26</v>
      </c>
      <c r="O122" s="98">
        <f t="shared" si="14"/>
        <v>0.57499999999999996</v>
      </c>
      <c r="P122" s="98">
        <v>0.32800000000000001</v>
      </c>
      <c r="Q122" s="98">
        <v>0.68899999999999995</v>
      </c>
      <c r="R122" s="98">
        <v>0.56499999999999995</v>
      </c>
      <c r="S122" s="98">
        <v>0.57499999999999996</v>
      </c>
    </row>
    <row r="123" spans="1:19" s="60" customFormat="1">
      <c r="A123" s="59">
        <f t="shared" si="8"/>
        <v>41182</v>
      </c>
      <c r="B123" s="59">
        <f t="shared" si="7"/>
        <v>41546</v>
      </c>
      <c r="C123" s="102">
        <f t="shared" si="9"/>
        <v>0.23780000000000001</v>
      </c>
      <c r="D123" s="102">
        <f t="shared" si="10"/>
        <v>0.2722</v>
      </c>
      <c r="E123" s="102">
        <f t="shared" si="12"/>
        <v>6.4199999999999993E-2</v>
      </c>
      <c r="F123" s="102">
        <f t="shared" si="11"/>
        <v>2.6200000000000001E-2</v>
      </c>
      <c r="G123" s="104">
        <v>0.23599999999999999</v>
      </c>
      <c r="H123" s="104">
        <v>0.27200000000000002</v>
      </c>
      <c r="I123" s="103">
        <v>6.4000000000000001E-2</v>
      </c>
      <c r="J123" s="104">
        <v>2.5999999999999999E-2</v>
      </c>
      <c r="K123" s="54">
        <f>((11/3)*L122)+((1/3)*L134)</f>
        <v>13954</v>
      </c>
      <c r="L123" s="113"/>
      <c r="M123" s="98">
        <f t="shared" si="13"/>
        <v>0.56630000000000003</v>
      </c>
      <c r="N123" s="98">
        <v>0.26</v>
      </c>
      <c r="O123" s="98">
        <f t="shared" si="14"/>
        <v>0.57630000000000003</v>
      </c>
      <c r="P123" s="98">
        <v>0.32800000000000001</v>
      </c>
      <c r="Q123" s="98">
        <v>0.68899999999999995</v>
      </c>
      <c r="R123" s="98">
        <v>0.56499999999999995</v>
      </c>
      <c r="S123" s="98">
        <v>0.57499999999999996</v>
      </c>
    </row>
    <row r="124" spans="1:19" s="60" customFormat="1">
      <c r="A124" s="59">
        <f t="shared" si="8"/>
        <v>41213</v>
      </c>
      <c r="B124" s="59">
        <f t="shared" si="7"/>
        <v>41577</v>
      </c>
      <c r="C124" s="102">
        <f t="shared" si="9"/>
        <v>0.23949999999999999</v>
      </c>
      <c r="D124" s="102">
        <f t="shared" si="10"/>
        <v>0.27229999999999999</v>
      </c>
      <c r="E124" s="102">
        <f t="shared" si="12"/>
        <v>6.4299999999999996E-2</v>
      </c>
      <c r="F124" s="102">
        <f t="shared" si="11"/>
        <v>2.63E-2</v>
      </c>
      <c r="G124" s="104">
        <v>0.23599999999999999</v>
      </c>
      <c r="H124" s="104">
        <v>0.27200000000000002</v>
      </c>
      <c r="I124" s="103">
        <v>6.4000000000000001E-2</v>
      </c>
      <c r="J124" s="104">
        <v>2.5999999999999999E-2</v>
      </c>
      <c r="K124" s="54">
        <f>((10/3)*L122)+((2/3)*L134)</f>
        <v>13995</v>
      </c>
      <c r="L124" s="113"/>
      <c r="M124" s="98">
        <f t="shared" si="13"/>
        <v>0.5675</v>
      </c>
      <c r="N124" s="98">
        <v>0.26</v>
      </c>
      <c r="O124" s="98">
        <f t="shared" si="14"/>
        <v>0.57750000000000001</v>
      </c>
      <c r="P124" s="98">
        <v>0.32800000000000001</v>
      </c>
      <c r="Q124" s="98">
        <v>0.68899999999999995</v>
      </c>
      <c r="R124" s="98">
        <v>0.56499999999999995</v>
      </c>
      <c r="S124" s="98">
        <v>0.57499999999999996</v>
      </c>
    </row>
    <row r="125" spans="1:19" s="60" customFormat="1">
      <c r="A125" s="59">
        <f t="shared" si="8"/>
        <v>41243</v>
      </c>
      <c r="B125" s="59">
        <f t="shared" si="7"/>
        <v>41607</v>
      </c>
      <c r="C125" s="102">
        <f t="shared" si="9"/>
        <v>0.24129999999999999</v>
      </c>
      <c r="D125" s="102">
        <f t="shared" si="10"/>
        <v>0.27250000000000002</v>
      </c>
      <c r="E125" s="102">
        <f t="shared" si="12"/>
        <v>6.4500000000000002E-2</v>
      </c>
      <c r="F125" s="102">
        <f t="shared" si="11"/>
        <v>2.6499999999999999E-2</v>
      </c>
      <c r="G125" s="104">
        <v>0.23599999999999999</v>
      </c>
      <c r="H125" s="104">
        <v>0.27200000000000002</v>
      </c>
      <c r="I125" s="103">
        <v>6.4000000000000001E-2</v>
      </c>
      <c r="J125" s="104">
        <v>2.5999999999999999E-2</v>
      </c>
      <c r="K125" s="54">
        <f>((9/3)*L122)+((3/3)*L134)</f>
        <v>14037</v>
      </c>
      <c r="L125" s="113"/>
      <c r="M125" s="98">
        <f t="shared" si="13"/>
        <v>0.56879999999999997</v>
      </c>
      <c r="N125" s="98">
        <v>0.26</v>
      </c>
      <c r="O125" s="98">
        <f t="shared" si="14"/>
        <v>0.57879999999999998</v>
      </c>
      <c r="P125" s="98">
        <v>0.32800000000000001</v>
      </c>
      <c r="Q125" s="98">
        <v>0.68899999999999995</v>
      </c>
      <c r="R125" s="98">
        <v>0.56499999999999995</v>
      </c>
      <c r="S125" s="98">
        <v>0.57499999999999996</v>
      </c>
    </row>
    <row r="126" spans="1:19" s="60" customFormat="1">
      <c r="A126" s="59">
        <f t="shared" si="8"/>
        <v>41274</v>
      </c>
      <c r="B126" s="59">
        <f t="shared" si="7"/>
        <v>41638</v>
      </c>
      <c r="C126" s="102">
        <f t="shared" si="9"/>
        <v>0.24299999999999999</v>
      </c>
      <c r="D126" s="102">
        <f t="shared" si="10"/>
        <v>0.2727</v>
      </c>
      <c r="E126" s="102">
        <f t="shared" si="12"/>
        <v>6.4699999999999994E-2</v>
      </c>
      <c r="F126" s="102">
        <f t="shared" si="11"/>
        <v>2.6700000000000002E-2</v>
      </c>
      <c r="G126" s="104">
        <v>0.23599999999999999</v>
      </c>
      <c r="H126" s="104">
        <v>0.27200000000000002</v>
      </c>
      <c r="I126" s="103">
        <v>6.4000000000000001E-2</v>
      </c>
      <c r="J126" s="104">
        <v>2.5999999999999999E-2</v>
      </c>
      <c r="K126" s="54">
        <f>((8/3)*L122)+((4/3)*L134)</f>
        <v>14079</v>
      </c>
      <c r="L126" s="113"/>
      <c r="M126" s="98">
        <f t="shared" si="13"/>
        <v>0.56999999999999995</v>
      </c>
      <c r="N126" s="98">
        <v>0.26</v>
      </c>
      <c r="O126" s="98">
        <f t="shared" si="14"/>
        <v>0.57999999999999996</v>
      </c>
      <c r="P126" s="98">
        <v>0.32800000000000001</v>
      </c>
      <c r="Q126" s="98">
        <v>0.68899999999999995</v>
      </c>
      <c r="R126" s="98">
        <v>0.56499999999999995</v>
      </c>
      <c r="S126" s="98">
        <v>0.57499999999999996</v>
      </c>
    </row>
    <row r="127" spans="1:19" s="60" customFormat="1">
      <c r="A127" s="59">
        <f t="shared" si="8"/>
        <v>41305</v>
      </c>
      <c r="B127" s="59">
        <f t="shared" si="7"/>
        <v>41669</v>
      </c>
      <c r="C127" s="102">
        <f t="shared" si="9"/>
        <v>0.24479999999999999</v>
      </c>
      <c r="D127" s="102">
        <f t="shared" si="10"/>
        <v>0.27279999999999999</v>
      </c>
      <c r="E127" s="102">
        <f t="shared" si="12"/>
        <v>6.4799999999999996E-2</v>
      </c>
      <c r="F127" s="102">
        <f t="shared" si="11"/>
        <v>2.6800000000000001E-2</v>
      </c>
      <c r="G127" s="104">
        <v>0.23599999999999999</v>
      </c>
      <c r="H127" s="104">
        <v>0.27200000000000002</v>
      </c>
      <c r="I127" s="103">
        <v>6.4000000000000001E-2</v>
      </c>
      <c r="J127" s="104">
        <v>2.5999999999999999E-2</v>
      </c>
      <c r="K127" s="54">
        <f>((7/3)*L122)+((5/3)*L134)</f>
        <v>14120</v>
      </c>
      <c r="L127" s="113"/>
      <c r="M127" s="98">
        <f t="shared" si="13"/>
        <v>0.57130000000000003</v>
      </c>
      <c r="N127" s="98">
        <v>0.26</v>
      </c>
      <c r="O127" s="98">
        <f t="shared" si="14"/>
        <v>0.58130000000000004</v>
      </c>
      <c r="P127" s="98">
        <v>0.32800000000000001</v>
      </c>
      <c r="Q127" s="98">
        <v>0.68899999999999995</v>
      </c>
      <c r="R127" s="98">
        <v>0.56499999999999995</v>
      </c>
      <c r="S127" s="98">
        <v>0.57499999999999996</v>
      </c>
    </row>
    <row r="128" spans="1:19" s="60" customFormat="1">
      <c r="A128" s="59">
        <f t="shared" si="8"/>
        <v>41333</v>
      </c>
      <c r="B128" s="59">
        <f t="shared" si="7"/>
        <v>41697</v>
      </c>
      <c r="C128" s="102">
        <f t="shared" si="9"/>
        <v>0.2465</v>
      </c>
      <c r="D128" s="102">
        <f t="shared" si="10"/>
        <v>0.27300000000000002</v>
      </c>
      <c r="E128" s="102">
        <f t="shared" si="12"/>
        <v>6.5000000000000002E-2</v>
      </c>
      <c r="F128" s="102">
        <f t="shared" si="11"/>
        <v>2.7E-2</v>
      </c>
      <c r="G128" s="104">
        <v>0.23599999999999999</v>
      </c>
      <c r="H128" s="104">
        <v>0.27200000000000002</v>
      </c>
      <c r="I128" s="103">
        <v>6.4000000000000001E-2</v>
      </c>
      <c r="J128" s="104">
        <v>2.5999999999999999E-2</v>
      </c>
      <c r="K128" s="54">
        <f>((6/3)*L122)+((6/3)*L134)</f>
        <v>14162</v>
      </c>
      <c r="L128" s="113"/>
      <c r="M128" s="98">
        <f t="shared" si="13"/>
        <v>0.57250000000000001</v>
      </c>
      <c r="N128" s="98">
        <v>0.26</v>
      </c>
      <c r="O128" s="98">
        <f t="shared" si="14"/>
        <v>0.58250000000000002</v>
      </c>
      <c r="P128" s="98">
        <v>0.32800000000000001</v>
      </c>
      <c r="Q128" s="98">
        <v>0.68899999999999995</v>
      </c>
      <c r="R128" s="98">
        <v>0.56499999999999995</v>
      </c>
      <c r="S128" s="98">
        <v>0.57499999999999996</v>
      </c>
    </row>
    <row r="129" spans="1:19" s="60" customFormat="1">
      <c r="A129" s="59">
        <f t="shared" si="8"/>
        <v>41364</v>
      </c>
      <c r="B129" s="59">
        <f t="shared" si="7"/>
        <v>41728</v>
      </c>
      <c r="C129" s="102">
        <f t="shared" si="9"/>
        <v>0.24829999999999999</v>
      </c>
      <c r="D129" s="102">
        <f t="shared" si="10"/>
        <v>0.2732</v>
      </c>
      <c r="E129" s="102">
        <f t="shared" si="12"/>
        <v>6.5199999999999994E-2</v>
      </c>
      <c r="F129" s="102">
        <f t="shared" si="11"/>
        <v>2.7199999999999998E-2</v>
      </c>
      <c r="G129" s="104">
        <v>0.23599999999999999</v>
      </c>
      <c r="H129" s="104">
        <v>0.27200000000000002</v>
      </c>
      <c r="I129" s="103">
        <v>6.4000000000000001E-2</v>
      </c>
      <c r="J129" s="104">
        <v>2.5999999999999999E-2</v>
      </c>
      <c r="K129" s="54">
        <f>((5/3)*L122)+((7/3)*L134)</f>
        <v>14204</v>
      </c>
      <c r="L129" s="113"/>
      <c r="M129" s="98">
        <f t="shared" si="13"/>
        <v>0.57379999999999998</v>
      </c>
      <c r="N129" s="98">
        <v>0.26</v>
      </c>
      <c r="O129" s="98">
        <f t="shared" si="14"/>
        <v>0.58379999999999999</v>
      </c>
      <c r="P129" s="98">
        <v>0.32800000000000001</v>
      </c>
      <c r="Q129" s="98">
        <v>0.68899999999999995</v>
      </c>
      <c r="R129" s="98">
        <v>0.56499999999999995</v>
      </c>
      <c r="S129" s="98">
        <v>0.57499999999999996</v>
      </c>
    </row>
    <row r="130" spans="1:19" s="60" customFormat="1">
      <c r="A130" s="59">
        <f t="shared" si="8"/>
        <v>41394</v>
      </c>
      <c r="B130" s="59">
        <f t="shared" ref="B130:B193" si="15">EDATE(A130,12)-1</f>
        <v>41758</v>
      </c>
      <c r="C130" s="102">
        <f t="shared" si="9"/>
        <v>0.25</v>
      </c>
      <c r="D130" s="102">
        <f t="shared" si="10"/>
        <v>0.27329999999999999</v>
      </c>
      <c r="E130" s="102">
        <f t="shared" si="12"/>
        <v>6.5299999999999997E-2</v>
      </c>
      <c r="F130" s="102">
        <f t="shared" si="11"/>
        <v>2.7300000000000001E-2</v>
      </c>
      <c r="G130" s="104">
        <v>0.23599999999999999</v>
      </c>
      <c r="H130" s="104">
        <v>0.27200000000000002</v>
      </c>
      <c r="I130" s="103">
        <v>6.4000000000000001E-2</v>
      </c>
      <c r="J130" s="104">
        <v>2.5999999999999999E-2</v>
      </c>
      <c r="K130" s="54">
        <f>((4/3)*L122)+((8/3)*L134)</f>
        <v>14245</v>
      </c>
      <c r="L130" s="113"/>
      <c r="M130" s="98">
        <f t="shared" si="13"/>
        <v>0.57499999999999996</v>
      </c>
      <c r="N130" s="98">
        <v>0.26</v>
      </c>
      <c r="O130" s="98">
        <f t="shared" si="14"/>
        <v>0.58499999999999996</v>
      </c>
      <c r="P130" s="98">
        <v>0.32800000000000001</v>
      </c>
      <c r="Q130" s="98">
        <v>0.68899999999999995</v>
      </c>
      <c r="R130" s="98">
        <v>0.56499999999999995</v>
      </c>
      <c r="S130" s="98">
        <v>0.57499999999999996</v>
      </c>
    </row>
    <row r="131" spans="1:19" s="60" customFormat="1">
      <c r="A131" s="59">
        <f t="shared" ref="A131:A194" si="16">EDATE(A130,1)</f>
        <v>41425</v>
      </c>
      <c r="B131" s="59">
        <f t="shared" si="15"/>
        <v>41789</v>
      </c>
      <c r="C131" s="102">
        <f t="shared" ref="C131:C194" si="17">AVERAGE(G131:G142)</f>
        <v>0.25180000000000002</v>
      </c>
      <c r="D131" s="102">
        <f t="shared" ref="D131:D194" si="18">AVERAGE(H131:H142)</f>
        <v>0.27350000000000002</v>
      </c>
      <c r="E131" s="102">
        <f t="shared" si="12"/>
        <v>6.5500000000000003E-2</v>
      </c>
      <c r="F131" s="102">
        <f t="shared" si="11"/>
        <v>2.75E-2</v>
      </c>
      <c r="G131" s="104">
        <v>0.23599999999999999</v>
      </c>
      <c r="H131" s="104">
        <v>0.27200000000000002</v>
      </c>
      <c r="I131" s="103">
        <v>6.4000000000000001E-2</v>
      </c>
      <c r="J131" s="104">
        <v>2.5999999999999999E-2</v>
      </c>
      <c r="K131" s="54">
        <f>((3/3)*L122)+((9/3)*L134)</f>
        <v>14287</v>
      </c>
      <c r="L131" s="113"/>
      <c r="M131" s="98">
        <f t="shared" si="13"/>
        <v>0.57630000000000003</v>
      </c>
      <c r="N131" s="98">
        <v>0.26</v>
      </c>
      <c r="O131" s="98">
        <f t="shared" si="14"/>
        <v>0.58630000000000004</v>
      </c>
      <c r="P131" s="98">
        <v>0.32800000000000001</v>
      </c>
      <c r="Q131" s="98">
        <v>0.68899999999999995</v>
      </c>
      <c r="R131" s="98">
        <v>0.56499999999999995</v>
      </c>
      <c r="S131" s="98">
        <v>0.57499999999999996</v>
      </c>
    </row>
    <row r="132" spans="1:19" s="60" customFormat="1">
      <c r="A132" s="59">
        <f t="shared" si="16"/>
        <v>41455</v>
      </c>
      <c r="B132" s="59">
        <f t="shared" si="15"/>
        <v>41819</v>
      </c>
      <c r="C132" s="102">
        <f t="shared" si="17"/>
        <v>0.2535</v>
      </c>
      <c r="D132" s="102">
        <f t="shared" si="18"/>
        <v>0.2737</v>
      </c>
      <c r="E132" s="102">
        <f t="shared" si="12"/>
        <v>6.5699999999999995E-2</v>
      </c>
      <c r="F132" s="102">
        <f t="shared" ref="F132:F195" si="19">AVERAGE(J132:J143)</f>
        <v>2.7699999999999999E-2</v>
      </c>
      <c r="G132" s="104">
        <v>0.23599999999999999</v>
      </c>
      <c r="H132" s="104">
        <v>0.27200000000000002</v>
      </c>
      <c r="I132" s="103">
        <v>6.4000000000000001E-2</v>
      </c>
      <c r="J132" s="104">
        <v>2.5999999999999999E-2</v>
      </c>
      <c r="K132" s="54">
        <f>((2/3)*L122)+((10/3)*L134)</f>
        <v>14329</v>
      </c>
      <c r="L132" s="113"/>
      <c r="M132" s="98">
        <f t="shared" si="13"/>
        <v>0.57750000000000001</v>
      </c>
      <c r="N132" s="98">
        <v>0.26</v>
      </c>
      <c r="O132" s="98">
        <f t="shared" si="14"/>
        <v>0.58750000000000002</v>
      </c>
      <c r="P132" s="98">
        <v>0.32800000000000001</v>
      </c>
      <c r="Q132" s="98">
        <v>0.68899999999999995</v>
      </c>
      <c r="R132" s="98">
        <v>0.56499999999999995</v>
      </c>
      <c r="S132" s="98">
        <v>0.57499999999999996</v>
      </c>
    </row>
    <row r="133" spans="1:19" s="60" customFormat="1">
      <c r="A133" s="59">
        <f t="shared" si="16"/>
        <v>41486</v>
      </c>
      <c r="B133" s="59">
        <f t="shared" si="15"/>
        <v>41850</v>
      </c>
      <c r="C133" s="99">
        <f t="shared" si="17"/>
        <v>0.25530000000000003</v>
      </c>
      <c r="D133" s="99">
        <f t="shared" si="18"/>
        <v>0.27379999999999999</v>
      </c>
      <c r="E133" s="99">
        <f t="shared" si="12"/>
        <v>6.5799999999999997E-2</v>
      </c>
      <c r="F133" s="99">
        <f t="shared" si="19"/>
        <v>2.7799999999999998E-2</v>
      </c>
      <c r="G133" s="104">
        <v>0.23599999999999999</v>
      </c>
      <c r="H133" s="104">
        <v>0.27200000000000002</v>
      </c>
      <c r="I133" s="103">
        <v>6.4000000000000001E-2</v>
      </c>
      <c r="J133" s="104">
        <v>2.5999999999999999E-2</v>
      </c>
      <c r="K133" s="54">
        <f>((1/3)*L122)+((11/3)*L134)</f>
        <v>14370</v>
      </c>
      <c r="L133" s="113"/>
      <c r="M133" s="98">
        <f t="shared" si="13"/>
        <v>0.57879999999999998</v>
      </c>
      <c r="N133" s="98">
        <v>0.26</v>
      </c>
      <c r="O133" s="98">
        <f t="shared" si="14"/>
        <v>0.58879999999999999</v>
      </c>
      <c r="P133" s="98">
        <v>0.32800000000000001</v>
      </c>
      <c r="Q133" s="98">
        <v>0.68899999999999995</v>
      </c>
      <c r="R133" s="98">
        <v>0.56499999999999995</v>
      </c>
      <c r="S133" s="98">
        <v>0.57499999999999996</v>
      </c>
    </row>
    <row r="134" spans="1:19" s="96" customFormat="1">
      <c r="A134" s="95">
        <f t="shared" si="16"/>
        <v>41517</v>
      </c>
      <c r="B134" s="95">
        <f t="shared" si="15"/>
        <v>41881</v>
      </c>
      <c r="C134" s="105">
        <f t="shared" si="17"/>
        <v>0.25700000000000001</v>
      </c>
      <c r="D134" s="105">
        <f t="shared" si="18"/>
        <v>0.27400000000000002</v>
      </c>
      <c r="E134" s="105">
        <f t="shared" si="12"/>
        <v>6.6000000000000003E-2</v>
      </c>
      <c r="F134" s="105">
        <f t="shared" si="19"/>
        <v>2.8000000000000001E-2</v>
      </c>
      <c r="G134" s="107">
        <v>0.25700000000000001</v>
      </c>
      <c r="H134" s="107">
        <v>0.27400000000000002</v>
      </c>
      <c r="I134" s="106">
        <v>6.6000000000000003E-2</v>
      </c>
      <c r="J134" s="107">
        <v>2.8000000000000001E-2</v>
      </c>
      <c r="K134" s="94">
        <f>(L134*4)</f>
        <v>14412</v>
      </c>
      <c r="L134" s="420">
        <v>3603</v>
      </c>
      <c r="M134" s="421">
        <f t="shared" si="13"/>
        <v>0.57999999999999996</v>
      </c>
      <c r="N134" s="421">
        <v>0.26</v>
      </c>
      <c r="O134" s="421">
        <f t="shared" si="14"/>
        <v>0.59</v>
      </c>
      <c r="P134" s="421">
        <v>0.32800000000000001</v>
      </c>
      <c r="Q134" s="421">
        <v>0.68899999999999995</v>
      </c>
      <c r="R134" s="421">
        <v>0.57999999999999996</v>
      </c>
      <c r="S134" s="421">
        <v>0.59</v>
      </c>
    </row>
    <row r="135" spans="1:19" s="96" customFormat="1">
      <c r="A135" s="95">
        <f t="shared" si="16"/>
        <v>41547</v>
      </c>
      <c r="B135" s="95">
        <f t="shared" si="15"/>
        <v>41911</v>
      </c>
      <c r="C135" s="105">
        <f t="shared" si="17"/>
        <v>0.25740000000000002</v>
      </c>
      <c r="D135" s="105">
        <f t="shared" si="18"/>
        <v>0.2747</v>
      </c>
      <c r="E135" s="105">
        <f t="shared" si="12"/>
        <v>6.5799999999999997E-2</v>
      </c>
      <c r="F135" s="105">
        <f t="shared" si="19"/>
        <v>2.7799999999999998E-2</v>
      </c>
      <c r="G135" s="107">
        <v>0.25700000000000001</v>
      </c>
      <c r="H135" s="107">
        <v>0.27400000000000002</v>
      </c>
      <c r="I135" s="106">
        <v>6.6000000000000003E-2</v>
      </c>
      <c r="J135" s="107">
        <v>2.8000000000000001E-2</v>
      </c>
      <c r="K135" s="94">
        <f>((11/3)*L134)+((1/3)*L146)</f>
        <v>14455</v>
      </c>
      <c r="L135" s="114"/>
      <c r="M135" s="421">
        <f t="shared" si="13"/>
        <v>0.57999999999999996</v>
      </c>
      <c r="N135" s="421">
        <v>0.26</v>
      </c>
      <c r="O135" s="421">
        <f t="shared" si="14"/>
        <v>0.59</v>
      </c>
      <c r="P135" s="421">
        <v>0.32800000000000001</v>
      </c>
      <c r="Q135" s="421">
        <v>0.68899999999999995</v>
      </c>
      <c r="R135" s="421">
        <v>0.57999999999999996</v>
      </c>
      <c r="S135" s="421">
        <v>0.59</v>
      </c>
    </row>
    <row r="136" spans="1:19" s="96" customFormat="1">
      <c r="A136" s="95">
        <f t="shared" si="16"/>
        <v>41578</v>
      </c>
      <c r="B136" s="95">
        <f t="shared" si="15"/>
        <v>41942</v>
      </c>
      <c r="C136" s="105">
        <f t="shared" si="17"/>
        <v>0.25779999999999997</v>
      </c>
      <c r="D136" s="105">
        <f t="shared" si="18"/>
        <v>0.27529999999999999</v>
      </c>
      <c r="E136" s="105">
        <f t="shared" si="12"/>
        <v>6.5699999999999995E-2</v>
      </c>
      <c r="F136" s="105">
        <f t="shared" si="19"/>
        <v>2.7699999999999999E-2</v>
      </c>
      <c r="G136" s="107">
        <v>0.25700000000000001</v>
      </c>
      <c r="H136" s="107">
        <v>0.27400000000000002</v>
      </c>
      <c r="I136" s="106">
        <v>6.6000000000000003E-2</v>
      </c>
      <c r="J136" s="107">
        <v>2.8000000000000001E-2</v>
      </c>
      <c r="K136" s="94">
        <f>((10/3)*L134)+((2/3)*L146)</f>
        <v>14499</v>
      </c>
      <c r="L136" s="114"/>
      <c r="M136" s="421">
        <f t="shared" si="13"/>
        <v>0.57999999999999996</v>
      </c>
      <c r="N136" s="421">
        <v>0.26</v>
      </c>
      <c r="O136" s="421">
        <f t="shared" si="14"/>
        <v>0.59</v>
      </c>
      <c r="P136" s="421">
        <v>0.32800000000000001</v>
      </c>
      <c r="Q136" s="421">
        <v>0.68899999999999995</v>
      </c>
      <c r="R136" s="421">
        <v>0.57999999999999996</v>
      </c>
      <c r="S136" s="421">
        <v>0.59</v>
      </c>
    </row>
    <row r="137" spans="1:19" s="96" customFormat="1">
      <c r="A137" s="95">
        <f t="shared" si="16"/>
        <v>41608</v>
      </c>
      <c r="B137" s="95">
        <f t="shared" si="15"/>
        <v>41972</v>
      </c>
      <c r="C137" s="105">
        <f t="shared" si="17"/>
        <v>0.25829999999999997</v>
      </c>
      <c r="D137" s="105">
        <f t="shared" si="18"/>
        <v>0.27600000000000002</v>
      </c>
      <c r="E137" s="105">
        <f t="shared" si="12"/>
        <v>6.5500000000000003E-2</v>
      </c>
      <c r="F137" s="105">
        <f t="shared" si="19"/>
        <v>2.75E-2</v>
      </c>
      <c r="G137" s="107">
        <v>0.25700000000000001</v>
      </c>
      <c r="H137" s="107">
        <v>0.27400000000000002</v>
      </c>
      <c r="I137" s="106">
        <v>6.6000000000000003E-2</v>
      </c>
      <c r="J137" s="107">
        <v>2.8000000000000001E-2</v>
      </c>
      <c r="K137" s="94">
        <f>((9/3)*L134)+((3/3)*L146)</f>
        <v>14542</v>
      </c>
      <c r="L137" s="114"/>
      <c r="M137" s="421">
        <f t="shared" si="13"/>
        <v>0.57999999999999996</v>
      </c>
      <c r="N137" s="421">
        <v>0.26</v>
      </c>
      <c r="O137" s="421">
        <f t="shared" si="14"/>
        <v>0.59</v>
      </c>
      <c r="P137" s="421">
        <v>0.32800000000000001</v>
      </c>
      <c r="Q137" s="421">
        <v>0.68899999999999995</v>
      </c>
      <c r="R137" s="421">
        <v>0.57999999999999996</v>
      </c>
      <c r="S137" s="421">
        <v>0.59</v>
      </c>
    </row>
    <row r="138" spans="1:19" s="96" customFormat="1">
      <c r="A138" s="95">
        <f t="shared" si="16"/>
        <v>41639</v>
      </c>
      <c r="B138" s="95">
        <f t="shared" si="15"/>
        <v>42003</v>
      </c>
      <c r="C138" s="105">
        <f t="shared" si="17"/>
        <v>0.25869999999999999</v>
      </c>
      <c r="D138" s="105">
        <f t="shared" si="18"/>
        <v>0.2767</v>
      </c>
      <c r="E138" s="105">
        <f t="shared" si="12"/>
        <v>6.5299999999999997E-2</v>
      </c>
      <c r="F138" s="105">
        <f t="shared" si="19"/>
        <v>2.7300000000000001E-2</v>
      </c>
      <c r="G138" s="107">
        <v>0.25700000000000001</v>
      </c>
      <c r="H138" s="107">
        <v>0.27400000000000002</v>
      </c>
      <c r="I138" s="106">
        <v>6.6000000000000003E-2</v>
      </c>
      <c r="J138" s="107">
        <v>2.8000000000000001E-2</v>
      </c>
      <c r="K138" s="94">
        <f>((8/3)*L134)+((4/3)*L146)</f>
        <v>14585</v>
      </c>
      <c r="L138" s="114"/>
      <c r="M138" s="421">
        <f t="shared" si="13"/>
        <v>0.57999999999999996</v>
      </c>
      <c r="N138" s="421">
        <v>0.26</v>
      </c>
      <c r="O138" s="421">
        <f t="shared" si="14"/>
        <v>0.59</v>
      </c>
      <c r="P138" s="421">
        <v>0.32800000000000001</v>
      </c>
      <c r="Q138" s="421">
        <v>0.68899999999999995</v>
      </c>
      <c r="R138" s="421">
        <v>0.57999999999999996</v>
      </c>
      <c r="S138" s="421">
        <v>0.59</v>
      </c>
    </row>
    <row r="139" spans="1:19" s="96" customFormat="1">
      <c r="A139" s="95">
        <f t="shared" si="16"/>
        <v>41670</v>
      </c>
      <c r="B139" s="95">
        <f t="shared" si="15"/>
        <v>42034</v>
      </c>
      <c r="C139" s="105">
        <f t="shared" si="17"/>
        <v>0.2591</v>
      </c>
      <c r="D139" s="105">
        <f t="shared" si="18"/>
        <v>0.27729999999999999</v>
      </c>
      <c r="E139" s="105">
        <f t="shared" si="12"/>
        <v>6.5199999999999994E-2</v>
      </c>
      <c r="F139" s="105">
        <f t="shared" si="19"/>
        <v>2.7199999999999998E-2</v>
      </c>
      <c r="G139" s="107">
        <v>0.25700000000000001</v>
      </c>
      <c r="H139" s="107">
        <v>0.27400000000000002</v>
      </c>
      <c r="I139" s="106">
        <v>6.6000000000000003E-2</v>
      </c>
      <c r="J139" s="107">
        <v>2.8000000000000001E-2</v>
      </c>
      <c r="K139" s="94">
        <f>((7/3)*L134)+((5/3)*L146)</f>
        <v>14629</v>
      </c>
      <c r="L139" s="114"/>
      <c r="M139" s="421">
        <f t="shared" si="13"/>
        <v>0.57999999999999996</v>
      </c>
      <c r="N139" s="421">
        <v>0.26</v>
      </c>
      <c r="O139" s="421">
        <f t="shared" si="14"/>
        <v>0.59</v>
      </c>
      <c r="P139" s="421">
        <v>0.32800000000000001</v>
      </c>
      <c r="Q139" s="421">
        <v>0.68899999999999995</v>
      </c>
      <c r="R139" s="421">
        <v>0.57999999999999996</v>
      </c>
      <c r="S139" s="421">
        <v>0.59</v>
      </c>
    </row>
    <row r="140" spans="1:19" s="96" customFormat="1">
      <c r="A140" s="95">
        <f t="shared" si="16"/>
        <v>41698</v>
      </c>
      <c r="B140" s="95">
        <f t="shared" si="15"/>
        <v>42062</v>
      </c>
      <c r="C140" s="105">
        <f t="shared" si="17"/>
        <v>0.25950000000000001</v>
      </c>
      <c r="D140" s="105">
        <f t="shared" si="18"/>
        <v>0.27800000000000002</v>
      </c>
      <c r="E140" s="105">
        <f t="shared" si="12"/>
        <v>6.5000000000000002E-2</v>
      </c>
      <c r="F140" s="105">
        <f t="shared" si="19"/>
        <v>2.7E-2</v>
      </c>
      <c r="G140" s="107">
        <v>0.25700000000000001</v>
      </c>
      <c r="H140" s="107">
        <v>0.27400000000000002</v>
      </c>
      <c r="I140" s="106">
        <v>6.6000000000000003E-2</v>
      </c>
      <c r="J140" s="107">
        <v>2.8000000000000001E-2</v>
      </c>
      <c r="K140" s="94">
        <f>((6/3)*L134)+((6/3)*L146)</f>
        <v>14672</v>
      </c>
      <c r="L140" s="114"/>
      <c r="M140" s="421">
        <f t="shared" si="13"/>
        <v>0.57999999999999996</v>
      </c>
      <c r="N140" s="421">
        <v>0.26</v>
      </c>
      <c r="O140" s="421">
        <f t="shared" si="14"/>
        <v>0.59</v>
      </c>
      <c r="P140" s="421">
        <v>0.32800000000000001</v>
      </c>
      <c r="Q140" s="421">
        <v>0.68899999999999995</v>
      </c>
      <c r="R140" s="421">
        <v>0.57999999999999996</v>
      </c>
      <c r="S140" s="421">
        <v>0.59</v>
      </c>
    </row>
    <row r="141" spans="1:19" s="96" customFormat="1">
      <c r="A141" s="95">
        <f t="shared" si="16"/>
        <v>41729</v>
      </c>
      <c r="B141" s="95">
        <f t="shared" si="15"/>
        <v>42093</v>
      </c>
      <c r="C141" s="105">
        <f t="shared" si="17"/>
        <v>0.25990000000000002</v>
      </c>
      <c r="D141" s="105">
        <f t="shared" si="18"/>
        <v>0.2787</v>
      </c>
      <c r="E141" s="105">
        <f t="shared" si="12"/>
        <v>6.4799999999999996E-2</v>
      </c>
      <c r="F141" s="105">
        <f t="shared" si="19"/>
        <v>2.6800000000000001E-2</v>
      </c>
      <c r="G141" s="107">
        <v>0.25700000000000001</v>
      </c>
      <c r="H141" s="107">
        <v>0.27400000000000002</v>
      </c>
      <c r="I141" s="106">
        <v>6.6000000000000003E-2</v>
      </c>
      <c r="J141" s="107">
        <v>2.8000000000000001E-2</v>
      </c>
      <c r="K141" s="94">
        <f>((5/3)*L134)+((7/3)*L146)</f>
        <v>14715</v>
      </c>
      <c r="L141" s="114"/>
      <c r="M141" s="421">
        <f t="shared" si="13"/>
        <v>0.57999999999999996</v>
      </c>
      <c r="N141" s="421">
        <v>0.26</v>
      </c>
      <c r="O141" s="421">
        <f t="shared" si="14"/>
        <v>0.59</v>
      </c>
      <c r="P141" s="421">
        <v>0.32800000000000001</v>
      </c>
      <c r="Q141" s="421">
        <v>0.68899999999999995</v>
      </c>
      <c r="R141" s="421">
        <v>0.57999999999999996</v>
      </c>
      <c r="S141" s="421">
        <v>0.59</v>
      </c>
    </row>
    <row r="142" spans="1:19" s="96" customFormat="1">
      <c r="A142" s="95">
        <f t="shared" si="16"/>
        <v>41759</v>
      </c>
      <c r="B142" s="95">
        <f t="shared" si="15"/>
        <v>42123</v>
      </c>
      <c r="C142" s="105">
        <f t="shared" si="17"/>
        <v>0.26029999999999998</v>
      </c>
      <c r="D142" s="105">
        <f t="shared" si="18"/>
        <v>0.27929999999999999</v>
      </c>
      <c r="E142" s="105">
        <f t="shared" si="12"/>
        <v>6.4699999999999994E-2</v>
      </c>
      <c r="F142" s="105">
        <f t="shared" si="19"/>
        <v>2.6700000000000002E-2</v>
      </c>
      <c r="G142" s="107">
        <v>0.25700000000000001</v>
      </c>
      <c r="H142" s="107">
        <v>0.27400000000000002</v>
      </c>
      <c r="I142" s="106">
        <v>6.6000000000000003E-2</v>
      </c>
      <c r="J142" s="107">
        <v>2.8000000000000001E-2</v>
      </c>
      <c r="K142" s="94">
        <f>((4/3)*L134)+((8/3)*L146)</f>
        <v>14759</v>
      </c>
      <c r="L142" s="114"/>
      <c r="M142" s="421">
        <f t="shared" si="13"/>
        <v>0.57999999999999996</v>
      </c>
      <c r="N142" s="421">
        <v>0.26</v>
      </c>
      <c r="O142" s="421">
        <f t="shared" si="14"/>
        <v>0.59</v>
      </c>
      <c r="P142" s="421">
        <v>0.32800000000000001</v>
      </c>
      <c r="Q142" s="421">
        <v>0.68899999999999995</v>
      </c>
      <c r="R142" s="421">
        <v>0.57999999999999996</v>
      </c>
      <c r="S142" s="421">
        <v>0.59</v>
      </c>
    </row>
    <row r="143" spans="1:19" s="96" customFormat="1">
      <c r="A143" s="95">
        <f t="shared" si="16"/>
        <v>41790</v>
      </c>
      <c r="B143" s="95">
        <f t="shared" si="15"/>
        <v>42154</v>
      </c>
      <c r="C143" s="105">
        <f t="shared" si="17"/>
        <v>0.26079999999999998</v>
      </c>
      <c r="D143" s="105">
        <f t="shared" si="18"/>
        <v>0.28000000000000003</v>
      </c>
      <c r="E143" s="105">
        <f t="shared" si="12"/>
        <v>6.4500000000000002E-2</v>
      </c>
      <c r="F143" s="105">
        <f t="shared" si="19"/>
        <v>2.6499999999999999E-2</v>
      </c>
      <c r="G143" s="107">
        <v>0.25700000000000001</v>
      </c>
      <c r="H143" s="107">
        <v>0.27400000000000002</v>
      </c>
      <c r="I143" s="106">
        <v>6.6000000000000003E-2</v>
      </c>
      <c r="J143" s="107">
        <v>2.8000000000000001E-2</v>
      </c>
      <c r="K143" s="94">
        <f>((3/3)*L134)+((9/3)*L146)</f>
        <v>14802</v>
      </c>
      <c r="L143" s="114"/>
      <c r="M143" s="421">
        <f t="shared" si="13"/>
        <v>0.57999999999999996</v>
      </c>
      <c r="N143" s="421">
        <v>0.26</v>
      </c>
      <c r="O143" s="421">
        <f t="shared" si="14"/>
        <v>0.59</v>
      </c>
      <c r="P143" s="421">
        <v>0.32800000000000001</v>
      </c>
      <c r="Q143" s="421">
        <v>0.68899999999999995</v>
      </c>
      <c r="R143" s="421">
        <v>0.57999999999999996</v>
      </c>
      <c r="S143" s="421">
        <v>0.59</v>
      </c>
    </row>
    <row r="144" spans="1:19" s="96" customFormat="1">
      <c r="A144" s="95">
        <f t="shared" si="16"/>
        <v>41820</v>
      </c>
      <c r="B144" s="95">
        <f t="shared" si="15"/>
        <v>42184</v>
      </c>
      <c r="C144" s="105">
        <f t="shared" si="17"/>
        <v>0.26119999999999999</v>
      </c>
      <c r="D144" s="105">
        <f t="shared" si="18"/>
        <v>0.28070000000000001</v>
      </c>
      <c r="E144" s="105">
        <f t="shared" si="12"/>
        <v>6.4299999999999996E-2</v>
      </c>
      <c r="F144" s="105">
        <f t="shared" si="19"/>
        <v>2.63E-2</v>
      </c>
      <c r="G144" s="107">
        <v>0.25700000000000001</v>
      </c>
      <c r="H144" s="107">
        <v>0.27400000000000002</v>
      </c>
      <c r="I144" s="106">
        <v>6.6000000000000003E-2</v>
      </c>
      <c r="J144" s="107">
        <v>2.8000000000000001E-2</v>
      </c>
      <c r="K144" s="94">
        <f>((2/3)*L134)+((10/3)*L146)</f>
        <v>14845</v>
      </c>
      <c r="L144" s="114"/>
      <c r="M144" s="421">
        <f t="shared" si="13"/>
        <v>0.57999999999999996</v>
      </c>
      <c r="N144" s="421">
        <v>0.26</v>
      </c>
      <c r="O144" s="421">
        <f t="shared" si="14"/>
        <v>0.59</v>
      </c>
      <c r="P144" s="421">
        <v>0.32800000000000001</v>
      </c>
      <c r="Q144" s="421">
        <v>0.68899999999999995</v>
      </c>
      <c r="R144" s="421">
        <v>0.57999999999999996</v>
      </c>
      <c r="S144" s="421">
        <v>0.59</v>
      </c>
    </row>
    <row r="145" spans="1:19" s="96" customFormat="1">
      <c r="A145" s="95">
        <f t="shared" si="16"/>
        <v>41851</v>
      </c>
      <c r="B145" s="95">
        <f t="shared" si="15"/>
        <v>42215</v>
      </c>
      <c r="C145" s="105">
        <f t="shared" si="17"/>
        <v>0.2616</v>
      </c>
      <c r="D145" s="105">
        <f t="shared" si="18"/>
        <v>0.28129999999999999</v>
      </c>
      <c r="E145" s="105">
        <f t="shared" si="12"/>
        <v>6.4199999999999993E-2</v>
      </c>
      <c r="F145" s="105">
        <f t="shared" si="19"/>
        <v>2.6200000000000001E-2</v>
      </c>
      <c r="G145" s="107">
        <v>0.25700000000000001</v>
      </c>
      <c r="H145" s="107">
        <v>0.27400000000000002</v>
      </c>
      <c r="I145" s="106">
        <v>6.6000000000000003E-2</v>
      </c>
      <c r="J145" s="107">
        <v>2.8000000000000001E-2</v>
      </c>
      <c r="K145" s="94">
        <f>((1/3)*L134)+((11/3)*L146)</f>
        <v>14889</v>
      </c>
      <c r="L145" s="114"/>
      <c r="M145" s="421">
        <f t="shared" si="13"/>
        <v>0.57999999999999996</v>
      </c>
      <c r="N145" s="421">
        <v>0.26</v>
      </c>
      <c r="O145" s="421">
        <f t="shared" si="14"/>
        <v>0.59</v>
      </c>
      <c r="P145" s="421">
        <v>0.32800000000000001</v>
      </c>
      <c r="Q145" s="421">
        <v>0.68899999999999995</v>
      </c>
      <c r="R145" s="421">
        <v>0.57999999999999996</v>
      </c>
      <c r="S145" s="421">
        <v>0.59</v>
      </c>
    </row>
    <row r="146" spans="1:19" s="60" customFormat="1">
      <c r="A146" s="59">
        <f t="shared" si="16"/>
        <v>41882</v>
      </c>
      <c r="B146" s="59">
        <f t="shared" si="15"/>
        <v>42246</v>
      </c>
      <c r="C146" s="102">
        <f t="shared" si="17"/>
        <v>0.26200000000000001</v>
      </c>
      <c r="D146" s="102">
        <f t="shared" si="18"/>
        <v>0.28199999999999997</v>
      </c>
      <c r="E146" s="102">
        <f t="shared" si="12"/>
        <v>6.4000000000000001E-2</v>
      </c>
      <c r="F146" s="102">
        <f t="shared" si="19"/>
        <v>2.5999999999999999E-2</v>
      </c>
      <c r="G146" s="104">
        <v>0.26200000000000001</v>
      </c>
      <c r="H146" s="104">
        <v>0.28199999999999997</v>
      </c>
      <c r="I146" s="103">
        <v>6.4000000000000001E-2</v>
      </c>
      <c r="J146" s="104">
        <v>2.5999999999999999E-2</v>
      </c>
      <c r="K146" s="54">
        <f>(L146*4)</f>
        <v>14932</v>
      </c>
      <c r="L146" s="587">
        <v>3733</v>
      </c>
      <c r="M146" s="98">
        <f t="shared" si="13"/>
        <v>0.57999999999999996</v>
      </c>
      <c r="N146" s="98">
        <v>0.26</v>
      </c>
      <c r="O146" s="98">
        <f t="shared" si="14"/>
        <v>0.59</v>
      </c>
      <c r="P146" s="98">
        <v>0.32800000000000001</v>
      </c>
      <c r="Q146" s="98">
        <v>0.68899999999999995</v>
      </c>
      <c r="R146" s="98">
        <v>0.57999999999999996</v>
      </c>
      <c r="S146" s="98">
        <v>0.59</v>
      </c>
    </row>
    <row r="147" spans="1:19" s="60" customFormat="1">
      <c r="A147" s="59">
        <f t="shared" si="16"/>
        <v>41912</v>
      </c>
      <c r="B147" s="59">
        <f t="shared" si="15"/>
        <v>42276</v>
      </c>
      <c r="C147" s="102">
        <f t="shared" si="17"/>
        <v>0.26250000000000001</v>
      </c>
      <c r="D147" s="102">
        <f t="shared" si="18"/>
        <v>0.2823</v>
      </c>
      <c r="E147" s="102">
        <f t="shared" ref="E147:F196" si="20">AVERAGE(I147:I158)</f>
        <v>6.4199999999999993E-2</v>
      </c>
      <c r="F147" s="102">
        <f t="shared" si="19"/>
        <v>2.5999999999999999E-2</v>
      </c>
      <c r="G147" s="104">
        <v>0.26200000000000001</v>
      </c>
      <c r="H147" s="104">
        <v>0.28199999999999997</v>
      </c>
      <c r="I147" s="103">
        <v>6.4000000000000001E-2</v>
      </c>
      <c r="J147" s="104">
        <v>2.5999999999999999E-2</v>
      </c>
      <c r="K147" s="54">
        <f>((11/3)*L146)+((1/3)*L158)</f>
        <v>14977</v>
      </c>
      <c r="L147" s="113"/>
      <c r="M147" s="98">
        <f t="shared" si="13"/>
        <v>0.57999999999999996</v>
      </c>
      <c r="N147" s="98">
        <v>0.26</v>
      </c>
      <c r="O147" s="98">
        <f t="shared" si="14"/>
        <v>0.59</v>
      </c>
      <c r="P147" s="98">
        <v>0.32800000000000001</v>
      </c>
      <c r="Q147" s="98">
        <v>0.68899999999999995</v>
      </c>
      <c r="R147" s="98">
        <v>0.57999999999999996</v>
      </c>
      <c r="S147" s="98">
        <v>0.59</v>
      </c>
    </row>
    <row r="148" spans="1:19" s="60" customFormat="1">
      <c r="A148" s="59">
        <f t="shared" si="16"/>
        <v>41943</v>
      </c>
      <c r="B148" s="59">
        <f t="shared" si="15"/>
        <v>42307</v>
      </c>
      <c r="C148" s="102">
        <f t="shared" si="17"/>
        <v>0.26300000000000001</v>
      </c>
      <c r="D148" s="102">
        <f t="shared" si="18"/>
        <v>0.28270000000000001</v>
      </c>
      <c r="E148" s="102">
        <f t="shared" si="20"/>
        <v>6.4299999999999996E-2</v>
      </c>
      <c r="F148" s="102">
        <f t="shared" si="19"/>
        <v>2.5999999999999999E-2</v>
      </c>
      <c r="G148" s="104">
        <v>0.26200000000000001</v>
      </c>
      <c r="H148" s="104">
        <v>0.28199999999999997</v>
      </c>
      <c r="I148" s="103">
        <v>6.4000000000000001E-2</v>
      </c>
      <c r="J148" s="104">
        <v>2.5999999999999999E-2</v>
      </c>
      <c r="K148" s="54">
        <f>((10/3)*L146)+((2/3)*L158)</f>
        <v>15021</v>
      </c>
      <c r="L148" s="113"/>
      <c r="M148" s="98">
        <f t="shared" si="13"/>
        <v>0.57999999999999996</v>
      </c>
      <c r="N148" s="98">
        <v>0.26</v>
      </c>
      <c r="O148" s="98">
        <f t="shared" si="14"/>
        <v>0.59</v>
      </c>
      <c r="P148" s="98">
        <v>0.32800000000000001</v>
      </c>
      <c r="Q148" s="98">
        <v>0.68899999999999995</v>
      </c>
      <c r="R148" s="98">
        <v>0.57999999999999996</v>
      </c>
      <c r="S148" s="98">
        <v>0.59</v>
      </c>
    </row>
    <row r="149" spans="1:19" s="60" customFormat="1">
      <c r="A149" s="59">
        <f t="shared" si="16"/>
        <v>41973</v>
      </c>
      <c r="B149" s="59">
        <f t="shared" si="15"/>
        <v>42337</v>
      </c>
      <c r="C149" s="102">
        <f t="shared" si="17"/>
        <v>0.26350000000000001</v>
      </c>
      <c r="D149" s="102">
        <f t="shared" si="18"/>
        <v>0.28299999999999997</v>
      </c>
      <c r="E149" s="102">
        <f t="shared" si="20"/>
        <v>6.4500000000000002E-2</v>
      </c>
      <c r="F149" s="102">
        <f t="shared" si="19"/>
        <v>2.5999999999999999E-2</v>
      </c>
      <c r="G149" s="104">
        <v>0.26200000000000001</v>
      </c>
      <c r="H149" s="104">
        <v>0.28199999999999997</v>
      </c>
      <c r="I149" s="103">
        <v>6.4000000000000001E-2</v>
      </c>
      <c r="J149" s="104">
        <v>2.5999999999999999E-2</v>
      </c>
      <c r="K149" s="54">
        <f>((9/3)*L146)+((3/3)*L158)</f>
        <v>15066</v>
      </c>
      <c r="L149" s="113"/>
      <c r="M149" s="98">
        <f t="shared" si="13"/>
        <v>0.57999999999999996</v>
      </c>
      <c r="N149" s="98">
        <v>0.26</v>
      </c>
      <c r="O149" s="98">
        <f t="shared" si="14"/>
        <v>0.59</v>
      </c>
      <c r="P149" s="98">
        <v>0.32800000000000001</v>
      </c>
      <c r="Q149" s="98">
        <v>0.68899999999999995</v>
      </c>
      <c r="R149" s="98">
        <v>0.57999999999999996</v>
      </c>
      <c r="S149" s="98">
        <v>0.59</v>
      </c>
    </row>
    <row r="150" spans="1:19" s="60" customFormat="1">
      <c r="A150" s="59">
        <f t="shared" si="16"/>
        <v>42004</v>
      </c>
      <c r="B150" s="59">
        <f t="shared" si="15"/>
        <v>42368</v>
      </c>
      <c r="C150" s="102">
        <f t="shared" si="17"/>
        <v>0.26400000000000001</v>
      </c>
      <c r="D150" s="102">
        <f t="shared" si="18"/>
        <v>0.2833</v>
      </c>
      <c r="E150" s="102">
        <f t="shared" si="20"/>
        <v>6.4699999999999994E-2</v>
      </c>
      <c r="F150" s="102">
        <f t="shared" si="19"/>
        <v>2.5999999999999999E-2</v>
      </c>
      <c r="G150" s="104">
        <v>0.26200000000000001</v>
      </c>
      <c r="H150" s="104">
        <v>0.28199999999999997</v>
      </c>
      <c r="I150" s="103">
        <v>6.4000000000000001E-2</v>
      </c>
      <c r="J150" s="104">
        <v>2.5999999999999999E-2</v>
      </c>
      <c r="K150" s="54">
        <f>((8/3)*L146)+((4/3)*L158)</f>
        <v>15111</v>
      </c>
      <c r="L150" s="113"/>
      <c r="M150" s="98">
        <f t="shared" si="13"/>
        <v>0.57999999999999996</v>
      </c>
      <c r="N150" s="98">
        <v>0.26</v>
      </c>
      <c r="O150" s="98">
        <f t="shared" si="14"/>
        <v>0.59</v>
      </c>
      <c r="P150" s="98">
        <v>0.32800000000000001</v>
      </c>
      <c r="Q150" s="98">
        <v>0.68899999999999995</v>
      </c>
      <c r="R150" s="98">
        <v>0.57999999999999996</v>
      </c>
      <c r="S150" s="98">
        <v>0.59</v>
      </c>
    </row>
    <row r="151" spans="1:19" s="60" customFormat="1">
      <c r="A151" s="59">
        <f t="shared" si="16"/>
        <v>42035</v>
      </c>
      <c r="B151" s="59">
        <f t="shared" si="15"/>
        <v>42399</v>
      </c>
      <c r="C151" s="102">
        <f t="shared" si="17"/>
        <v>0.26450000000000001</v>
      </c>
      <c r="D151" s="102">
        <f t="shared" si="18"/>
        <v>0.28370000000000001</v>
      </c>
      <c r="E151" s="102">
        <f t="shared" si="20"/>
        <v>6.4799999999999996E-2</v>
      </c>
      <c r="F151" s="102">
        <f t="shared" si="19"/>
        <v>2.5999999999999999E-2</v>
      </c>
      <c r="G151" s="104">
        <v>0.26200000000000001</v>
      </c>
      <c r="H151" s="104">
        <v>0.28199999999999997</v>
      </c>
      <c r="I151" s="103">
        <v>6.4000000000000001E-2</v>
      </c>
      <c r="J151" s="104">
        <v>2.5999999999999999E-2</v>
      </c>
      <c r="K151" s="54">
        <f>((7/3)*L146)+((5/3)*L158)</f>
        <v>15155</v>
      </c>
      <c r="L151" s="113"/>
      <c r="M151" s="98">
        <f t="shared" si="13"/>
        <v>0.57999999999999996</v>
      </c>
      <c r="N151" s="98">
        <v>0.26</v>
      </c>
      <c r="O151" s="98">
        <f t="shared" si="14"/>
        <v>0.59</v>
      </c>
      <c r="P151" s="98">
        <v>0.32800000000000001</v>
      </c>
      <c r="Q151" s="98">
        <v>0.68899999999999995</v>
      </c>
      <c r="R151" s="98">
        <v>0.57999999999999996</v>
      </c>
      <c r="S151" s="98">
        <v>0.59</v>
      </c>
    </row>
    <row r="152" spans="1:19" s="60" customFormat="1">
      <c r="A152" s="59">
        <f t="shared" si="16"/>
        <v>42063</v>
      </c>
      <c r="B152" s="59">
        <f t="shared" si="15"/>
        <v>42428</v>
      </c>
      <c r="C152" s="102">
        <f t="shared" si="17"/>
        <v>0.26500000000000001</v>
      </c>
      <c r="D152" s="102">
        <f t="shared" si="18"/>
        <v>0.28399999999999997</v>
      </c>
      <c r="E152" s="102">
        <f t="shared" si="20"/>
        <v>6.5000000000000002E-2</v>
      </c>
      <c r="F152" s="102">
        <f t="shared" si="19"/>
        <v>2.5999999999999999E-2</v>
      </c>
      <c r="G152" s="104">
        <v>0.26200000000000001</v>
      </c>
      <c r="H152" s="104">
        <v>0.28199999999999997</v>
      </c>
      <c r="I152" s="103">
        <v>6.4000000000000001E-2</v>
      </c>
      <c r="J152" s="104">
        <v>2.5999999999999999E-2</v>
      </c>
      <c r="K152" s="54">
        <f>((6/3)*L146)+((6/3)*L158)</f>
        <v>15200</v>
      </c>
      <c r="L152" s="113"/>
      <c r="M152" s="98">
        <f t="shared" si="13"/>
        <v>0.57999999999999996</v>
      </c>
      <c r="N152" s="98">
        <v>0.26</v>
      </c>
      <c r="O152" s="98">
        <f t="shared" si="14"/>
        <v>0.59</v>
      </c>
      <c r="P152" s="98">
        <v>0.32800000000000001</v>
      </c>
      <c r="Q152" s="98">
        <v>0.68899999999999995</v>
      </c>
      <c r="R152" s="98">
        <v>0.57999999999999996</v>
      </c>
      <c r="S152" s="98">
        <v>0.59</v>
      </c>
    </row>
    <row r="153" spans="1:19" s="60" customFormat="1">
      <c r="A153" s="59">
        <f t="shared" si="16"/>
        <v>42094</v>
      </c>
      <c r="B153" s="59">
        <f t="shared" si="15"/>
        <v>42459</v>
      </c>
      <c r="C153" s="102">
        <f t="shared" si="17"/>
        <v>0.26550000000000001</v>
      </c>
      <c r="D153" s="102">
        <f t="shared" si="18"/>
        <v>0.2843</v>
      </c>
      <c r="E153" s="102">
        <f t="shared" si="20"/>
        <v>6.5199999999999994E-2</v>
      </c>
      <c r="F153" s="102">
        <f t="shared" si="19"/>
        <v>2.5999999999999999E-2</v>
      </c>
      <c r="G153" s="104">
        <v>0.26200000000000001</v>
      </c>
      <c r="H153" s="104">
        <v>0.28199999999999997</v>
      </c>
      <c r="I153" s="103">
        <v>6.4000000000000001E-2</v>
      </c>
      <c r="J153" s="104">
        <v>2.5999999999999999E-2</v>
      </c>
      <c r="K153" s="54">
        <f>((5/3)*L146)+((7/3)*L158)</f>
        <v>15245</v>
      </c>
      <c r="L153" s="113"/>
      <c r="M153" s="98">
        <f t="shared" si="13"/>
        <v>0.57999999999999996</v>
      </c>
      <c r="N153" s="98">
        <v>0.26</v>
      </c>
      <c r="O153" s="98">
        <f t="shared" si="14"/>
        <v>0.59</v>
      </c>
      <c r="P153" s="98">
        <v>0.32800000000000001</v>
      </c>
      <c r="Q153" s="98">
        <v>0.68899999999999995</v>
      </c>
      <c r="R153" s="98">
        <v>0.57999999999999996</v>
      </c>
      <c r="S153" s="98">
        <v>0.59</v>
      </c>
    </row>
    <row r="154" spans="1:19" s="60" customFormat="1">
      <c r="A154" s="59">
        <f t="shared" si="16"/>
        <v>42124</v>
      </c>
      <c r="B154" s="59">
        <f t="shared" si="15"/>
        <v>42489</v>
      </c>
      <c r="C154" s="102">
        <f t="shared" si="17"/>
        <v>0.26600000000000001</v>
      </c>
      <c r="D154" s="102">
        <f t="shared" si="18"/>
        <v>0.28470000000000001</v>
      </c>
      <c r="E154" s="102">
        <f t="shared" si="20"/>
        <v>6.5299999999999997E-2</v>
      </c>
      <c r="F154" s="102">
        <f t="shared" si="19"/>
        <v>2.5999999999999999E-2</v>
      </c>
      <c r="G154" s="104">
        <v>0.26200000000000001</v>
      </c>
      <c r="H154" s="104">
        <v>0.28199999999999997</v>
      </c>
      <c r="I154" s="103">
        <v>6.4000000000000001E-2</v>
      </c>
      <c r="J154" s="104">
        <v>2.5999999999999999E-2</v>
      </c>
      <c r="K154" s="54">
        <f>((4/3)*L146)+((8/3)*L158)</f>
        <v>15289</v>
      </c>
      <c r="L154" s="113"/>
      <c r="M154" s="98">
        <f t="shared" si="13"/>
        <v>0.57999999999999996</v>
      </c>
      <c r="N154" s="98">
        <v>0.26</v>
      </c>
      <c r="O154" s="98">
        <f t="shared" si="14"/>
        <v>0.59</v>
      </c>
      <c r="P154" s="98">
        <v>0.32800000000000001</v>
      </c>
      <c r="Q154" s="98">
        <v>0.68899999999999995</v>
      </c>
      <c r="R154" s="98">
        <v>0.57999999999999996</v>
      </c>
      <c r="S154" s="98">
        <v>0.59</v>
      </c>
    </row>
    <row r="155" spans="1:19" s="60" customFormat="1">
      <c r="A155" s="59">
        <f t="shared" si="16"/>
        <v>42155</v>
      </c>
      <c r="B155" s="59">
        <f t="shared" si="15"/>
        <v>42520</v>
      </c>
      <c r="C155" s="102">
        <f t="shared" si="17"/>
        <v>0.26650000000000001</v>
      </c>
      <c r="D155" s="102">
        <f t="shared" si="18"/>
        <v>0.28499999999999998</v>
      </c>
      <c r="E155" s="102">
        <f t="shared" si="20"/>
        <v>6.5500000000000003E-2</v>
      </c>
      <c r="F155" s="102">
        <f t="shared" si="19"/>
        <v>2.5999999999999999E-2</v>
      </c>
      <c r="G155" s="104">
        <v>0.26200000000000001</v>
      </c>
      <c r="H155" s="104">
        <v>0.28199999999999997</v>
      </c>
      <c r="I155" s="103">
        <v>6.4000000000000001E-2</v>
      </c>
      <c r="J155" s="104">
        <v>2.5999999999999999E-2</v>
      </c>
      <c r="K155" s="54">
        <f>((3/3)*L146)+((9/3)*L158)</f>
        <v>15334</v>
      </c>
      <c r="L155" s="113"/>
      <c r="M155" s="98">
        <f t="shared" si="13"/>
        <v>0.57999999999999996</v>
      </c>
      <c r="N155" s="98">
        <v>0.26</v>
      </c>
      <c r="O155" s="98">
        <f t="shared" si="14"/>
        <v>0.59</v>
      </c>
      <c r="P155" s="98">
        <v>0.32800000000000001</v>
      </c>
      <c r="Q155" s="98">
        <v>0.68899999999999995</v>
      </c>
      <c r="R155" s="98">
        <v>0.57999999999999996</v>
      </c>
      <c r="S155" s="98">
        <v>0.59</v>
      </c>
    </row>
    <row r="156" spans="1:19" s="60" customFormat="1">
      <c r="A156" s="59">
        <f t="shared" si="16"/>
        <v>42185</v>
      </c>
      <c r="B156" s="59">
        <f t="shared" si="15"/>
        <v>42550</v>
      </c>
      <c r="C156" s="102">
        <f t="shared" si="17"/>
        <v>0.26700000000000002</v>
      </c>
      <c r="D156" s="102">
        <f t="shared" si="18"/>
        <v>0.2853</v>
      </c>
      <c r="E156" s="102">
        <f t="shared" si="20"/>
        <v>6.5699999999999995E-2</v>
      </c>
      <c r="F156" s="102">
        <f t="shared" si="19"/>
        <v>2.5999999999999999E-2</v>
      </c>
      <c r="G156" s="104">
        <v>0.26200000000000001</v>
      </c>
      <c r="H156" s="104">
        <v>0.28199999999999997</v>
      </c>
      <c r="I156" s="103">
        <v>6.4000000000000001E-2</v>
      </c>
      <c r="J156" s="104">
        <v>2.5999999999999999E-2</v>
      </c>
      <c r="K156" s="54">
        <f>((2/3)*L146)+((10/3)*L158)</f>
        <v>15379</v>
      </c>
      <c r="L156" s="113"/>
      <c r="M156" s="98">
        <f t="shared" si="13"/>
        <v>0.57999999999999996</v>
      </c>
      <c r="N156" s="98">
        <v>0.26</v>
      </c>
      <c r="O156" s="98">
        <f t="shared" si="14"/>
        <v>0.59</v>
      </c>
      <c r="P156" s="98">
        <v>0.32800000000000001</v>
      </c>
      <c r="Q156" s="98">
        <v>0.68899999999999995</v>
      </c>
      <c r="R156" s="98">
        <v>0.57999999999999996</v>
      </c>
      <c r="S156" s="98">
        <v>0.59</v>
      </c>
    </row>
    <row r="157" spans="1:19" s="60" customFormat="1">
      <c r="A157" s="59">
        <f t="shared" si="16"/>
        <v>42216</v>
      </c>
      <c r="B157" s="59">
        <f t="shared" si="15"/>
        <v>42581</v>
      </c>
      <c r="C157" s="99">
        <f t="shared" si="17"/>
        <v>0.26750000000000002</v>
      </c>
      <c r="D157" s="99">
        <f t="shared" si="18"/>
        <v>0.28570000000000001</v>
      </c>
      <c r="E157" s="99">
        <f t="shared" si="20"/>
        <v>6.5799999999999997E-2</v>
      </c>
      <c r="F157" s="99">
        <f t="shared" si="19"/>
        <v>2.5999999999999999E-2</v>
      </c>
      <c r="G157" s="104">
        <v>0.26200000000000001</v>
      </c>
      <c r="H157" s="104">
        <v>0.28199999999999997</v>
      </c>
      <c r="I157" s="103">
        <v>6.4000000000000001E-2</v>
      </c>
      <c r="J157" s="104">
        <v>2.5999999999999999E-2</v>
      </c>
      <c r="K157" s="54">
        <f>((1/3)*L146)+((11/3)*L158)</f>
        <v>15423</v>
      </c>
      <c r="L157" s="113"/>
      <c r="M157" s="98">
        <f t="shared" si="13"/>
        <v>0.57999999999999996</v>
      </c>
      <c r="N157" s="98">
        <v>0.26</v>
      </c>
      <c r="O157" s="98">
        <f t="shared" si="14"/>
        <v>0.59</v>
      </c>
      <c r="P157" s="98">
        <v>0.32800000000000001</v>
      </c>
      <c r="Q157" s="98">
        <v>0.68899999999999995</v>
      </c>
      <c r="R157" s="98">
        <v>0.57999999999999996</v>
      </c>
      <c r="S157" s="98">
        <v>0.59</v>
      </c>
    </row>
    <row r="158" spans="1:19" s="96" customFormat="1">
      <c r="A158" s="95">
        <f t="shared" si="16"/>
        <v>42247</v>
      </c>
      <c r="B158" s="95">
        <f t="shared" si="15"/>
        <v>42612</v>
      </c>
      <c r="C158" s="105">
        <f t="shared" si="17"/>
        <v>0.26800000000000002</v>
      </c>
      <c r="D158" s="105">
        <f t="shared" si="18"/>
        <v>0.28599999999999998</v>
      </c>
      <c r="E158" s="105">
        <f t="shared" si="20"/>
        <v>6.6000000000000003E-2</v>
      </c>
      <c r="F158" s="105">
        <f t="shared" si="19"/>
        <v>2.5999999999999999E-2</v>
      </c>
      <c r="G158" s="107">
        <v>0.26800000000000002</v>
      </c>
      <c r="H158" s="107">
        <v>0.28599999999999998</v>
      </c>
      <c r="I158" s="106">
        <v>6.6000000000000003E-2</v>
      </c>
      <c r="J158" s="107">
        <v>2.5999999999999999E-2</v>
      </c>
      <c r="K158" s="94">
        <f>(L158*4)</f>
        <v>15468</v>
      </c>
      <c r="L158" s="683">
        <v>3867</v>
      </c>
      <c r="M158" s="421">
        <f t="shared" si="13"/>
        <v>0.57999999999999996</v>
      </c>
      <c r="N158" s="421">
        <v>0.26</v>
      </c>
      <c r="O158" s="421">
        <f t="shared" si="14"/>
        <v>0.59</v>
      </c>
      <c r="P158" s="421">
        <v>0.34620000000000001</v>
      </c>
      <c r="Q158" s="421">
        <v>0.69640000000000002</v>
      </c>
      <c r="R158" s="421">
        <v>0.57999999999999996</v>
      </c>
      <c r="S158" s="421">
        <v>0.59</v>
      </c>
    </row>
    <row r="159" spans="1:19" s="96" customFormat="1">
      <c r="A159" s="95">
        <f t="shared" si="16"/>
        <v>42277</v>
      </c>
      <c r="B159" s="95">
        <f t="shared" si="15"/>
        <v>42642</v>
      </c>
      <c r="C159" s="105">
        <f t="shared" si="17"/>
        <v>0.26800000000000002</v>
      </c>
      <c r="D159" s="105">
        <f t="shared" si="18"/>
        <v>0.28599999999999998</v>
      </c>
      <c r="E159" s="105">
        <f t="shared" si="20"/>
        <v>6.6000000000000003E-2</v>
      </c>
      <c r="F159" s="105">
        <f t="shared" si="19"/>
        <v>2.5999999999999999E-2</v>
      </c>
      <c r="G159" s="107">
        <v>0.26800000000000002</v>
      </c>
      <c r="H159" s="107">
        <v>0.28599999999999998</v>
      </c>
      <c r="I159" s="106">
        <v>6.6000000000000003E-2</v>
      </c>
      <c r="J159" s="107">
        <v>2.5999999999999999E-2</v>
      </c>
      <c r="K159" s="94">
        <f>((11/3)*L158)+((1/3)*L170)</f>
        <v>15532</v>
      </c>
      <c r="L159" s="114"/>
      <c r="M159" s="421">
        <f t="shared" si="13"/>
        <v>0.57999999999999996</v>
      </c>
      <c r="N159" s="421">
        <v>0.26</v>
      </c>
      <c r="O159" s="421">
        <f t="shared" si="14"/>
        <v>0.59</v>
      </c>
      <c r="P159" s="421">
        <v>0.34620000000000001</v>
      </c>
      <c r="Q159" s="421">
        <v>0.69640000000000002</v>
      </c>
      <c r="R159" s="421">
        <v>0.57999999999999996</v>
      </c>
      <c r="S159" s="421">
        <v>0.59</v>
      </c>
    </row>
    <row r="160" spans="1:19" s="96" customFormat="1">
      <c r="A160" s="95">
        <f t="shared" si="16"/>
        <v>42308</v>
      </c>
      <c r="B160" s="95">
        <f t="shared" si="15"/>
        <v>42673</v>
      </c>
      <c r="C160" s="105">
        <f t="shared" si="17"/>
        <v>0.26800000000000002</v>
      </c>
      <c r="D160" s="105">
        <f t="shared" si="18"/>
        <v>0.28599999999999998</v>
      </c>
      <c r="E160" s="105">
        <f t="shared" si="20"/>
        <v>6.6000000000000003E-2</v>
      </c>
      <c r="F160" s="105">
        <f t="shared" si="19"/>
        <v>2.5999999999999999E-2</v>
      </c>
      <c r="G160" s="107">
        <v>0.26800000000000002</v>
      </c>
      <c r="H160" s="107">
        <v>0.28599999999999998</v>
      </c>
      <c r="I160" s="106">
        <v>6.6000000000000003E-2</v>
      </c>
      <c r="J160" s="107">
        <v>2.5999999999999999E-2</v>
      </c>
      <c r="K160" s="94">
        <f>((10/3)*L158)+((2/3)*L170)</f>
        <v>15597</v>
      </c>
      <c r="L160" s="114"/>
      <c r="M160" s="421">
        <f t="shared" si="13"/>
        <v>0.57999999999999996</v>
      </c>
      <c r="N160" s="421">
        <v>0.26</v>
      </c>
      <c r="O160" s="421">
        <f t="shared" si="14"/>
        <v>0.59</v>
      </c>
      <c r="P160" s="421">
        <v>0.34620000000000001</v>
      </c>
      <c r="Q160" s="421">
        <v>0.69640000000000002</v>
      </c>
      <c r="R160" s="421">
        <v>0.57999999999999996</v>
      </c>
      <c r="S160" s="421">
        <v>0.59</v>
      </c>
    </row>
    <row r="161" spans="1:19" s="96" customFormat="1">
      <c r="A161" s="95">
        <f t="shared" si="16"/>
        <v>42338</v>
      </c>
      <c r="B161" s="95">
        <f t="shared" si="15"/>
        <v>42703</v>
      </c>
      <c r="C161" s="105">
        <f t="shared" si="17"/>
        <v>0.26800000000000002</v>
      </c>
      <c r="D161" s="105">
        <f t="shared" si="18"/>
        <v>0.28599999999999998</v>
      </c>
      <c r="E161" s="105">
        <f t="shared" si="20"/>
        <v>6.6000000000000003E-2</v>
      </c>
      <c r="F161" s="105">
        <f t="shared" si="19"/>
        <v>2.5999999999999999E-2</v>
      </c>
      <c r="G161" s="107">
        <v>0.26800000000000002</v>
      </c>
      <c r="H161" s="107">
        <v>0.28599999999999998</v>
      </c>
      <c r="I161" s="106">
        <v>6.6000000000000003E-2</v>
      </c>
      <c r="J161" s="107">
        <v>2.5999999999999999E-2</v>
      </c>
      <c r="K161" s="94">
        <f>((9/3)*L158)+((3/3)*L170)</f>
        <v>15661</v>
      </c>
      <c r="L161" s="114"/>
      <c r="M161" s="421">
        <f t="shared" si="13"/>
        <v>0.57999999999999996</v>
      </c>
      <c r="N161" s="421">
        <v>0.26</v>
      </c>
      <c r="O161" s="421">
        <f t="shared" si="14"/>
        <v>0.59</v>
      </c>
      <c r="P161" s="421">
        <v>0.34620000000000001</v>
      </c>
      <c r="Q161" s="421">
        <v>0.69640000000000002</v>
      </c>
      <c r="R161" s="421">
        <v>0.57999999999999996</v>
      </c>
      <c r="S161" s="421">
        <v>0.59</v>
      </c>
    </row>
    <row r="162" spans="1:19" s="96" customFormat="1">
      <c r="A162" s="95">
        <f t="shared" si="16"/>
        <v>42369</v>
      </c>
      <c r="B162" s="95">
        <f t="shared" si="15"/>
        <v>42734</v>
      </c>
      <c r="C162" s="105">
        <f t="shared" si="17"/>
        <v>0.26800000000000002</v>
      </c>
      <c r="D162" s="105">
        <f t="shared" si="18"/>
        <v>0.28599999999999998</v>
      </c>
      <c r="E162" s="105">
        <f t="shared" si="20"/>
        <v>6.6000000000000003E-2</v>
      </c>
      <c r="F162" s="105">
        <f t="shared" si="19"/>
        <v>2.5999999999999999E-2</v>
      </c>
      <c r="G162" s="107">
        <v>0.26800000000000002</v>
      </c>
      <c r="H162" s="107">
        <v>0.28599999999999998</v>
      </c>
      <c r="I162" s="106">
        <v>6.6000000000000003E-2</v>
      </c>
      <c r="J162" s="107">
        <v>2.5999999999999999E-2</v>
      </c>
      <c r="K162" s="94">
        <f>((8/3)*L158)+((4/3)*L170)</f>
        <v>15726</v>
      </c>
      <c r="L162" s="114"/>
      <c r="M162" s="421">
        <f t="shared" si="13"/>
        <v>0.57999999999999996</v>
      </c>
      <c r="N162" s="421">
        <v>0.26</v>
      </c>
      <c r="O162" s="421">
        <f t="shared" si="14"/>
        <v>0.59</v>
      </c>
      <c r="P162" s="421">
        <v>0.34620000000000001</v>
      </c>
      <c r="Q162" s="421">
        <v>0.69640000000000002</v>
      </c>
      <c r="R162" s="421">
        <v>0.57999999999999996</v>
      </c>
      <c r="S162" s="421">
        <v>0.59</v>
      </c>
    </row>
    <row r="163" spans="1:19" s="96" customFormat="1">
      <c r="A163" s="95">
        <f t="shared" si="16"/>
        <v>42400</v>
      </c>
      <c r="B163" s="95">
        <f t="shared" si="15"/>
        <v>42765</v>
      </c>
      <c r="C163" s="105">
        <f t="shared" si="17"/>
        <v>0.26800000000000002</v>
      </c>
      <c r="D163" s="105">
        <f t="shared" si="18"/>
        <v>0.28599999999999998</v>
      </c>
      <c r="E163" s="105">
        <f t="shared" si="20"/>
        <v>6.6000000000000003E-2</v>
      </c>
      <c r="F163" s="105">
        <f t="shared" si="19"/>
        <v>2.5999999999999999E-2</v>
      </c>
      <c r="G163" s="107">
        <v>0.26800000000000002</v>
      </c>
      <c r="H163" s="107">
        <v>0.28599999999999998</v>
      </c>
      <c r="I163" s="106">
        <v>6.6000000000000003E-2</v>
      </c>
      <c r="J163" s="107">
        <v>2.5999999999999999E-2</v>
      </c>
      <c r="K163" s="94">
        <f>((7/3)*L158)+((5/3)*L170)</f>
        <v>15790</v>
      </c>
      <c r="L163" s="114"/>
      <c r="M163" s="421">
        <f t="shared" si="13"/>
        <v>0.57999999999999996</v>
      </c>
      <c r="N163" s="421">
        <v>0.26</v>
      </c>
      <c r="O163" s="421">
        <f t="shared" si="14"/>
        <v>0.59</v>
      </c>
      <c r="P163" s="421">
        <v>0.34620000000000001</v>
      </c>
      <c r="Q163" s="421">
        <v>0.69640000000000002</v>
      </c>
      <c r="R163" s="421">
        <v>0.57999999999999996</v>
      </c>
      <c r="S163" s="421">
        <v>0.59</v>
      </c>
    </row>
    <row r="164" spans="1:19" s="96" customFormat="1">
      <c r="A164" s="95">
        <f t="shared" si="16"/>
        <v>42429</v>
      </c>
      <c r="B164" s="95">
        <f t="shared" si="15"/>
        <v>42793</v>
      </c>
      <c r="C164" s="105">
        <f t="shared" si="17"/>
        <v>0.26800000000000002</v>
      </c>
      <c r="D164" s="105">
        <f t="shared" si="18"/>
        <v>0.28599999999999998</v>
      </c>
      <c r="E164" s="105">
        <f t="shared" si="20"/>
        <v>6.6000000000000003E-2</v>
      </c>
      <c r="F164" s="105">
        <f t="shared" si="19"/>
        <v>2.5999999999999999E-2</v>
      </c>
      <c r="G164" s="107">
        <v>0.26800000000000002</v>
      </c>
      <c r="H164" s="107">
        <v>0.28599999999999998</v>
      </c>
      <c r="I164" s="106">
        <v>6.6000000000000003E-2</v>
      </c>
      <c r="J164" s="107">
        <v>2.5999999999999999E-2</v>
      </c>
      <c r="K164" s="94">
        <f>((6/3)*L158)+((6/3)*L170)</f>
        <v>15855</v>
      </c>
      <c r="L164" s="114"/>
      <c r="M164" s="421">
        <f t="shared" si="13"/>
        <v>0.57999999999999996</v>
      </c>
      <c r="N164" s="421">
        <v>0.26</v>
      </c>
      <c r="O164" s="421">
        <f t="shared" si="14"/>
        <v>0.59</v>
      </c>
      <c r="P164" s="421">
        <v>0.34620000000000001</v>
      </c>
      <c r="Q164" s="421">
        <v>0.69640000000000002</v>
      </c>
      <c r="R164" s="421">
        <v>0.57999999999999996</v>
      </c>
      <c r="S164" s="421">
        <v>0.59</v>
      </c>
    </row>
    <row r="165" spans="1:19" s="96" customFormat="1">
      <c r="A165" s="95">
        <f t="shared" si="16"/>
        <v>42460</v>
      </c>
      <c r="B165" s="95">
        <f t="shared" si="15"/>
        <v>42824</v>
      </c>
      <c r="C165" s="105">
        <f t="shared" si="17"/>
        <v>0.26800000000000002</v>
      </c>
      <c r="D165" s="105">
        <f t="shared" si="18"/>
        <v>0.28599999999999998</v>
      </c>
      <c r="E165" s="105">
        <f t="shared" si="20"/>
        <v>6.6000000000000003E-2</v>
      </c>
      <c r="F165" s="105">
        <f t="shared" si="19"/>
        <v>2.5999999999999999E-2</v>
      </c>
      <c r="G165" s="107">
        <v>0.26800000000000002</v>
      </c>
      <c r="H165" s="107">
        <v>0.28599999999999998</v>
      </c>
      <c r="I165" s="106">
        <v>6.6000000000000003E-2</v>
      </c>
      <c r="J165" s="107">
        <v>2.5999999999999999E-2</v>
      </c>
      <c r="K165" s="94">
        <f>((5/3)*L158)+((7/3)*L170)</f>
        <v>15919</v>
      </c>
      <c r="L165" s="114"/>
      <c r="M165" s="421">
        <f t="shared" si="13"/>
        <v>0.57999999999999996</v>
      </c>
      <c r="N165" s="421">
        <v>0.26</v>
      </c>
      <c r="O165" s="421">
        <f t="shared" si="14"/>
        <v>0.59</v>
      </c>
      <c r="P165" s="421">
        <v>0.34620000000000001</v>
      </c>
      <c r="Q165" s="421">
        <v>0.69640000000000002</v>
      </c>
      <c r="R165" s="421">
        <v>0.57999999999999996</v>
      </c>
      <c r="S165" s="421">
        <v>0.59</v>
      </c>
    </row>
    <row r="166" spans="1:19" s="96" customFormat="1">
      <c r="A166" s="95">
        <f t="shared" si="16"/>
        <v>42490</v>
      </c>
      <c r="B166" s="95">
        <f t="shared" si="15"/>
        <v>42854</v>
      </c>
      <c r="C166" s="105">
        <f t="shared" si="17"/>
        <v>0.26800000000000002</v>
      </c>
      <c r="D166" s="105">
        <f t="shared" si="18"/>
        <v>0.28599999999999998</v>
      </c>
      <c r="E166" s="105">
        <f t="shared" si="20"/>
        <v>6.6000000000000003E-2</v>
      </c>
      <c r="F166" s="105">
        <f t="shared" si="19"/>
        <v>2.5999999999999999E-2</v>
      </c>
      <c r="G166" s="107">
        <v>0.26800000000000002</v>
      </c>
      <c r="H166" s="107">
        <v>0.28599999999999998</v>
      </c>
      <c r="I166" s="106">
        <v>6.6000000000000003E-2</v>
      </c>
      <c r="J166" s="107">
        <v>2.5999999999999999E-2</v>
      </c>
      <c r="K166" s="94">
        <f>((4/3)*L158)+((8/3)*L170)</f>
        <v>15984</v>
      </c>
      <c r="L166" s="114"/>
      <c r="M166" s="421">
        <f t="shared" si="13"/>
        <v>0.57999999999999996</v>
      </c>
      <c r="N166" s="421">
        <v>0.26</v>
      </c>
      <c r="O166" s="421">
        <f t="shared" si="14"/>
        <v>0.59</v>
      </c>
      <c r="P166" s="421">
        <v>0.34620000000000001</v>
      </c>
      <c r="Q166" s="421">
        <v>0.69640000000000002</v>
      </c>
      <c r="R166" s="421">
        <v>0.57999999999999996</v>
      </c>
      <c r="S166" s="421">
        <v>0.59</v>
      </c>
    </row>
    <row r="167" spans="1:19" s="96" customFormat="1">
      <c r="A167" s="95">
        <f t="shared" si="16"/>
        <v>42521</v>
      </c>
      <c r="B167" s="95">
        <f t="shared" si="15"/>
        <v>42885</v>
      </c>
      <c r="C167" s="105">
        <f t="shared" si="17"/>
        <v>0.26800000000000002</v>
      </c>
      <c r="D167" s="105">
        <f t="shared" si="18"/>
        <v>0.28599999999999998</v>
      </c>
      <c r="E167" s="105">
        <f t="shared" si="20"/>
        <v>6.6000000000000003E-2</v>
      </c>
      <c r="F167" s="105">
        <f t="shared" si="19"/>
        <v>2.5999999999999999E-2</v>
      </c>
      <c r="G167" s="107">
        <v>0.26800000000000002</v>
      </c>
      <c r="H167" s="107">
        <v>0.28599999999999998</v>
      </c>
      <c r="I167" s="106">
        <v>6.6000000000000003E-2</v>
      </c>
      <c r="J167" s="107">
        <v>2.5999999999999999E-2</v>
      </c>
      <c r="K167" s="94">
        <f>((3/3)*L158)+((9/3)*L170)</f>
        <v>16048</v>
      </c>
      <c r="L167" s="114"/>
      <c r="M167" s="421">
        <f t="shared" si="13"/>
        <v>0.57999999999999996</v>
      </c>
      <c r="N167" s="421">
        <v>0.26</v>
      </c>
      <c r="O167" s="421">
        <f t="shared" si="14"/>
        <v>0.59</v>
      </c>
      <c r="P167" s="421">
        <v>0.34620000000000001</v>
      </c>
      <c r="Q167" s="421">
        <v>0.69640000000000002</v>
      </c>
      <c r="R167" s="421">
        <v>0.57999999999999996</v>
      </c>
      <c r="S167" s="421">
        <v>0.59</v>
      </c>
    </row>
    <row r="168" spans="1:19" s="96" customFormat="1">
      <c r="A168" s="95">
        <f t="shared" si="16"/>
        <v>42551</v>
      </c>
      <c r="B168" s="95">
        <f t="shared" si="15"/>
        <v>42915</v>
      </c>
      <c r="C168" s="105">
        <f t="shared" si="17"/>
        <v>0.26800000000000002</v>
      </c>
      <c r="D168" s="105">
        <f t="shared" si="18"/>
        <v>0.28599999999999998</v>
      </c>
      <c r="E168" s="105">
        <f t="shared" si="20"/>
        <v>6.6000000000000003E-2</v>
      </c>
      <c r="F168" s="105">
        <f t="shared" si="19"/>
        <v>2.5999999999999999E-2</v>
      </c>
      <c r="G168" s="107">
        <v>0.26800000000000002</v>
      </c>
      <c r="H168" s="107">
        <v>0.28599999999999998</v>
      </c>
      <c r="I168" s="106">
        <v>6.6000000000000003E-2</v>
      </c>
      <c r="J168" s="107">
        <v>2.5999999999999999E-2</v>
      </c>
      <c r="K168" s="94">
        <f>((2/3)*L158)+((10/3)*L170)</f>
        <v>16113</v>
      </c>
      <c r="L168" s="114"/>
      <c r="M168" s="421">
        <f t="shared" si="13"/>
        <v>0.57999999999999996</v>
      </c>
      <c r="N168" s="421">
        <v>0.26</v>
      </c>
      <c r="O168" s="421">
        <f t="shared" si="14"/>
        <v>0.59</v>
      </c>
      <c r="P168" s="421">
        <v>0.34620000000000001</v>
      </c>
      <c r="Q168" s="421">
        <v>0.69640000000000002</v>
      </c>
      <c r="R168" s="421">
        <v>0.57999999999999996</v>
      </c>
      <c r="S168" s="421">
        <v>0.59</v>
      </c>
    </row>
    <row r="169" spans="1:19" s="96" customFormat="1">
      <c r="A169" s="95">
        <f t="shared" si="16"/>
        <v>42582</v>
      </c>
      <c r="B169" s="95">
        <f t="shared" si="15"/>
        <v>42946</v>
      </c>
      <c r="C169" s="105">
        <f t="shared" si="17"/>
        <v>0.26800000000000002</v>
      </c>
      <c r="D169" s="105">
        <f t="shared" si="18"/>
        <v>0.28599999999999998</v>
      </c>
      <c r="E169" s="105">
        <f t="shared" si="20"/>
        <v>6.6000000000000003E-2</v>
      </c>
      <c r="F169" s="105">
        <f t="shared" si="19"/>
        <v>2.5999999999999999E-2</v>
      </c>
      <c r="G169" s="107">
        <v>0.26800000000000002</v>
      </c>
      <c r="H169" s="107">
        <v>0.28599999999999998</v>
      </c>
      <c r="I169" s="106">
        <v>6.6000000000000003E-2</v>
      </c>
      <c r="J169" s="107">
        <v>2.5999999999999999E-2</v>
      </c>
      <c r="K169" s="94">
        <f>((1/3)*L158)+((11/3)*L170)</f>
        <v>16177</v>
      </c>
      <c r="L169" s="114"/>
      <c r="M169" s="421">
        <f t="shared" si="13"/>
        <v>0.57999999999999996</v>
      </c>
      <c r="N169" s="421">
        <v>0.26</v>
      </c>
      <c r="O169" s="421">
        <f t="shared" si="14"/>
        <v>0.59</v>
      </c>
      <c r="P169" s="421">
        <v>0.34620000000000001</v>
      </c>
      <c r="Q169" s="421">
        <v>0.69640000000000002</v>
      </c>
      <c r="R169" s="421">
        <v>0.57999999999999996</v>
      </c>
      <c r="S169" s="421">
        <v>0.59</v>
      </c>
    </row>
    <row r="170" spans="1:19" s="60" customFormat="1">
      <c r="A170" s="59">
        <f t="shared" si="16"/>
        <v>42613</v>
      </c>
      <c r="B170" s="59">
        <f t="shared" si="15"/>
        <v>42977</v>
      </c>
      <c r="C170" s="102">
        <f t="shared" si="17"/>
        <v>0.26800000000000002</v>
      </c>
      <c r="D170" s="102">
        <f t="shared" si="18"/>
        <v>0.28599999999999998</v>
      </c>
      <c r="E170" s="102">
        <f t="shared" si="20"/>
        <v>6.6000000000000003E-2</v>
      </c>
      <c r="F170" s="102">
        <f t="shared" si="19"/>
        <v>2.5999999999999999E-2</v>
      </c>
      <c r="G170" s="104">
        <v>0.26800000000000002</v>
      </c>
      <c r="H170" s="104">
        <v>0.28599999999999998</v>
      </c>
      <c r="I170" s="103">
        <v>6.6000000000000003E-2</v>
      </c>
      <c r="J170" s="104">
        <v>2.5999999999999999E-2</v>
      </c>
      <c r="K170" s="54">
        <f>(L170*4)</f>
        <v>16241</v>
      </c>
      <c r="L170" s="113">
        <f>L158*1.05</f>
        <v>4060.35</v>
      </c>
      <c r="M170" s="98">
        <f t="shared" si="13"/>
        <v>0.57999999999999996</v>
      </c>
      <c r="N170" s="98">
        <v>0.26</v>
      </c>
      <c r="O170" s="98">
        <f t="shared" si="14"/>
        <v>0.59</v>
      </c>
      <c r="P170" s="98">
        <v>0.34620000000000001</v>
      </c>
      <c r="Q170" s="98">
        <v>0.69640000000000002</v>
      </c>
      <c r="R170" s="98">
        <v>0.57999999999999996</v>
      </c>
      <c r="S170" s="98">
        <v>0.59</v>
      </c>
    </row>
    <row r="171" spans="1:19" s="60" customFormat="1">
      <c r="A171" s="59">
        <f t="shared" si="16"/>
        <v>42643</v>
      </c>
      <c r="B171" s="59">
        <f t="shared" si="15"/>
        <v>43007</v>
      </c>
      <c r="C171" s="102">
        <f t="shared" si="17"/>
        <v>0.26800000000000002</v>
      </c>
      <c r="D171" s="102">
        <f t="shared" si="18"/>
        <v>0.28599999999999998</v>
      </c>
      <c r="E171" s="102">
        <f t="shared" si="20"/>
        <v>6.6000000000000003E-2</v>
      </c>
      <c r="F171" s="102">
        <f t="shared" si="19"/>
        <v>2.5999999999999999E-2</v>
      </c>
      <c r="G171" s="104">
        <v>0.26800000000000002</v>
      </c>
      <c r="H171" s="104">
        <v>0.28599999999999998</v>
      </c>
      <c r="I171" s="103">
        <v>6.6000000000000003E-2</v>
      </c>
      <c r="J171" s="104">
        <v>2.5999999999999999E-2</v>
      </c>
      <c r="K171" s="54">
        <f>((11/3)*L170)+((1/3)*L182)</f>
        <v>16309</v>
      </c>
      <c r="L171" s="113"/>
      <c r="M171" s="98">
        <f t="shared" si="13"/>
        <v>0.58169999999999999</v>
      </c>
      <c r="N171" s="98">
        <v>0.26</v>
      </c>
      <c r="O171" s="98">
        <f t="shared" si="14"/>
        <v>0.5917</v>
      </c>
      <c r="P171" s="98">
        <v>0.34620000000000001</v>
      </c>
      <c r="Q171" s="98">
        <v>0.69640000000000002</v>
      </c>
      <c r="R171" s="98">
        <v>0.57999999999999996</v>
      </c>
      <c r="S171" s="98">
        <v>0.59</v>
      </c>
    </row>
    <row r="172" spans="1:19" s="60" customFormat="1">
      <c r="A172" s="59">
        <f t="shared" si="16"/>
        <v>42674</v>
      </c>
      <c r="B172" s="59">
        <f t="shared" si="15"/>
        <v>43038</v>
      </c>
      <c r="C172" s="102">
        <f t="shared" si="17"/>
        <v>0.26800000000000002</v>
      </c>
      <c r="D172" s="102">
        <f t="shared" si="18"/>
        <v>0.28599999999999998</v>
      </c>
      <c r="E172" s="102">
        <f t="shared" si="20"/>
        <v>6.6000000000000003E-2</v>
      </c>
      <c r="F172" s="102">
        <f t="shared" si="19"/>
        <v>2.5999999999999999E-2</v>
      </c>
      <c r="G172" s="104">
        <v>0.26800000000000002</v>
      </c>
      <c r="H172" s="104">
        <v>0.28599999999999998</v>
      </c>
      <c r="I172" s="103">
        <v>6.6000000000000003E-2</v>
      </c>
      <c r="J172" s="104">
        <v>2.5999999999999999E-2</v>
      </c>
      <c r="K172" s="54">
        <f>((10/3)*L170)+((2/3)*L182)</f>
        <v>16377</v>
      </c>
      <c r="L172" s="113"/>
      <c r="M172" s="98">
        <f t="shared" si="13"/>
        <v>0.58330000000000004</v>
      </c>
      <c r="N172" s="98">
        <v>0.26</v>
      </c>
      <c r="O172" s="98">
        <f t="shared" si="14"/>
        <v>0.59330000000000005</v>
      </c>
      <c r="P172" s="98">
        <v>0.34620000000000001</v>
      </c>
      <c r="Q172" s="98">
        <v>0.69640000000000002</v>
      </c>
      <c r="R172" s="98">
        <v>0.57999999999999996</v>
      </c>
      <c r="S172" s="98">
        <v>0.59</v>
      </c>
    </row>
    <row r="173" spans="1:19" s="60" customFormat="1">
      <c r="A173" s="59">
        <f t="shared" si="16"/>
        <v>42704</v>
      </c>
      <c r="B173" s="59">
        <f t="shared" si="15"/>
        <v>43068</v>
      </c>
      <c r="C173" s="102">
        <f t="shared" si="17"/>
        <v>0.26800000000000002</v>
      </c>
      <c r="D173" s="102">
        <f t="shared" si="18"/>
        <v>0.28599999999999998</v>
      </c>
      <c r="E173" s="102">
        <f t="shared" si="20"/>
        <v>6.6000000000000003E-2</v>
      </c>
      <c r="F173" s="102">
        <f t="shared" si="19"/>
        <v>2.5999999999999999E-2</v>
      </c>
      <c r="G173" s="104">
        <v>0.26800000000000002</v>
      </c>
      <c r="H173" s="104">
        <v>0.28599999999999998</v>
      </c>
      <c r="I173" s="103">
        <v>6.6000000000000003E-2</v>
      </c>
      <c r="J173" s="104">
        <v>2.5999999999999999E-2</v>
      </c>
      <c r="K173" s="54">
        <f>((9/3)*L170)+((3/3)*L182)</f>
        <v>16444</v>
      </c>
      <c r="L173" s="113"/>
      <c r="M173" s="98">
        <f t="shared" si="13"/>
        <v>0.58499999999999996</v>
      </c>
      <c r="N173" s="98">
        <v>0.26</v>
      </c>
      <c r="O173" s="98">
        <f t="shared" si="14"/>
        <v>0.59499999999999997</v>
      </c>
      <c r="P173" s="98">
        <v>0.34620000000000001</v>
      </c>
      <c r="Q173" s="98">
        <v>0.69640000000000002</v>
      </c>
      <c r="R173" s="98">
        <v>0.57999999999999996</v>
      </c>
      <c r="S173" s="98">
        <v>0.59</v>
      </c>
    </row>
    <row r="174" spans="1:19" s="60" customFormat="1">
      <c r="A174" s="59">
        <f t="shared" si="16"/>
        <v>42735</v>
      </c>
      <c r="B174" s="59">
        <f t="shared" si="15"/>
        <v>43099</v>
      </c>
      <c r="C174" s="102">
        <f t="shared" si="17"/>
        <v>0.26800000000000002</v>
      </c>
      <c r="D174" s="102">
        <f t="shared" si="18"/>
        <v>0.28599999999999998</v>
      </c>
      <c r="E174" s="102">
        <f t="shared" si="20"/>
        <v>6.6000000000000003E-2</v>
      </c>
      <c r="F174" s="102">
        <f t="shared" si="19"/>
        <v>2.5999999999999999E-2</v>
      </c>
      <c r="G174" s="104">
        <v>0.26800000000000002</v>
      </c>
      <c r="H174" s="104">
        <v>0.28599999999999998</v>
      </c>
      <c r="I174" s="103">
        <v>6.6000000000000003E-2</v>
      </c>
      <c r="J174" s="104">
        <v>2.5999999999999999E-2</v>
      </c>
      <c r="K174" s="54">
        <f>((8/3)*L170)+((4/3)*L182)</f>
        <v>16512</v>
      </c>
      <c r="L174" s="113"/>
      <c r="M174" s="98">
        <f t="shared" si="13"/>
        <v>0.5867</v>
      </c>
      <c r="N174" s="98">
        <v>0.26</v>
      </c>
      <c r="O174" s="98">
        <f t="shared" si="14"/>
        <v>0.59670000000000001</v>
      </c>
      <c r="P174" s="98">
        <v>0.34620000000000001</v>
      </c>
      <c r="Q174" s="98">
        <v>0.69640000000000002</v>
      </c>
      <c r="R174" s="98">
        <v>0.57999999999999996</v>
      </c>
      <c r="S174" s="98">
        <v>0.59</v>
      </c>
    </row>
    <row r="175" spans="1:19" s="60" customFormat="1">
      <c r="A175" s="59">
        <f t="shared" si="16"/>
        <v>42766</v>
      </c>
      <c r="B175" s="59">
        <f t="shared" si="15"/>
        <v>43130</v>
      </c>
      <c r="C175" s="102">
        <f t="shared" si="17"/>
        <v>0.26800000000000002</v>
      </c>
      <c r="D175" s="102">
        <f t="shared" si="18"/>
        <v>0.28599999999999998</v>
      </c>
      <c r="E175" s="102">
        <f t="shared" si="20"/>
        <v>6.6000000000000003E-2</v>
      </c>
      <c r="F175" s="102">
        <f t="shared" si="19"/>
        <v>2.5999999999999999E-2</v>
      </c>
      <c r="G175" s="104">
        <v>0.26800000000000002</v>
      </c>
      <c r="H175" s="104">
        <v>0.28599999999999998</v>
      </c>
      <c r="I175" s="103">
        <v>6.6000000000000003E-2</v>
      </c>
      <c r="J175" s="104">
        <v>2.5999999999999999E-2</v>
      </c>
      <c r="K175" s="54">
        <f>((7/3)*L170)+((5/3)*L182)</f>
        <v>16580</v>
      </c>
      <c r="L175" s="113"/>
      <c r="M175" s="98">
        <f t="shared" ref="M175:M238" si="21">AVERAGE(R175:R186)</f>
        <v>0.58830000000000005</v>
      </c>
      <c r="N175" s="98">
        <v>0.26</v>
      </c>
      <c r="O175" s="98">
        <f t="shared" ref="O175:O238" si="22">AVERAGE(S175:S186)</f>
        <v>0.59830000000000005</v>
      </c>
      <c r="P175" s="98">
        <v>0.34620000000000001</v>
      </c>
      <c r="Q175" s="98">
        <v>0.69640000000000002</v>
      </c>
      <c r="R175" s="98">
        <v>0.57999999999999996</v>
      </c>
      <c r="S175" s="98">
        <v>0.59</v>
      </c>
    </row>
    <row r="176" spans="1:19" s="60" customFormat="1">
      <c r="A176" s="59">
        <f t="shared" si="16"/>
        <v>42794</v>
      </c>
      <c r="B176" s="59">
        <f t="shared" si="15"/>
        <v>43158</v>
      </c>
      <c r="C176" s="102">
        <f t="shared" si="17"/>
        <v>0.26800000000000002</v>
      </c>
      <c r="D176" s="102">
        <f t="shared" si="18"/>
        <v>0.28599999999999998</v>
      </c>
      <c r="E176" s="102">
        <f t="shared" si="20"/>
        <v>6.6000000000000003E-2</v>
      </c>
      <c r="F176" s="102">
        <f t="shared" si="19"/>
        <v>2.5999999999999999E-2</v>
      </c>
      <c r="G176" s="104">
        <v>0.26800000000000002</v>
      </c>
      <c r="H176" s="104">
        <v>0.28599999999999998</v>
      </c>
      <c r="I176" s="103">
        <v>6.6000000000000003E-2</v>
      </c>
      <c r="J176" s="104">
        <v>2.5999999999999999E-2</v>
      </c>
      <c r="K176" s="54">
        <f>((6/3)*L170)+((6/3)*L182)</f>
        <v>16647</v>
      </c>
      <c r="L176" s="113"/>
      <c r="M176" s="98">
        <f t="shared" si="21"/>
        <v>0.59</v>
      </c>
      <c r="N176" s="98">
        <v>0.26</v>
      </c>
      <c r="O176" s="98">
        <f t="shared" si="22"/>
        <v>0.6</v>
      </c>
      <c r="P176" s="98">
        <v>0.34620000000000001</v>
      </c>
      <c r="Q176" s="98">
        <v>0.69640000000000002</v>
      </c>
      <c r="R176" s="98">
        <v>0.57999999999999996</v>
      </c>
      <c r="S176" s="98">
        <v>0.59</v>
      </c>
    </row>
    <row r="177" spans="1:19" s="60" customFormat="1">
      <c r="A177" s="59">
        <f t="shared" si="16"/>
        <v>42825</v>
      </c>
      <c r="B177" s="59">
        <f t="shared" si="15"/>
        <v>43189</v>
      </c>
      <c r="C177" s="102">
        <f t="shared" si="17"/>
        <v>0.26800000000000002</v>
      </c>
      <c r="D177" s="102">
        <f t="shared" si="18"/>
        <v>0.28599999999999998</v>
      </c>
      <c r="E177" s="102">
        <f t="shared" si="20"/>
        <v>6.6000000000000003E-2</v>
      </c>
      <c r="F177" s="102">
        <f t="shared" si="19"/>
        <v>2.5999999999999999E-2</v>
      </c>
      <c r="G177" s="104">
        <v>0.26800000000000002</v>
      </c>
      <c r="H177" s="104">
        <v>0.28599999999999998</v>
      </c>
      <c r="I177" s="103">
        <v>6.6000000000000003E-2</v>
      </c>
      <c r="J177" s="104">
        <v>2.5999999999999999E-2</v>
      </c>
      <c r="K177" s="54">
        <f>((5/3)*L170)+((7/3)*L182)</f>
        <v>16715</v>
      </c>
      <c r="L177" s="113"/>
      <c r="M177" s="98">
        <f t="shared" si="21"/>
        <v>0.5917</v>
      </c>
      <c r="N177" s="98">
        <v>0.26</v>
      </c>
      <c r="O177" s="98">
        <f t="shared" si="22"/>
        <v>0.60170000000000001</v>
      </c>
      <c r="P177" s="98">
        <v>0.34620000000000001</v>
      </c>
      <c r="Q177" s="98">
        <v>0.69640000000000002</v>
      </c>
      <c r="R177" s="98">
        <v>0.57999999999999996</v>
      </c>
      <c r="S177" s="98">
        <v>0.59</v>
      </c>
    </row>
    <row r="178" spans="1:19" s="60" customFormat="1">
      <c r="A178" s="59">
        <f t="shared" si="16"/>
        <v>42855</v>
      </c>
      <c r="B178" s="59">
        <f t="shared" si="15"/>
        <v>43219</v>
      </c>
      <c r="C178" s="102">
        <f t="shared" si="17"/>
        <v>0.26800000000000002</v>
      </c>
      <c r="D178" s="102">
        <f t="shared" si="18"/>
        <v>0.28599999999999998</v>
      </c>
      <c r="E178" s="102">
        <f t="shared" si="20"/>
        <v>6.6000000000000003E-2</v>
      </c>
      <c r="F178" s="102">
        <f t="shared" si="19"/>
        <v>2.5999999999999999E-2</v>
      </c>
      <c r="G178" s="104">
        <v>0.26800000000000002</v>
      </c>
      <c r="H178" s="104">
        <v>0.28599999999999998</v>
      </c>
      <c r="I178" s="103">
        <v>6.6000000000000003E-2</v>
      </c>
      <c r="J178" s="104">
        <v>2.5999999999999999E-2</v>
      </c>
      <c r="K178" s="54">
        <f>((4/3)*L170)+((8/3)*L182)</f>
        <v>16783</v>
      </c>
      <c r="L178" s="113"/>
      <c r="M178" s="98">
        <f t="shared" si="21"/>
        <v>0.59330000000000005</v>
      </c>
      <c r="N178" s="98">
        <v>0.26</v>
      </c>
      <c r="O178" s="98">
        <f t="shared" si="22"/>
        <v>0.60329999999999995</v>
      </c>
      <c r="P178" s="98">
        <v>0.34620000000000001</v>
      </c>
      <c r="Q178" s="98">
        <v>0.69640000000000002</v>
      </c>
      <c r="R178" s="98">
        <v>0.57999999999999996</v>
      </c>
      <c r="S178" s="98">
        <v>0.59</v>
      </c>
    </row>
    <row r="179" spans="1:19" s="60" customFormat="1">
      <c r="A179" s="59">
        <f t="shared" si="16"/>
        <v>42886</v>
      </c>
      <c r="B179" s="59">
        <f t="shared" si="15"/>
        <v>43250</v>
      </c>
      <c r="C179" s="102">
        <f t="shared" si="17"/>
        <v>0.26800000000000002</v>
      </c>
      <c r="D179" s="102">
        <f t="shared" si="18"/>
        <v>0.28599999999999998</v>
      </c>
      <c r="E179" s="102">
        <f t="shared" si="20"/>
        <v>6.6000000000000003E-2</v>
      </c>
      <c r="F179" s="102">
        <f t="shared" si="19"/>
        <v>2.5999999999999999E-2</v>
      </c>
      <c r="G179" s="104">
        <v>0.26800000000000002</v>
      </c>
      <c r="H179" s="104">
        <v>0.28599999999999998</v>
      </c>
      <c r="I179" s="103">
        <v>6.6000000000000003E-2</v>
      </c>
      <c r="J179" s="104">
        <v>2.5999999999999999E-2</v>
      </c>
      <c r="K179" s="54">
        <f>((3/3)*L170)+((9/3)*L182)</f>
        <v>16850</v>
      </c>
      <c r="L179" s="113"/>
      <c r="M179" s="98">
        <f t="shared" si="21"/>
        <v>0.59499999999999997</v>
      </c>
      <c r="N179" s="98">
        <v>0.26</v>
      </c>
      <c r="O179" s="98">
        <f t="shared" si="22"/>
        <v>0.60499999999999998</v>
      </c>
      <c r="P179" s="98">
        <v>0.34620000000000001</v>
      </c>
      <c r="Q179" s="98">
        <v>0.69640000000000002</v>
      </c>
      <c r="R179" s="98">
        <v>0.57999999999999996</v>
      </c>
      <c r="S179" s="98">
        <v>0.59</v>
      </c>
    </row>
    <row r="180" spans="1:19" s="60" customFormat="1">
      <c r="A180" s="59">
        <f t="shared" si="16"/>
        <v>42916</v>
      </c>
      <c r="B180" s="59">
        <f t="shared" si="15"/>
        <v>43280</v>
      </c>
      <c r="C180" s="102">
        <f t="shared" si="17"/>
        <v>0.26800000000000002</v>
      </c>
      <c r="D180" s="102">
        <f t="shared" si="18"/>
        <v>0.28599999999999998</v>
      </c>
      <c r="E180" s="102">
        <f t="shared" si="20"/>
        <v>6.6000000000000003E-2</v>
      </c>
      <c r="F180" s="102">
        <f t="shared" si="19"/>
        <v>2.5999999999999999E-2</v>
      </c>
      <c r="G180" s="104">
        <v>0.26800000000000002</v>
      </c>
      <c r="H180" s="104">
        <v>0.28599999999999998</v>
      </c>
      <c r="I180" s="103">
        <v>6.6000000000000003E-2</v>
      </c>
      <c r="J180" s="104">
        <v>2.5999999999999999E-2</v>
      </c>
      <c r="K180" s="54">
        <f>((2/3)*L170)+((10/3)*L182)</f>
        <v>16918</v>
      </c>
      <c r="L180" s="113"/>
      <c r="M180" s="98">
        <f t="shared" si="21"/>
        <v>0.59670000000000001</v>
      </c>
      <c r="N180" s="98">
        <v>0.26</v>
      </c>
      <c r="O180" s="98">
        <f t="shared" si="22"/>
        <v>0.60670000000000002</v>
      </c>
      <c r="P180" s="98">
        <v>0.34620000000000001</v>
      </c>
      <c r="Q180" s="98">
        <v>0.69640000000000002</v>
      </c>
      <c r="R180" s="98">
        <v>0.57999999999999996</v>
      </c>
      <c r="S180" s="98">
        <v>0.59</v>
      </c>
    </row>
    <row r="181" spans="1:19" s="60" customFormat="1">
      <c r="A181" s="59">
        <f t="shared" si="16"/>
        <v>42947</v>
      </c>
      <c r="B181" s="59">
        <f t="shared" si="15"/>
        <v>43311</v>
      </c>
      <c r="C181" s="99">
        <f t="shared" si="17"/>
        <v>0.26800000000000002</v>
      </c>
      <c r="D181" s="99">
        <f t="shared" si="18"/>
        <v>0.28599999999999998</v>
      </c>
      <c r="E181" s="99">
        <f t="shared" si="20"/>
        <v>6.6000000000000003E-2</v>
      </c>
      <c r="F181" s="99">
        <f t="shared" si="19"/>
        <v>2.5999999999999999E-2</v>
      </c>
      <c r="G181" s="104">
        <v>0.26800000000000002</v>
      </c>
      <c r="H181" s="104">
        <v>0.28599999999999998</v>
      </c>
      <c r="I181" s="103">
        <v>6.6000000000000003E-2</v>
      </c>
      <c r="J181" s="104">
        <v>2.5999999999999999E-2</v>
      </c>
      <c r="K181" s="54">
        <f>((1/3)*L170)+((11/3)*L182)</f>
        <v>16986</v>
      </c>
      <c r="L181" s="113"/>
      <c r="M181" s="98">
        <f t="shared" si="21"/>
        <v>0.59830000000000005</v>
      </c>
      <c r="N181" s="98">
        <v>0.26</v>
      </c>
      <c r="O181" s="98">
        <f t="shared" si="22"/>
        <v>0.60829999999999995</v>
      </c>
      <c r="P181" s="98">
        <v>0.34620000000000001</v>
      </c>
      <c r="Q181" s="98">
        <v>0.69640000000000002</v>
      </c>
      <c r="R181" s="98">
        <v>0.57999999999999996</v>
      </c>
      <c r="S181" s="98">
        <v>0.59</v>
      </c>
    </row>
    <row r="182" spans="1:19" s="96" customFormat="1">
      <c r="A182" s="95">
        <f t="shared" si="16"/>
        <v>42978</v>
      </c>
      <c r="B182" s="95">
        <f t="shared" si="15"/>
        <v>43342</v>
      </c>
      <c r="C182" s="105">
        <f t="shared" si="17"/>
        <v>0.26800000000000002</v>
      </c>
      <c r="D182" s="105">
        <f t="shared" si="18"/>
        <v>0.28599999999999998</v>
      </c>
      <c r="E182" s="105">
        <f t="shared" si="20"/>
        <v>6.6000000000000003E-2</v>
      </c>
      <c r="F182" s="105">
        <f t="shared" si="19"/>
        <v>2.5999999999999999E-2</v>
      </c>
      <c r="G182" s="107">
        <v>0.26800000000000002</v>
      </c>
      <c r="H182" s="107">
        <v>0.28599999999999998</v>
      </c>
      <c r="I182" s="106">
        <v>6.6000000000000003E-2</v>
      </c>
      <c r="J182" s="107">
        <v>2.5999999999999999E-2</v>
      </c>
      <c r="K182" s="94">
        <f>(L182*4)</f>
        <v>17053</v>
      </c>
      <c r="L182" s="114">
        <f>L170*1.05</f>
        <v>4263.37</v>
      </c>
      <c r="M182" s="421">
        <f t="shared" si="21"/>
        <v>0.6</v>
      </c>
      <c r="N182" s="421">
        <v>0.26</v>
      </c>
      <c r="O182" s="421">
        <f t="shared" si="22"/>
        <v>0.61</v>
      </c>
      <c r="P182" s="421">
        <v>0.34620000000000001</v>
      </c>
      <c r="Q182" s="421">
        <v>0.69640000000000002</v>
      </c>
      <c r="R182" s="421">
        <v>0.6</v>
      </c>
      <c r="S182" s="421">
        <v>0.61</v>
      </c>
    </row>
    <row r="183" spans="1:19" s="96" customFormat="1">
      <c r="A183" s="95">
        <f t="shared" si="16"/>
        <v>43008</v>
      </c>
      <c r="B183" s="95">
        <f t="shared" si="15"/>
        <v>43372</v>
      </c>
      <c r="C183" s="105">
        <f t="shared" si="17"/>
        <v>0.26800000000000002</v>
      </c>
      <c r="D183" s="105">
        <f t="shared" si="18"/>
        <v>0.28599999999999998</v>
      </c>
      <c r="E183" s="105">
        <f t="shared" si="20"/>
        <v>6.6000000000000003E-2</v>
      </c>
      <c r="F183" s="105">
        <f t="shared" si="19"/>
        <v>2.5999999999999999E-2</v>
      </c>
      <c r="G183" s="107">
        <v>0.26800000000000002</v>
      </c>
      <c r="H183" s="107">
        <v>0.28599999999999998</v>
      </c>
      <c r="I183" s="106">
        <v>6.6000000000000003E-2</v>
      </c>
      <c r="J183" s="107">
        <v>2.5999999999999999E-2</v>
      </c>
      <c r="K183" s="94">
        <f>((11/3)*L182)+((1/3)*L194)</f>
        <v>17125</v>
      </c>
      <c r="L183" s="114"/>
      <c r="M183" s="421">
        <f t="shared" si="21"/>
        <v>0.6</v>
      </c>
      <c r="N183" s="421">
        <v>0.26</v>
      </c>
      <c r="O183" s="421">
        <f t="shared" si="22"/>
        <v>0.61</v>
      </c>
      <c r="P183" s="421">
        <v>0.34620000000000001</v>
      </c>
      <c r="Q183" s="421">
        <v>0.69640000000000002</v>
      </c>
      <c r="R183" s="421">
        <v>0.6</v>
      </c>
      <c r="S183" s="421">
        <v>0.61</v>
      </c>
    </row>
    <row r="184" spans="1:19" s="96" customFormat="1">
      <c r="A184" s="95">
        <f t="shared" si="16"/>
        <v>43039</v>
      </c>
      <c r="B184" s="95">
        <f t="shared" si="15"/>
        <v>43403</v>
      </c>
      <c r="C184" s="105">
        <f t="shared" si="17"/>
        <v>0.26800000000000002</v>
      </c>
      <c r="D184" s="105">
        <f t="shared" si="18"/>
        <v>0.28599999999999998</v>
      </c>
      <c r="E184" s="105">
        <f t="shared" si="20"/>
        <v>6.6000000000000003E-2</v>
      </c>
      <c r="F184" s="105">
        <f t="shared" si="19"/>
        <v>2.5999999999999999E-2</v>
      </c>
      <c r="G184" s="107">
        <v>0.26800000000000002</v>
      </c>
      <c r="H184" s="107">
        <v>0.28599999999999998</v>
      </c>
      <c r="I184" s="106">
        <v>6.6000000000000003E-2</v>
      </c>
      <c r="J184" s="107">
        <v>2.5999999999999999E-2</v>
      </c>
      <c r="K184" s="94">
        <f>((10/3)*L182)+((2/3)*L194)</f>
        <v>17196</v>
      </c>
      <c r="L184" s="114"/>
      <c r="M184" s="421">
        <f t="shared" si="21"/>
        <v>0.6</v>
      </c>
      <c r="N184" s="421">
        <v>0.26</v>
      </c>
      <c r="O184" s="421">
        <f t="shared" si="22"/>
        <v>0.61</v>
      </c>
      <c r="P184" s="421">
        <v>0.34620000000000001</v>
      </c>
      <c r="Q184" s="421">
        <v>0.69640000000000002</v>
      </c>
      <c r="R184" s="421">
        <v>0.6</v>
      </c>
      <c r="S184" s="421">
        <v>0.61</v>
      </c>
    </row>
    <row r="185" spans="1:19" s="96" customFormat="1">
      <c r="A185" s="95">
        <f t="shared" si="16"/>
        <v>43069</v>
      </c>
      <c r="B185" s="95">
        <f t="shared" si="15"/>
        <v>43433</v>
      </c>
      <c r="C185" s="105">
        <f t="shared" si="17"/>
        <v>0.26800000000000002</v>
      </c>
      <c r="D185" s="105">
        <f t="shared" si="18"/>
        <v>0.28599999999999998</v>
      </c>
      <c r="E185" s="105">
        <f t="shared" si="20"/>
        <v>6.6000000000000003E-2</v>
      </c>
      <c r="F185" s="105">
        <f t="shared" si="19"/>
        <v>2.5999999999999999E-2</v>
      </c>
      <c r="G185" s="107">
        <v>0.26800000000000002</v>
      </c>
      <c r="H185" s="107">
        <v>0.28599999999999998</v>
      </c>
      <c r="I185" s="106">
        <v>6.6000000000000003E-2</v>
      </c>
      <c r="J185" s="107">
        <v>2.5999999999999999E-2</v>
      </c>
      <c r="K185" s="94">
        <f>((9/3)*L182)+((3/3)*L194)</f>
        <v>17267</v>
      </c>
      <c r="L185" s="114"/>
      <c r="M185" s="421">
        <f t="shared" si="21"/>
        <v>0.6</v>
      </c>
      <c r="N185" s="421">
        <v>0.26</v>
      </c>
      <c r="O185" s="421">
        <f t="shared" si="22"/>
        <v>0.61</v>
      </c>
      <c r="P185" s="421">
        <v>0.34620000000000001</v>
      </c>
      <c r="Q185" s="421">
        <v>0.69640000000000002</v>
      </c>
      <c r="R185" s="421">
        <v>0.6</v>
      </c>
      <c r="S185" s="421">
        <v>0.61</v>
      </c>
    </row>
    <row r="186" spans="1:19" s="96" customFormat="1">
      <c r="A186" s="95">
        <f t="shared" si="16"/>
        <v>43100</v>
      </c>
      <c r="B186" s="95">
        <f t="shared" si="15"/>
        <v>43464</v>
      </c>
      <c r="C186" s="105">
        <f t="shared" si="17"/>
        <v>0.26800000000000002</v>
      </c>
      <c r="D186" s="105">
        <f t="shared" si="18"/>
        <v>0.28599999999999998</v>
      </c>
      <c r="E186" s="105">
        <f t="shared" si="20"/>
        <v>6.6000000000000003E-2</v>
      </c>
      <c r="F186" s="105">
        <f t="shared" si="19"/>
        <v>2.5999999999999999E-2</v>
      </c>
      <c r="G186" s="107">
        <v>0.26800000000000002</v>
      </c>
      <c r="H186" s="107">
        <v>0.28599999999999998</v>
      </c>
      <c r="I186" s="106">
        <v>6.6000000000000003E-2</v>
      </c>
      <c r="J186" s="107">
        <v>2.5999999999999999E-2</v>
      </c>
      <c r="K186" s="94">
        <f>((8/3)*L182)+((4/3)*L194)</f>
        <v>17338</v>
      </c>
      <c r="L186" s="114"/>
      <c r="M186" s="421">
        <f t="shared" si="21"/>
        <v>0.6</v>
      </c>
      <c r="N186" s="421">
        <v>0.26</v>
      </c>
      <c r="O186" s="421">
        <f t="shared" si="22"/>
        <v>0.61</v>
      </c>
      <c r="P186" s="421">
        <v>0.34620000000000001</v>
      </c>
      <c r="Q186" s="421">
        <v>0.69640000000000002</v>
      </c>
      <c r="R186" s="421">
        <v>0.6</v>
      </c>
      <c r="S186" s="421">
        <v>0.61</v>
      </c>
    </row>
    <row r="187" spans="1:19" s="96" customFormat="1">
      <c r="A187" s="95">
        <f t="shared" si="16"/>
        <v>43131</v>
      </c>
      <c r="B187" s="95">
        <f t="shared" si="15"/>
        <v>43495</v>
      </c>
      <c r="C187" s="105">
        <f t="shared" si="17"/>
        <v>0.26800000000000002</v>
      </c>
      <c r="D187" s="105">
        <f t="shared" si="18"/>
        <v>0.28599999999999998</v>
      </c>
      <c r="E187" s="105">
        <f t="shared" si="20"/>
        <v>6.6000000000000003E-2</v>
      </c>
      <c r="F187" s="105">
        <f t="shared" si="19"/>
        <v>2.5999999999999999E-2</v>
      </c>
      <c r="G187" s="107">
        <v>0.26800000000000002</v>
      </c>
      <c r="H187" s="107">
        <v>0.28599999999999998</v>
      </c>
      <c r="I187" s="106">
        <v>6.6000000000000003E-2</v>
      </c>
      <c r="J187" s="107">
        <v>2.5999999999999999E-2</v>
      </c>
      <c r="K187" s="94">
        <f>((7/3)*L182)+((5/3)*L194)</f>
        <v>17409</v>
      </c>
      <c r="L187" s="114"/>
      <c r="M187" s="421">
        <f t="shared" si="21"/>
        <v>0.6</v>
      </c>
      <c r="N187" s="421">
        <v>0.26</v>
      </c>
      <c r="O187" s="421">
        <f t="shared" si="22"/>
        <v>0.61</v>
      </c>
      <c r="P187" s="421">
        <v>0.34620000000000001</v>
      </c>
      <c r="Q187" s="421">
        <v>0.69640000000000002</v>
      </c>
      <c r="R187" s="421">
        <v>0.6</v>
      </c>
      <c r="S187" s="421">
        <v>0.61</v>
      </c>
    </row>
    <row r="188" spans="1:19" s="96" customFormat="1">
      <c r="A188" s="95">
        <f t="shared" si="16"/>
        <v>43159</v>
      </c>
      <c r="B188" s="95">
        <f t="shared" si="15"/>
        <v>43523</v>
      </c>
      <c r="C188" s="105">
        <f t="shared" si="17"/>
        <v>0.26800000000000002</v>
      </c>
      <c r="D188" s="105">
        <f t="shared" si="18"/>
        <v>0.28599999999999998</v>
      </c>
      <c r="E188" s="105">
        <f t="shared" si="20"/>
        <v>6.6000000000000003E-2</v>
      </c>
      <c r="F188" s="105">
        <f t="shared" si="19"/>
        <v>2.5999999999999999E-2</v>
      </c>
      <c r="G188" s="107">
        <v>0.26800000000000002</v>
      </c>
      <c r="H188" s="107">
        <v>0.28599999999999998</v>
      </c>
      <c r="I188" s="106">
        <v>6.6000000000000003E-2</v>
      </c>
      <c r="J188" s="107">
        <v>2.5999999999999999E-2</v>
      </c>
      <c r="K188" s="94">
        <f>((6/3)*L182)+((6/3)*L194)</f>
        <v>17480</v>
      </c>
      <c r="L188" s="114"/>
      <c r="M188" s="421">
        <f t="shared" si="21"/>
        <v>0.6</v>
      </c>
      <c r="N188" s="421">
        <v>0.26</v>
      </c>
      <c r="O188" s="421">
        <f t="shared" si="22"/>
        <v>0.61</v>
      </c>
      <c r="P188" s="421">
        <v>0.34620000000000001</v>
      </c>
      <c r="Q188" s="421">
        <v>0.69640000000000002</v>
      </c>
      <c r="R188" s="421">
        <v>0.6</v>
      </c>
      <c r="S188" s="421">
        <v>0.61</v>
      </c>
    </row>
    <row r="189" spans="1:19" s="96" customFormat="1">
      <c r="A189" s="95">
        <f t="shared" si="16"/>
        <v>43190</v>
      </c>
      <c r="B189" s="95">
        <f t="shared" si="15"/>
        <v>43554</v>
      </c>
      <c r="C189" s="105">
        <f t="shared" si="17"/>
        <v>0.26800000000000002</v>
      </c>
      <c r="D189" s="105">
        <f t="shared" si="18"/>
        <v>0.28599999999999998</v>
      </c>
      <c r="E189" s="105">
        <f t="shared" si="20"/>
        <v>6.6000000000000003E-2</v>
      </c>
      <c r="F189" s="105">
        <f t="shared" si="19"/>
        <v>2.5999999999999999E-2</v>
      </c>
      <c r="G189" s="107">
        <v>0.26800000000000002</v>
      </c>
      <c r="H189" s="107">
        <v>0.28599999999999998</v>
      </c>
      <c r="I189" s="106">
        <v>6.6000000000000003E-2</v>
      </c>
      <c r="J189" s="107">
        <v>2.5999999999999999E-2</v>
      </c>
      <c r="K189" s="94">
        <f>((5/3)*L182)+((7/3)*L194)</f>
        <v>17551</v>
      </c>
      <c r="L189" s="114"/>
      <c r="M189" s="421">
        <f t="shared" si="21"/>
        <v>0.6</v>
      </c>
      <c r="N189" s="421">
        <v>0.26</v>
      </c>
      <c r="O189" s="421">
        <f t="shared" si="22"/>
        <v>0.61</v>
      </c>
      <c r="P189" s="421">
        <v>0.34620000000000001</v>
      </c>
      <c r="Q189" s="421">
        <v>0.69640000000000002</v>
      </c>
      <c r="R189" s="421">
        <v>0.6</v>
      </c>
      <c r="S189" s="421">
        <v>0.61</v>
      </c>
    </row>
    <row r="190" spans="1:19" s="96" customFormat="1">
      <c r="A190" s="95">
        <f t="shared" si="16"/>
        <v>43220</v>
      </c>
      <c r="B190" s="95">
        <f t="shared" si="15"/>
        <v>43584</v>
      </c>
      <c r="C190" s="105">
        <f t="shared" si="17"/>
        <v>0.26800000000000002</v>
      </c>
      <c r="D190" s="105">
        <f t="shared" si="18"/>
        <v>0.28599999999999998</v>
      </c>
      <c r="E190" s="105">
        <f t="shared" si="20"/>
        <v>6.6000000000000003E-2</v>
      </c>
      <c r="F190" s="105">
        <f t="shared" si="19"/>
        <v>2.5999999999999999E-2</v>
      </c>
      <c r="G190" s="107">
        <v>0.26800000000000002</v>
      </c>
      <c r="H190" s="107">
        <v>0.28599999999999998</v>
      </c>
      <c r="I190" s="106">
        <v>6.6000000000000003E-2</v>
      </c>
      <c r="J190" s="107">
        <v>2.5999999999999999E-2</v>
      </c>
      <c r="K190" s="94">
        <f>((4/3)*L182)+((8/3)*L194)</f>
        <v>17622</v>
      </c>
      <c r="L190" s="114"/>
      <c r="M190" s="421">
        <f t="shared" si="21"/>
        <v>0.6</v>
      </c>
      <c r="N190" s="421">
        <v>0.26</v>
      </c>
      <c r="O190" s="421">
        <f t="shared" si="22"/>
        <v>0.61</v>
      </c>
      <c r="P190" s="421">
        <v>0.34620000000000001</v>
      </c>
      <c r="Q190" s="421">
        <v>0.69640000000000002</v>
      </c>
      <c r="R190" s="421">
        <v>0.6</v>
      </c>
      <c r="S190" s="421">
        <v>0.61</v>
      </c>
    </row>
    <row r="191" spans="1:19" s="96" customFormat="1">
      <c r="A191" s="95">
        <f t="shared" si="16"/>
        <v>43251</v>
      </c>
      <c r="B191" s="95">
        <f t="shared" si="15"/>
        <v>43615</v>
      </c>
      <c r="C191" s="105">
        <f t="shared" si="17"/>
        <v>0.26800000000000002</v>
      </c>
      <c r="D191" s="105">
        <f t="shared" si="18"/>
        <v>0.28599999999999998</v>
      </c>
      <c r="E191" s="105">
        <f t="shared" si="20"/>
        <v>6.6000000000000003E-2</v>
      </c>
      <c r="F191" s="105">
        <f t="shared" si="19"/>
        <v>2.5999999999999999E-2</v>
      </c>
      <c r="G191" s="107">
        <v>0.26800000000000002</v>
      </c>
      <c r="H191" s="107">
        <v>0.28599999999999998</v>
      </c>
      <c r="I191" s="106">
        <v>6.6000000000000003E-2</v>
      </c>
      <c r="J191" s="107">
        <v>2.5999999999999999E-2</v>
      </c>
      <c r="K191" s="94">
        <f>((3/3)*L182)+((9/3)*L194)</f>
        <v>17693</v>
      </c>
      <c r="L191" s="114"/>
      <c r="M191" s="421">
        <f t="shared" si="21"/>
        <v>0.6</v>
      </c>
      <c r="N191" s="421">
        <v>0.26</v>
      </c>
      <c r="O191" s="421">
        <f t="shared" si="22"/>
        <v>0.61</v>
      </c>
      <c r="P191" s="421">
        <v>0.34620000000000001</v>
      </c>
      <c r="Q191" s="421">
        <v>0.69640000000000002</v>
      </c>
      <c r="R191" s="421">
        <v>0.6</v>
      </c>
      <c r="S191" s="421">
        <v>0.61</v>
      </c>
    </row>
    <row r="192" spans="1:19" s="96" customFormat="1">
      <c r="A192" s="95">
        <f t="shared" si="16"/>
        <v>43281</v>
      </c>
      <c r="B192" s="95">
        <f t="shared" si="15"/>
        <v>43645</v>
      </c>
      <c r="C192" s="105">
        <f t="shared" si="17"/>
        <v>0.26800000000000002</v>
      </c>
      <c r="D192" s="105">
        <f t="shared" si="18"/>
        <v>0.28599999999999998</v>
      </c>
      <c r="E192" s="105">
        <f t="shared" si="20"/>
        <v>6.6000000000000003E-2</v>
      </c>
      <c r="F192" s="105">
        <f t="shared" si="19"/>
        <v>2.5999999999999999E-2</v>
      </c>
      <c r="G192" s="107">
        <v>0.26800000000000002</v>
      </c>
      <c r="H192" s="107">
        <v>0.28599999999999998</v>
      </c>
      <c r="I192" s="106">
        <v>6.6000000000000003E-2</v>
      </c>
      <c r="J192" s="107">
        <v>2.5999999999999999E-2</v>
      </c>
      <c r="K192" s="94">
        <f>((2/3)*L182)+((10/3)*L194)</f>
        <v>17764</v>
      </c>
      <c r="L192" s="114"/>
      <c r="M192" s="421">
        <f t="shared" si="21"/>
        <v>0.6</v>
      </c>
      <c r="N192" s="421">
        <v>0.26</v>
      </c>
      <c r="O192" s="421">
        <f t="shared" si="22"/>
        <v>0.61</v>
      </c>
      <c r="P192" s="421">
        <v>0.34620000000000001</v>
      </c>
      <c r="Q192" s="421">
        <v>0.69640000000000002</v>
      </c>
      <c r="R192" s="421">
        <v>0.6</v>
      </c>
      <c r="S192" s="421">
        <v>0.61</v>
      </c>
    </row>
    <row r="193" spans="1:19" s="96" customFormat="1">
      <c r="A193" s="95">
        <f t="shared" si="16"/>
        <v>43312</v>
      </c>
      <c r="B193" s="95">
        <f t="shared" si="15"/>
        <v>43676</v>
      </c>
      <c r="C193" s="105">
        <f t="shared" si="17"/>
        <v>0.26800000000000002</v>
      </c>
      <c r="D193" s="105">
        <f t="shared" si="18"/>
        <v>0.28599999999999998</v>
      </c>
      <c r="E193" s="105">
        <f t="shared" si="20"/>
        <v>6.6000000000000003E-2</v>
      </c>
      <c r="F193" s="105">
        <f t="shared" si="19"/>
        <v>2.5999999999999999E-2</v>
      </c>
      <c r="G193" s="107">
        <v>0.26800000000000002</v>
      </c>
      <c r="H193" s="107">
        <v>0.28599999999999998</v>
      </c>
      <c r="I193" s="106">
        <v>6.6000000000000003E-2</v>
      </c>
      <c r="J193" s="107">
        <v>2.5999999999999999E-2</v>
      </c>
      <c r="K193" s="94">
        <f>((1/3)*L182)+((11/3)*L194)</f>
        <v>17835</v>
      </c>
      <c r="L193" s="114"/>
      <c r="M193" s="421">
        <f t="shared" si="21"/>
        <v>0.6</v>
      </c>
      <c r="N193" s="421">
        <v>0.26</v>
      </c>
      <c r="O193" s="421">
        <f t="shared" si="22"/>
        <v>0.61</v>
      </c>
      <c r="P193" s="421">
        <v>0.34620000000000001</v>
      </c>
      <c r="Q193" s="421">
        <v>0.69640000000000002</v>
      </c>
      <c r="R193" s="421">
        <v>0.6</v>
      </c>
      <c r="S193" s="421">
        <v>0.61</v>
      </c>
    </row>
    <row r="194" spans="1:19" s="60" customFormat="1">
      <c r="A194" s="59">
        <f t="shared" si="16"/>
        <v>43343</v>
      </c>
      <c r="B194" s="59">
        <f t="shared" ref="B194:B257" si="23">EDATE(A194,12)-1</f>
        <v>43707</v>
      </c>
      <c r="C194" s="102">
        <f t="shared" si="17"/>
        <v>0.26800000000000002</v>
      </c>
      <c r="D194" s="102">
        <f t="shared" si="18"/>
        <v>0.28599999999999998</v>
      </c>
      <c r="E194" s="102">
        <f t="shared" si="20"/>
        <v>6.6000000000000003E-2</v>
      </c>
      <c r="F194" s="102">
        <f t="shared" si="19"/>
        <v>2.5999999999999999E-2</v>
      </c>
      <c r="G194" s="104">
        <v>0.26800000000000002</v>
      </c>
      <c r="H194" s="104">
        <v>0.28599999999999998</v>
      </c>
      <c r="I194" s="103">
        <v>6.6000000000000003E-2</v>
      </c>
      <c r="J194" s="104">
        <v>2.5999999999999999E-2</v>
      </c>
      <c r="K194" s="54">
        <f>(L194*4)</f>
        <v>17906</v>
      </c>
      <c r="L194" s="113">
        <f>L182*1.05</f>
        <v>4476.54</v>
      </c>
      <c r="M194" s="98">
        <f t="shared" si="21"/>
        <v>0.6</v>
      </c>
      <c r="N194" s="98">
        <v>0.26</v>
      </c>
      <c r="O194" s="98">
        <f t="shared" si="22"/>
        <v>0.61</v>
      </c>
      <c r="P194" s="98">
        <v>0.34620000000000001</v>
      </c>
      <c r="Q194" s="98">
        <v>0.69640000000000002</v>
      </c>
      <c r="R194" s="98">
        <v>0.6</v>
      </c>
      <c r="S194" s="98">
        <v>0.61</v>
      </c>
    </row>
    <row r="195" spans="1:19" s="60" customFormat="1">
      <c r="A195" s="59">
        <f t="shared" ref="A195:A258" si="24">EDATE(A194,1)</f>
        <v>43373</v>
      </c>
      <c r="B195" s="59">
        <f t="shared" si="23"/>
        <v>43737</v>
      </c>
      <c r="C195" s="102">
        <f t="shared" ref="C195:F210" si="25">AVERAGE(G195:G206)</f>
        <v>0.26800000000000002</v>
      </c>
      <c r="D195" s="102">
        <f t="shared" si="25"/>
        <v>0.28599999999999998</v>
      </c>
      <c r="E195" s="102">
        <f t="shared" si="20"/>
        <v>6.6000000000000003E-2</v>
      </c>
      <c r="F195" s="102">
        <f t="shared" si="19"/>
        <v>2.5999999999999999E-2</v>
      </c>
      <c r="G195" s="104">
        <v>0.26800000000000002</v>
      </c>
      <c r="H195" s="104">
        <v>0.28599999999999998</v>
      </c>
      <c r="I195" s="103">
        <v>6.6000000000000003E-2</v>
      </c>
      <c r="J195" s="104">
        <v>2.5999999999999999E-2</v>
      </c>
      <c r="K195" s="54">
        <f>((11/3)*L194)+((1/3)*L206)</f>
        <v>17981</v>
      </c>
      <c r="L195" s="113"/>
      <c r="M195" s="98">
        <f t="shared" si="21"/>
        <v>0.6</v>
      </c>
      <c r="N195" s="98">
        <v>0.26</v>
      </c>
      <c r="O195" s="98">
        <f t="shared" si="22"/>
        <v>0.61</v>
      </c>
      <c r="P195" s="98">
        <v>0.34620000000000001</v>
      </c>
      <c r="Q195" s="98">
        <v>0.69640000000000002</v>
      </c>
      <c r="R195" s="98">
        <v>0.6</v>
      </c>
      <c r="S195" s="98">
        <v>0.61</v>
      </c>
    </row>
    <row r="196" spans="1:19" s="60" customFormat="1">
      <c r="A196" s="59">
        <f t="shared" si="24"/>
        <v>43404</v>
      </c>
      <c r="B196" s="59">
        <f t="shared" si="23"/>
        <v>43768</v>
      </c>
      <c r="C196" s="102">
        <f t="shared" si="25"/>
        <v>0.26800000000000002</v>
      </c>
      <c r="D196" s="102">
        <f t="shared" si="25"/>
        <v>0.28599999999999998</v>
      </c>
      <c r="E196" s="102">
        <f t="shared" si="20"/>
        <v>6.6000000000000003E-2</v>
      </c>
      <c r="F196" s="102">
        <f t="shared" si="20"/>
        <v>2.5999999999999999E-2</v>
      </c>
      <c r="G196" s="104">
        <v>0.26800000000000002</v>
      </c>
      <c r="H196" s="104">
        <v>0.28599999999999998</v>
      </c>
      <c r="I196" s="103">
        <v>6.6000000000000003E-2</v>
      </c>
      <c r="J196" s="104">
        <v>2.5999999999999999E-2</v>
      </c>
      <c r="K196" s="54">
        <f>((10/3)*L194)+((2/3)*L206)</f>
        <v>18055</v>
      </c>
      <c r="L196" s="113"/>
      <c r="M196" s="98">
        <f t="shared" si="21"/>
        <v>0.6</v>
      </c>
      <c r="N196" s="98">
        <v>0.26</v>
      </c>
      <c r="O196" s="98">
        <f t="shared" si="22"/>
        <v>0.61</v>
      </c>
      <c r="P196" s="98">
        <v>0.34620000000000001</v>
      </c>
      <c r="Q196" s="98">
        <v>0.69640000000000002</v>
      </c>
      <c r="R196" s="98">
        <v>0.6</v>
      </c>
      <c r="S196" s="98">
        <v>0.61</v>
      </c>
    </row>
    <row r="197" spans="1:19" s="60" customFormat="1">
      <c r="A197" s="59">
        <f t="shared" si="24"/>
        <v>43434</v>
      </c>
      <c r="B197" s="59">
        <f t="shared" si="23"/>
        <v>43798</v>
      </c>
      <c r="C197" s="102">
        <f t="shared" si="25"/>
        <v>0.26800000000000002</v>
      </c>
      <c r="D197" s="102">
        <f t="shared" si="25"/>
        <v>0.28599999999999998</v>
      </c>
      <c r="E197" s="102">
        <f t="shared" si="25"/>
        <v>6.6000000000000003E-2</v>
      </c>
      <c r="F197" s="102">
        <f t="shared" si="25"/>
        <v>2.5999999999999999E-2</v>
      </c>
      <c r="G197" s="104">
        <v>0.26800000000000002</v>
      </c>
      <c r="H197" s="104">
        <v>0.28599999999999998</v>
      </c>
      <c r="I197" s="103">
        <v>6.6000000000000003E-2</v>
      </c>
      <c r="J197" s="104">
        <v>2.5999999999999999E-2</v>
      </c>
      <c r="K197" s="54">
        <f>((9/3)*L194)+((3/3)*L206)</f>
        <v>18130</v>
      </c>
      <c r="L197" s="113"/>
      <c r="M197" s="98">
        <f t="shared" si="21"/>
        <v>0.6</v>
      </c>
      <c r="N197" s="98">
        <v>0.26</v>
      </c>
      <c r="O197" s="98">
        <f t="shared" si="22"/>
        <v>0.61</v>
      </c>
      <c r="P197" s="98">
        <v>0.34620000000000001</v>
      </c>
      <c r="Q197" s="98">
        <v>0.69640000000000002</v>
      </c>
      <c r="R197" s="98">
        <v>0.6</v>
      </c>
      <c r="S197" s="98">
        <v>0.61</v>
      </c>
    </row>
    <row r="198" spans="1:19" s="60" customFormat="1">
      <c r="A198" s="59">
        <f t="shared" si="24"/>
        <v>43465</v>
      </c>
      <c r="B198" s="59">
        <f t="shared" si="23"/>
        <v>43829</v>
      </c>
      <c r="C198" s="102">
        <f t="shared" si="25"/>
        <v>0.26800000000000002</v>
      </c>
      <c r="D198" s="102">
        <f t="shared" si="25"/>
        <v>0.28599999999999998</v>
      </c>
      <c r="E198" s="102">
        <f t="shared" si="25"/>
        <v>6.6000000000000003E-2</v>
      </c>
      <c r="F198" s="102">
        <f t="shared" si="25"/>
        <v>2.5999999999999999E-2</v>
      </c>
      <c r="G198" s="104">
        <v>0.26800000000000002</v>
      </c>
      <c r="H198" s="104">
        <v>0.28599999999999998</v>
      </c>
      <c r="I198" s="103">
        <v>6.6000000000000003E-2</v>
      </c>
      <c r="J198" s="104">
        <v>2.5999999999999999E-2</v>
      </c>
      <c r="K198" s="54">
        <f>((8/3)*L194)+((4/3)*L206)</f>
        <v>18205</v>
      </c>
      <c r="L198" s="113"/>
      <c r="M198" s="98">
        <f t="shared" si="21"/>
        <v>0.6</v>
      </c>
      <c r="N198" s="98">
        <v>0.26</v>
      </c>
      <c r="O198" s="98">
        <f t="shared" si="22"/>
        <v>0.61</v>
      </c>
      <c r="P198" s="98">
        <v>0.34620000000000001</v>
      </c>
      <c r="Q198" s="98">
        <v>0.69640000000000002</v>
      </c>
      <c r="R198" s="98">
        <v>0.6</v>
      </c>
      <c r="S198" s="98">
        <v>0.61</v>
      </c>
    </row>
    <row r="199" spans="1:19" s="60" customFormat="1">
      <c r="A199" s="59">
        <f t="shared" si="24"/>
        <v>43496</v>
      </c>
      <c r="B199" s="59">
        <f t="shared" si="23"/>
        <v>43860</v>
      </c>
      <c r="C199" s="102">
        <f t="shared" si="25"/>
        <v>0.26800000000000002</v>
      </c>
      <c r="D199" s="102">
        <f t="shared" si="25"/>
        <v>0.28599999999999998</v>
      </c>
      <c r="E199" s="102">
        <f t="shared" si="25"/>
        <v>6.6000000000000003E-2</v>
      </c>
      <c r="F199" s="102">
        <f t="shared" si="25"/>
        <v>2.5999999999999999E-2</v>
      </c>
      <c r="G199" s="104">
        <v>0.26800000000000002</v>
      </c>
      <c r="H199" s="104">
        <v>0.28599999999999998</v>
      </c>
      <c r="I199" s="103">
        <v>6.6000000000000003E-2</v>
      </c>
      <c r="J199" s="104">
        <v>2.5999999999999999E-2</v>
      </c>
      <c r="K199" s="54">
        <f>((7/3)*L194)+((5/3)*L206)</f>
        <v>18279</v>
      </c>
      <c r="L199" s="113"/>
      <c r="M199" s="98">
        <f t="shared" si="21"/>
        <v>0.6</v>
      </c>
      <c r="N199" s="98">
        <v>0.26</v>
      </c>
      <c r="O199" s="98">
        <f t="shared" si="22"/>
        <v>0.61</v>
      </c>
      <c r="P199" s="98">
        <v>0.34620000000000001</v>
      </c>
      <c r="Q199" s="98">
        <v>0.69640000000000002</v>
      </c>
      <c r="R199" s="98">
        <v>0.6</v>
      </c>
      <c r="S199" s="98">
        <v>0.61</v>
      </c>
    </row>
    <row r="200" spans="1:19" s="60" customFormat="1">
      <c r="A200" s="59">
        <f t="shared" si="24"/>
        <v>43524</v>
      </c>
      <c r="B200" s="59">
        <f t="shared" si="23"/>
        <v>43889</v>
      </c>
      <c r="C200" s="102">
        <f t="shared" si="25"/>
        <v>0.26800000000000002</v>
      </c>
      <c r="D200" s="102">
        <f t="shared" si="25"/>
        <v>0.28599999999999998</v>
      </c>
      <c r="E200" s="102">
        <f t="shared" si="25"/>
        <v>6.6000000000000003E-2</v>
      </c>
      <c r="F200" s="102">
        <f t="shared" si="25"/>
        <v>2.5999999999999999E-2</v>
      </c>
      <c r="G200" s="104">
        <v>0.26800000000000002</v>
      </c>
      <c r="H200" s="104">
        <v>0.28599999999999998</v>
      </c>
      <c r="I200" s="103">
        <v>6.6000000000000003E-2</v>
      </c>
      <c r="J200" s="104">
        <v>2.5999999999999999E-2</v>
      </c>
      <c r="K200" s="54">
        <f>((6/3)*L194)+((6/3)*L206)</f>
        <v>18354</v>
      </c>
      <c r="L200" s="113"/>
      <c r="M200" s="98">
        <f t="shared" si="21"/>
        <v>0.6</v>
      </c>
      <c r="N200" s="98">
        <v>0.26</v>
      </c>
      <c r="O200" s="98">
        <f t="shared" si="22"/>
        <v>0.61</v>
      </c>
      <c r="P200" s="98">
        <v>0.34620000000000001</v>
      </c>
      <c r="Q200" s="98">
        <v>0.69640000000000002</v>
      </c>
      <c r="R200" s="98">
        <v>0.6</v>
      </c>
      <c r="S200" s="98">
        <v>0.61</v>
      </c>
    </row>
    <row r="201" spans="1:19" s="60" customFormat="1">
      <c r="A201" s="59">
        <f t="shared" si="24"/>
        <v>43555</v>
      </c>
      <c r="B201" s="59">
        <f t="shared" si="23"/>
        <v>43920</v>
      </c>
      <c r="C201" s="102">
        <f t="shared" si="25"/>
        <v>0.26800000000000002</v>
      </c>
      <c r="D201" s="102">
        <f t="shared" si="25"/>
        <v>0.28599999999999998</v>
      </c>
      <c r="E201" s="102">
        <f t="shared" si="25"/>
        <v>6.6000000000000003E-2</v>
      </c>
      <c r="F201" s="102">
        <f t="shared" si="25"/>
        <v>2.5999999999999999E-2</v>
      </c>
      <c r="G201" s="104">
        <v>0.26800000000000002</v>
      </c>
      <c r="H201" s="104">
        <v>0.28599999999999998</v>
      </c>
      <c r="I201" s="103">
        <v>6.6000000000000003E-2</v>
      </c>
      <c r="J201" s="104">
        <v>2.5999999999999999E-2</v>
      </c>
      <c r="K201" s="54">
        <f>((5/3)*L194)+((7/3)*L206)</f>
        <v>18428</v>
      </c>
      <c r="L201" s="113"/>
      <c r="M201" s="98">
        <f t="shared" si="21"/>
        <v>0.6</v>
      </c>
      <c r="N201" s="98">
        <v>0.26</v>
      </c>
      <c r="O201" s="98">
        <f t="shared" si="22"/>
        <v>0.61</v>
      </c>
      <c r="P201" s="98">
        <v>0.34620000000000001</v>
      </c>
      <c r="Q201" s="98">
        <v>0.69640000000000002</v>
      </c>
      <c r="R201" s="98">
        <v>0.6</v>
      </c>
      <c r="S201" s="98">
        <v>0.61</v>
      </c>
    </row>
    <row r="202" spans="1:19" s="60" customFormat="1">
      <c r="A202" s="59">
        <f t="shared" si="24"/>
        <v>43585</v>
      </c>
      <c r="B202" s="59">
        <f t="shared" si="23"/>
        <v>43950</v>
      </c>
      <c r="C202" s="102">
        <f t="shared" si="25"/>
        <v>0.26800000000000002</v>
      </c>
      <c r="D202" s="102">
        <f t="shared" si="25"/>
        <v>0.28599999999999998</v>
      </c>
      <c r="E202" s="102">
        <f t="shared" si="25"/>
        <v>6.6000000000000003E-2</v>
      </c>
      <c r="F202" s="102">
        <f t="shared" si="25"/>
        <v>2.5999999999999999E-2</v>
      </c>
      <c r="G202" s="104">
        <v>0.26800000000000002</v>
      </c>
      <c r="H202" s="104">
        <v>0.28599999999999998</v>
      </c>
      <c r="I202" s="103">
        <v>6.6000000000000003E-2</v>
      </c>
      <c r="J202" s="104">
        <v>2.5999999999999999E-2</v>
      </c>
      <c r="K202" s="54">
        <f>((4/3)*L194)+((8/3)*L206)</f>
        <v>18503</v>
      </c>
      <c r="L202" s="113"/>
      <c r="M202" s="98">
        <f t="shared" si="21"/>
        <v>0.6</v>
      </c>
      <c r="N202" s="98">
        <v>0.26</v>
      </c>
      <c r="O202" s="98">
        <f t="shared" si="22"/>
        <v>0.61</v>
      </c>
      <c r="P202" s="98">
        <v>0.34620000000000001</v>
      </c>
      <c r="Q202" s="98">
        <v>0.69640000000000002</v>
      </c>
      <c r="R202" s="98">
        <v>0.6</v>
      </c>
      <c r="S202" s="98">
        <v>0.61</v>
      </c>
    </row>
    <row r="203" spans="1:19" s="60" customFormat="1">
      <c r="A203" s="59">
        <f t="shared" si="24"/>
        <v>43616</v>
      </c>
      <c r="B203" s="59">
        <f t="shared" si="23"/>
        <v>43981</v>
      </c>
      <c r="C203" s="102">
        <f t="shared" si="25"/>
        <v>0.26800000000000002</v>
      </c>
      <c r="D203" s="102">
        <f t="shared" si="25"/>
        <v>0.28599999999999998</v>
      </c>
      <c r="E203" s="102">
        <f t="shared" si="25"/>
        <v>6.6000000000000003E-2</v>
      </c>
      <c r="F203" s="102">
        <f t="shared" si="25"/>
        <v>2.5999999999999999E-2</v>
      </c>
      <c r="G203" s="104">
        <v>0.26800000000000002</v>
      </c>
      <c r="H203" s="104">
        <v>0.28599999999999998</v>
      </c>
      <c r="I203" s="103">
        <v>6.6000000000000003E-2</v>
      </c>
      <c r="J203" s="104">
        <v>2.5999999999999999E-2</v>
      </c>
      <c r="K203" s="54">
        <f>((3/3)*L194)+((9/3)*L206)</f>
        <v>18578</v>
      </c>
      <c r="L203" s="113"/>
      <c r="M203" s="98">
        <f t="shared" si="21"/>
        <v>0.6</v>
      </c>
      <c r="N203" s="98">
        <v>0.26</v>
      </c>
      <c r="O203" s="98">
        <f t="shared" si="22"/>
        <v>0.61</v>
      </c>
      <c r="P203" s="98">
        <v>0.34620000000000001</v>
      </c>
      <c r="Q203" s="98">
        <v>0.69640000000000002</v>
      </c>
      <c r="R203" s="98">
        <v>0.6</v>
      </c>
      <c r="S203" s="98">
        <v>0.61</v>
      </c>
    </row>
    <row r="204" spans="1:19" s="60" customFormat="1">
      <c r="A204" s="59">
        <f t="shared" si="24"/>
        <v>43646</v>
      </c>
      <c r="B204" s="59">
        <f t="shared" si="23"/>
        <v>44011</v>
      </c>
      <c r="C204" s="102">
        <f t="shared" si="25"/>
        <v>0.26800000000000002</v>
      </c>
      <c r="D204" s="102">
        <f t="shared" si="25"/>
        <v>0.28599999999999998</v>
      </c>
      <c r="E204" s="102">
        <f t="shared" si="25"/>
        <v>6.6000000000000003E-2</v>
      </c>
      <c r="F204" s="102">
        <f t="shared" si="25"/>
        <v>2.5999999999999999E-2</v>
      </c>
      <c r="G204" s="104">
        <v>0.26800000000000002</v>
      </c>
      <c r="H204" s="104">
        <v>0.28599999999999998</v>
      </c>
      <c r="I204" s="103">
        <v>6.6000000000000003E-2</v>
      </c>
      <c r="J204" s="104">
        <v>2.5999999999999999E-2</v>
      </c>
      <c r="K204" s="54">
        <f>((2/3)*L194)+((10/3)*L206)</f>
        <v>18652</v>
      </c>
      <c r="L204" s="113"/>
      <c r="M204" s="98">
        <f t="shared" si="21"/>
        <v>0.6</v>
      </c>
      <c r="N204" s="98">
        <v>0.26</v>
      </c>
      <c r="O204" s="98">
        <f t="shared" si="22"/>
        <v>0.61</v>
      </c>
      <c r="P204" s="98">
        <v>0.34620000000000001</v>
      </c>
      <c r="Q204" s="98">
        <v>0.69640000000000002</v>
      </c>
      <c r="R204" s="98">
        <v>0.6</v>
      </c>
      <c r="S204" s="98">
        <v>0.61</v>
      </c>
    </row>
    <row r="205" spans="1:19" s="60" customFormat="1">
      <c r="A205" s="59">
        <f t="shared" si="24"/>
        <v>43677</v>
      </c>
      <c r="B205" s="59">
        <f t="shared" si="23"/>
        <v>44042</v>
      </c>
      <c r="C205" s="99">
        <f t="shared" si="25"/>
        <v>0.26800000000000002</v>
      </c>
      <c r="D205" s="99">
        <f t="shared" si="25"/>
        <v>0.28599999999999998</v>
      </c>
      <c r="E205" s="99">
        <f t="shared" si="25"/>
        <v>6.6000000000000003E-2</v>
      </c>
      <c r="F205" s="99">
        <f t="shared" si="25"/>
        <v>2.5999999999999999E-2</v>
      </c>
      <c r="G205" s="104">
        <v>0.26800000000000002</v>
      </c>
      <c r="H205" s="104">
        <v>0.28599999999999998</v>
      </c>
      <c r="I205" s="103">
        <v>6.6000000000000003E-2</v>
      </c>
      <c r="J205" s="104">
        <v>2.5999999999999999E-2</v>
      </c>
      <c r="K205" s="54">
        <f>((1/3)*L194)+((11/3)*L206)</f>
        <v>18727</v>
      </c>
      <c r="L205" s="113"/>
      <c r="M205" s="98">
        <f t="shared" si="21"/>
        <v>0.6</v>
      </c>
      <c r="N205" s="98">
        <v>0.26</v>
      </c>
      <c r="O205" s="98">
        <f t="shared" si="22"/>
        <v>0.61</v>
      </c>
      <c r="P205" s="98">
        <v>0.34620000000000001</v>
      </c>
      <c r="Q205" s="98">
        <v>0.69640000000000002</v>
      </c>
      <c r="R205" s="98">
        <v>0.6</v>
      </c>
      <c r="S205" s="98">
        <v>0.61</v>
      </c>
    </row>
    <row r="206" spans="1:19" s="96" customFormat="1">
      <c r="A206" s="95">
        <f t="shared" si="24"/>
        <v>43708</v>
      </c>
      <c r="B206" s="95">
        <f t="shared" si="23"/>
        <v>44073</v>
      </c>
      <c r="C206" s="105">
        <f t="shared" si="25"/>
        <v>0.26800000000000002</v>
      </c>
      <c r="D206" s="105">
        <f t="shared" si="25"/>
        <v>0.28599999999999998</v>
      </c>
      <c r="E206" s="105">
        <f t="shared" si="25"/>
        <v>6.6000000000000003E-2</v>
      </c>
      <c r="F206" s="105">
        <f t="shared" si="25"/>
        <v>2.5999999999999999E-2</v>
      </c>
      <c r="G206" s="107">
        <v>0.26800000000000002</v>
      </c>
      <c r="H206" s="107">
        <v>0.28599999999999998</v>
      </c>
      <c r="I206" s="106">
        <v>6.6000000000000003E-2</v>
      </c>
      <c r="J206" s="107">
        <v>2.5999999999999999E-2</v>
      </c>
      <c r="K206" s="94">
        <f>(L206*4)</f>
        <v>18801</v>
      </c>
      <c r="L206" s="114">
        <f>L194*1.05</f>
        <v>4700.37</v>
      </c>
      <c r="M206" s="421">
        <f t="shared" si="21"/>
        <v>0.6</v>
      </c>
      <c r="N206" s="421">
        <v>0.26</v>
      </c>
      <c r="O206" s="421">
        <f t="shared" si="22"/>
        <v>0.61</v>
      </c>
      <c r="P206" s="421">
        <v>0.34620000000000001</v>
      </c>
      <c r="Q206" s="421">
        <v>0.69640000000000002</v>
      </c>
      <c r="R206" s="421">
        <v>0.6</v>
      </c>
      <c r="S206" s="421">
        <v>0.61</v>
      </c>
    </row>
    <row r="207" spans="1:19" s="96" customFormat="1">
      <c r="A207" s="95">
        <f t="shared" si="24"/>
        <v>43738</v>
      </c>
      <c r="B207" s="95">
        <f t="shared" si="23"/>
        <v>44103</v>
      </c>
      <c r="C207" s="105">
        <f t="shared" si="25"/>
        <v>0.26800000000000002</v>
      </c>
      <c r="D207" s="105">
        <f t="shared" si="25"/>
        <v>0.28599999999999998</v>
      </c>
      <c r="E207" s="105">
        <f t="shared" si="25"/>
        <v>6.6000000000000003E-2</v>
      </c>
      <c r="F207" s="105">
        <f t="shared" si="25"/>
        <v>2.5999999999999999E-2</v>
      </c>
      <c r="G207" s="107">
        <v>0.26800000000000002</v>
      </c>
      <c r="H207" s="107">
        <v>0.28599999999999998</v>
      </c>
      <c r="I207" s="106">
        <v>6.6000000000000003E-2</v>
      </c>
      <c r="J207" s="107">
        <v>2.5999999999999999E-2</v>
      </c>
      <c r="K207" s="94">
        <f>((11/3)*L206)+((1/3)*L218)</f>
        <v>18880</v>
      </c>
      <c r="L207" s="114"/>
      <c r="M207" s="421">
        <f t="shared" si="21"/>
        <v>0.6</v>
      </c>
      <c r="N207" s="421">
        <v>0.26</v>
      </c>
      <c r="O207" s="421">
        <f t="shared" si="22"/>
        <v>0.61</v>
      </c>
      <c r="P207" s="421">
        <v>0.34620000000000001</v>
      </c>
      <c r="Q207" s="421">
        <v>0.69640000000000002</v>
      </c>
      <c r="R207" s="421">
        <v>0.6</v>
      </c>
      <c r="S207" s="421">
        <v>0.61</v>
      </c>
    </row>
    <row r="208" spans="1:19" s="96" customFormat="1">
      <c r="A208" s="95">
        <f t="shared" si="24"/>
        <v>43769</v>
      </c>
      <c r="B208" s="95">
        <f t="shared" si="23"/>
        <v>44134</v>
      </c>
      <c r="C208" s="105">
        <f t="shared" si="25"/>
        <v>0.26800000000000002</v>
      </c>
      <c r="D208" s="105">
        <f t="shared" si="25"/>
        <v>0.28599999999999998</v>
      </c>
      <c r="E208" s="105">
        <f t="shared" si="25"/>
        <v>6.6000000000000003E-2</v>
      </c>
      <c r="F208" s="105">
        <f t="shared" si="25"/>
        <v>2.5999999999999999E-2</v>
      </c>
      <c r="G208" s="107">
        <v>0.26800000000000002</v>
      </c>
      <c r="H208" s="107">
        <v>0.28599999999999998</v>
      </c>
      <c r="I208" s="106">
        <v>6.6000000000000003E-2</v>
      </c>
      <c r="J208" s="107">
        <v>2.5999999999999999E-2</v>
      </c>
      <c r="K208" s="94">
        <f>((10/3)*L206)+((2/3)*L218)</f>
        <v>18958</v>
      </c>
      <c r="L208" s="114"/>
      <c r="M208" s="421">
        <f t="shared" si="21"/>
        <v>0.6</v>
      </c>
      <c r="N208" s="421">
        <v>0.26</v>
      </c>
      <c r="O208" s="421">
        <f t="shared" si="22"/>
        <v>0.61</v>
      </c>
      <c r="P208" s="421">
        <v>0.34620000000000001</v>
      </c>
      <c r="Q208" s="421">
        <v>0.69640000000000002</v>
      </c>
      <c r="R208" s="421">
        <v>0.6</v>
      </c>
      <c r="S208" s="421">
        <v>0.61</v>
      </c>
    </row>
    <row r="209" spans="1:19" s="96" customFormat="1">
      <c r="A209" s="95">
        <f t="shared" si="24"/>
        <v>43799</v>
      </c>
      <c r="B209" s="95">
        <f t="shared" si="23"/>
        <v>44164</v>
      </c>
      <c r="C209" s="105">
        <f t="shared" si="25"/>
        <v>0.26800000000000002</v>
      </c>
      <c r="D209" s="105">
        <f t="shared" si="25"/>
        <v>0.28599999999999998</v>
      </c>
      <c r="E209" s="105">
        <f t="shared" si="25"/>
        <v>6.6000000000000003E-2</v>
      </c>
      <c r="F209" s="105">
        <f t="shared" si="25"/>
        <v>2.5999999999999999E-2</v>
      </c>
      <c r="G209" s="107">
        <v>0.26800000000000002</v>
      </c>
      <c r="H209" s="107">
        <v>0.28599999999999998</v>
      </c>
      <c r="I209" s="106">
        <v>6.6000000000000003E-2</v>
      </c>
      <c r="J209" s="107">
        <v>2.5999999999999999E-2</v>
      </c>
      <c r="K209" s="94">
        <f>((9/3)*L206)+((3/3)*L218)</f>
        <v>19037</v>
      </c>
      <c r="L209" s="114"/>
      <c r="M209" s="421">
        <f t="shared" si="21"/>
        <v>0.6</v>
      </c>
      <c r="N209" s="421">
        <v>0.26</v>
      </c>
      <c r="O209" s="421">
        <f t="shared" si="22"/>
        <v>0.61</v>
      </c>
      <c r="P209" s="421">
        <v>0.34620000000000001</v>
      </c>
      <c r="Q209" s="421">
        <v>0.69640000000000002</v>
      </c>
      <c r="R209" s="421">
        <v>0.6</v>
      </c>
      <c r="S209" s="421">
        <v>0.61</v>
      </c>
    </row>
    <row r="210" spans="1:19" s="96" customFormat="1">
      <c r="A210" s="95">
        <f t="shared" si="24"/>
        <v>43830</v>
      </c>
      <c r="B210" s="95">
        <f t="shared" si="23"/>
        <v>44195</v>
      </c>
      <c r="C210" s="105">
        <f t="shared" si="25"/>
        <v>0.26800000000000002</v>
      </c>
      <c r="D210" s="105">
        <f t="shared" si="25"/>
        <v>0.28599999999999998</v>
      </c>
      <c r="E210" s="105">
        <f t="shared" si="25"/>
        <v>6.6000000000000003E-2</v>
      </c>
      <c r="F210" s="105">
        <f t="shared" si="25"/>
        <v>2.5999999999999999E-2</v>
      </c>
      <c r="G210" s="107">
        <v>0.26800000000000002</v>
      </c>
      <c r="H210" s="107">
        <v>0.28599999999999998</v>
      </c>
      <c r="I210" s="106">
        <v>6.6000000000000003E-2</v>
      </c>
      <c r="J210" s="107">
        <v>2.5999999999999999E-2</v>
      </c>
      <c r="K210" s="94">
        <f>((8/3)*L206)+((4/3)*L218)</f>
        <v>19115</v>
      </c>
      <c r="L210" s="114"/>
      <c r="M210" s="421">
        <f t="shared" si="21"/>
        <v>0.6</v>
      </c>
      <c r="N210" s="421">
        <v>0.26</v>
      </c>
      <c r="O210" s="421">
        <f t="shared" si="22"/>
        <v>0.61</v>
      </c>
      <c r="P210" s="421">
        <v>0.34620000000000001</v>
      </c>
      <c r="Q210" s="421">
        <v>0.69640000000000002</v>
      </c>
      <c r="R210" s="421">
        <v>0.6</v>
      </c>
      <c r="S210" s="421">
        <v>0.61</v>
      </c>
    </row>
    <row r="211" spans="1:19" s="96" customFormat="1">
      <c r="A211" s="95">
        <f t="shared" si="24"/>
        <v>43861</v>
      </c>
      <c r="B211" s="95">
        <f t="shared" si="23"/>
        <v>44226</v>
      </c>
      <c r="C211" s="105">
        <f t="shared" ref="C211:F226" si="26">AVERAGE(G211:G222)</f>
        <v>0.26800000000000002</v>
      </c>
      <c r="D211" s="105">
        <f t="shared" si="26"/>
        <v>0.28599999999999998</v>
      </c>
      <c r="E211" s="105">
        <f t="shared" si="26"/>
        <v>6.6000000000000003E-2</v>
      </c>
      <c r="F211" s="105">
        <f t="shared" si="26"/>
        <v>2.5999999999999999E-2</v>
      </c>
      <c r="G211" s="107">
        <v>0.26800000000000002</v>
      </c>
      <c r="H211" s="107">
        <v>0.28599999999999998</v>
      </c>
      <c r="I211" s="106">
        <v>6.6000000000000003E-2</v>
      </c>
      <c r="J211" s="107">
        <v>2.5999999999999999E-2</v>
      </c>
      <c r="K211" s="94">
        <f>((7/3)*L206)+((5/3)*L218)</f>
        <v>19193</v>
      </c>
      <c r="L211" s="114"/>
      <c r="M211" s="421">
        <f t="shared" si="21"/>
        <v>0.6</v>
      </c>
      <c r="N211" s="421">
        <v>0.26</v>
      </c>
      <c r="O211" s="421">
        <f t="shared" si="22"/>
        <v>0.61</v>
      </c>
      <c r="P211" s="421">
        <v>0.34620000000000001</v>
      </c>
      <c r="Q211" s="421">
        <v>0.69640000000000002</v>
      </c>
      <c r="R211" s="421">
        <v>0.6</v>
      </c>
      <c r="S211" s="421">
        <v>0.61</v>
      </c>
    </row>
    <row r="212" spans="1:19" s="96" customFormat="1">
      <c r="A212" s="95">
        <f t="shared" si="24"/>
        <v>43890</v>
      </c>
      <c r="B212" s="95">
        <f t="shared" si="23"/>
        <v>44254</v>
      </c>
      <c r="C212" s="105">
        <f t="shared" si="26"/>
        <v>0.26800000000000002</v>
      </c>
      <c r="D212" s="105">
        <f t="shared" si="26"/>
        <v>0.28599999999999998</v>
      </c>
      <c r="E212" s="105">
        <f t="shared" si="26"/>
        <v>6.6000000000000003E-2</v>
      </c>
      <c r="F212" s="105">
        <f t="shared" si="26"/>
        <v>2.5999999999999999E-2</v>
      </c>
      <c r="G212" s="107">
        <v>0.26800000000000002</v>
      </c>
      <c r="H212" s="107">
        <v>0.28599999999999998</v>
      </c>
      <c r="I212" s="106">
        <v>6.6000000000000003E-2</v>
      </c>
      <c r="J212" s="107">
        <v>2.5999999999999999E-2</v>
      </c>
      <c r="K212" s="94">
        <f>((6/3)*L206)+((6/3)*L218)</f>
        <v>19272</v>
      </c>
      <c r="L212" s="114"/>
      <c r="M212" s="421">
        <f t="shared" si="21"/>
        <v>0.6</v>
      </c>
      <c r="N212" s="421">
        <v>0.26</v>
      </c>
      <c r="O212" s="421">
        <f t="shared" si="22"/>
        <v>0.61</v>
      </c>
      <c r="P212" s="421">
        <v>0.34620000000000001</v>
      </c>
      <c r="Q212" s="421">
        <v>0.69640000000000002</v>
      </c>
      <c r="R212" s="421">
        <v>0.6</v>
      </c>
      <c r="S212" s="421">
        <v>0.61</v>
      </c>
    </row>
    <row r="213" spans="1:19" s="96" customFormat="1">
      <c r="A213" s="95">
        <f t="shared" si="24"/>
        <v>43921</v>
      </c>
      <c r="B213" s="95">
        <f t="shared" si="23"/>
        <v>44285</v>
      </c>
      <c r="C213" s="105">
        <f t="shared" si="26"/>
        <v>0.26800000000000002</v>
      </c>
      <c r="D213" s="105">
        <f t="shared" si="26"/>
        <v>0.28599999999999998</v>
      </c>
      <c r="E213" s="105">
        <f t="shared" si="26"/>
        <v>6.6000000000000003E-2</v>
      </c>
      <c r="F213" s="105">
        <f t="shared" si="26"/>
        <v>2.5999999999999999E-2</v>
      </c>
      <c r="G213" s="107">
        <v>0.26800000000000002</v>
      </c>
      <c r="H213" s="107">
        <v>0.28599999999999998</v>
      </c>
      <c r="I213" s="106">
        <v>6.6000000000000003E-2</v>
      </c>
      <c r="J213" s="107">
        <v>2.5999999999999999E-2</v>
      </c>
      <c r="K213" s="94">
        <f>((5/3)*L206)+((7/3)*L218)</f>
        <v>19350</v>
      </c>
      <c r="L213" s="114"/>
      <c r="M213" s="421">
        <f t="shared" si="21"/>
        <v>0.6</v>
      </c>
      <c r="N213" s="421">
        <v>0.26</v>
      </c>
      <c r="O213" s="421">
        <f t="shared" si="22"/>
        <v>0.61</v>
      </c>
      <c r="P213" s="421">
        <v>0.34620000000000001</v>
      </c>
      <c r="Q213" s="421">
        <v>0.69640000000000002</v>
      </c>
      <c r="R213" s="421">
        <v>0.6</v>
      </c>
      <c r="S213" s="421">
        <v>0.61</v>
      </c>
    </row>
    <row r="214" spans="1:19" s="96" customFormat="1">
      <c r="A214" s="95">
        <f t="shared" si="24"/>
        <v>43951</v>
      </c>
      <c r="B214" s="95">
        <f t="shared" si="23"/>
        <v>44315</v>
      </c>
      <c r="C214" s="105">
        <f t="shared" si="26"/>
        <v>0.26800000000000002</v>
      </c>
      <c r="D214" s="105">
        <f t="shared" si="26"/>
        <v>0.28599999999999998</v>
      </c>
      <c r="E214" s="105">
        <f t="shared" si="26"/>
        <v>6.6000000000000003E-2</v>
      </c>
      <c r="F214" s="105">
        <f t="shared" si="26"/>
        <v>2.5999999999999999E-2</v>
      </c>
      <c r="G214" s="107">
        <v>0.26800000000000002</v>
      </c>
      <c r="H214" s="107">
        <v>0.28599999999999998</v>
      </c>
      <c r="I214" s="106">
        <v>6.6000000000000003E-2</v>
      </c>
      <c r="J214" s="107">
        <v>2.5999999999999999E-2</v>
      </c>
      <c r="K214" s="94">
        <f>((4/3)*L206)+((8/3)*L218)</f>
        <v>19428</v>
      </c>
      <c r="L214" s="114"/>
      <c r="M214" s="421">
        <f t="shared" si="21"/>
        <v>0.6</v>
      </c>
      <c r="N214" s="421">
        <v>0.26</v>
      </c>
      <c r="O214" s="421">
        <f t="shared" si="22"/>
        <v>0.61</v>
      </c>
      <c r="P214" s="421">
        <v>0.34620000000000001</v>
      </c>
      <c r="Q214" s="421">
        <v>0.69640000000000002</v>
      </c>
      <c r="R214" s="421">
        <v>0.6</v>
      </c>
      <c r="S214" s="421">
        <v>0.61</v>
      </c>
    </row>
    <row r="215" spans="1:19" s="96" customFormat="1">
      <c r="A215" s="95">
        <f t="shared" si="24"/>
        <v>43982</v>
      </c>
      <c r="B215" s="95">
        <f t="shared" si="23"/>
        <v>44346</v>
      </c>
      <c r="C215" s="105">
        <f t="shared" si="26"/>
        <v>0.26800000000000002</v>
      </c>
      <c r="D215" s="105">
        <f t="shared" si="26"/>
        <v>0.28599999999999998</v>
      </c>
      <c r="E215" s="105">
        <f t="shared" si="26"/>
        <v>6.6000000000000003E-2</v>
      </c>
      <c r="F215" s="105">
        <f t="shared" si="26"/>
        <v>2.5999999999999999E-2</v>
      </c>
      <c r="G215" s="107">
        <v>0.26800000000000002</v>
      </c>
      <c r="H215" s="107">
        <v>0.28599999999999998</v>
      </c>
      <c r="I215" s="106">
        <v>6.6000000000000003E-2</v>
      </c>
      <c r="J215" s="107">
        <v>2.5999999999999999E-2</v>
      </c>
      <c r="K215" s="94">
        <f>((3/3)*L206)+((9/3)*L218)</f>
        <v>19507</v>
      </c>
      <c r="L215" s="114"/>
      <c r="M215" s="421">
        <f t="shared" si="21"/>
        <v>0.6</v>
      </c>
      <c r="N215" s="421">
        <v>0.26</v>
      </c>
      <c r="O215" s="421">
        <f t="shared" si="22"/>
        <v>0.61</v>
      </c>
      <c r="P215" s="421">
        <v>0.34620000000000001</v>
      </c>
      <c r="Q215" s="421">
        <v>0.69640000000000002</v>
      </c>
      <c r="R215" s="421">
        <v>0.6</v>
      </c>
      <c r="S215" s="421">
        <v>0.61</v>
      </c>
    </row>
    <row r="216" spans="1:19" s="96" customFormat="1">
      <c r="A216" s="95">
        <f t="shared" si="24"/>
        <v>44012</v>
      </c>
      <c r="B216" s="95">
        <f t="shared" si="23"/>
        <v>44376</v>
      </c>
      <c r="C216" s="105">
        <f t="shared" si="26"/>
        <v>0.26800000000000002</v>
      </c>
      <c r="D216" s="105">
        <f t="shared" si="26"/>
        <v>0.28599999999999998</v>
      </c>
      <c r="E216" s="105">
        <f t="shared" si="26"/>
        <v>6.6000000000000003E-2</v>
      </c>
      <c r="F216" s="105">
        <f t="shared" si="26"/>
        <v>2.5999999999999999E-2</v>
      </c>
      <c r="G216" s="107">
        <v>0.26800000000000002</v>
      </c>
      <c r="H216" s="107">
        <v>0.28599999999999998</v>
      </c>
      <c r="I216" s="106">
        <v>6.6000000000000003E-2</v>
      </c>
      <c r="J216" s="107">
        <v>2.5999999999999999E-2</v>
      </c>
      <c r="K216" s="94">
        <f>((2/3)*L206)+((10/3)*L218)</f>
        <v>19585</v>
      </c>
      <c r="L216" s="114"/>
      <c r="M216" s="421">
        <f t="shared" si="21"/>
        <v>0.6</v>
      </c>
      <c r="N216" s="421">
        <v>0.26</v>
      </c>
      <c r="O216" s="421">
        <f t="shared" si="22"/>
        <v>0.61</v>
      </c>
      <c r="P216" s="421">
        <v>0.34620000000000001</v>
      </c>
      <c r="Q216" s="421">
        <v>0.69640000000000002</v>
      </c>
      <c r="R216" s="421">
        <v>0.6</v>
      </c>
      <c r="S216" s="421">
        <v>0.61</v>
      </c>
    </row>
    <row r="217" spans="1:19" s="96" customFormat="1">
      <c r="A217" s="95">
        <f t="shared" si="24"/>
        <v>44043</v>
      </c>
      <c r="B217" s="95">
        <f t="shared" si="23"/>
        <v>44407</v>
      </c>
      <c r="C217" s="105">
        <f t="shared" si="26"/>
        <v>0.26800000000000002</v>
      </c>
      <c r="D217" s="105">
        <f t="shared" si="26"/>
        <v>0.28599999999999998</v>
      </c>
      <c r="E217" s="105">
        <f t="shared" si="26"/>
        <v>6.6000000000000003E-2</v>
      </c>
      <c r="F217" s="105">
        <f t="shared" si="26"/>
        <v>2.5999999999999999E-2</v>
      </c>
      <c r="G217" s="107">
        <v>0.26800000000000002</v>
      </c>
      <c r="H217" s="107">
        <v>0.28599999999999998</v>
      </c>
      <c r="I217" s="106">
        <v>6.6000000000000003E-2</v>
      </c>
      <c r="J217" s="107">
        <v>2.5999999999999999E-2</v>
      </c>
      <c r="K217" s="94">
        <f>((1/3)*L206)+((11/3)*L218)</f>
        <v>19663</v>
      </c>
      <c r="L217" s="114"/>
      <c r="M217" s="421">
        <f t="shared" si="21"/>
        <v>0.6</v>
      </c>
      <c r="N217" s="421">
        <v>0.26</v>
      </c>
      <c r="O217" s="421">
        <f t="shared" si="22"/>
        <v>0.61</v>
      </c>
      <c r="P217" s="421">
        <v>0.34620000000000001</v>
      </c>
      <c r="Q217" s="421">
        <v>0.69640000000000002</v>
      </c>
      <c r="R217" s="421">
        <v>0.6</v>
      </c>
      <c r="S217" s="421">
        <v>0.61</v>
      </c>
    </row>
    <row r="218" spans="1:19" s="60" customFormat="1">
      <c r="A218" s="59">
        <f t="shared" si="24"/>
        <v>44074</v>
      </c>
      <c r="B218" s="59">
        <f t="shared" si="23"/>
        <v>44438</v>
      </c>
      <c r="C218" s="102">
        <f t="shared" si="26"/>
        <v>0.26800000000000002</v>
      </c>
      <c r="D218" s="102">
        <f t="shared" si="26"/>
        <v>0.28599999999999998</v>
      </c>
      <c r="E218" s="102">
        <f t="shared" si="26"/>
        <v>6.6000000000000003E-2</v>
      </c>
      <c r="F218" s="102">
        <f t="shared" si="26"/>
        <v>2.5999999999999999E-2</v>
      </c>
      <c r="G218" s="104">
        <v>0.26800000000000002</v>
      </c>
      <c r="H218" s="104">
        <v>0.28599999999999998</v>
      </c>
      <c r="I218" s="103">
        <v>6.6000000000000003E-2</v>
      </c>
      <c r="J218" s="104">
        <v>2.5999999999999999E-2</v>
      </c>
      <c r="K218" s="54">
        <f>(L218*4)</f>
        <v>19742</v>
      </c>
      <c r="L218" s="113">
        <f>L206*1.05</f>
        <v>4935.3900000000003</v>
      </c>
      <c r="M218" s="98">
        <f t="shared" si="21"/>
        <v>0.6</v>
      </c>
      <c r="N218" s="98">
        <v>0.26</v>
      </c>
      <c r="O218" s="98">
        <f t="shared" si="22"/>
        <v>0.61</v>
      </c>
      <c r="P218" s="98">
        <v>0.34620000000000001</v>
      </c>
      <c r="Q218" s="98">
        <v>0.69640000000000002</v>
      </c>
      <c r="R218" s="98">
        <v>0.6</v>
      </c>
      <c r="S218" s="98">
        <v>0.61</v>
      </c>
    </row>
    <row r="219" spans="1:19" s="60" customFormat="1">
      <c r="A219" s="59">
        <f t="shared" si="24"/>
        <v>44104</v>
      </c>
      <c r="B219" s="59">
        <f t="shared" si="23"/>
        <v>44468</v>
      </c>
      <c r="C219" s="102">
        <f t="shared" si="26"/>
        <v>0.26800000000000002</v>
      </c>
      <c r="D219" s="102">
        <f t="shared" si="26"/>
        <v>0.28599999999999998</v>
      </c>
      <c r="E219" s="102">
        <f t="shared" si="26"/>
        <v>6.6000000000000003E-2</v>
      </c>
      <c r="F219" s="102">
        <f t="shared" si="26"/>
        <v>2.5999999999999999E-2</v>
      </c>
      <c r="G219" s="104">
        <v>0.26800000000000002</v>
      </c>
      <c r="H219" s="104">
        <v>0.28599999999999998</v>
      </c>
      <c r="I219" s="103">
        <v>6.6000000000000003E-2</v>
      </c>
      <c r="J219" s="104">
        <v>2.5999999999999999E-2</v>
      </c>
      <c r="K219" s="54">
        <f>((11/3)*L218)+((1/3)*L230)</f>
        <v>19824</v>
      </c>
      <c r="L219" s="113"/>
      <c r="M219" s="98">
        <f t="shared" si="21"/>
        <v>0.6</v>
      </c>
      <c r="N219" s="98">
        <v>0.26</v>
      </c>
      <c r="O219" s="98">
        <f t="shared" si="22"/>
        <v>0.61</v>
      </c>
      <c r="P219" s="98">
        <v>0.34620000000000001</v>
      </c>
      <c r="Q219" s="98">
        <v>0.69640000000000002</v>
      </c>
      <c r="R219" s="98">
        <v>0.6</v>
      </c>
      <c r="S219" s="98">
        <v>0.61</v>
      </c>
    </row>
    <row r="220" spans="1:19" s="60" customFormat="1">
      <c r="A220" s="59">
        <f t="shared" si="24"/>
        <v>44135</v>
      </c>
      <c r="B220" s="59">
        <f t="shared" si="23"/>
        <v>44499</v>
      </c>
      <c r="C220" s="102">
        <f t="shared" si="26"/>
        <v>0.26800000000000002</v>
      </c>
      <c r="D220" s="102">
        <f t="shared" si="26"/>
        <v>0.28599999999999998</v>
      </c>
      <c r="E220" s="102">
        <f t="shared" si="26"/>
        <v>6.6000000000000003E-2</v>
      </c>
      <c r="F220" s="102">
        <f t="shared" si="26"/>
        <v>2.5999999999999999E-2</v>
      </c>
      <c r="G220" s="104">
        <v>0.26800000000000002</v>
      </c>
      <c r="H220" s="104">
        <v>0.28599999999999998</v>
      </c>
      <c r="I220" s="103">
        <v>6.6000000000000003E-2</v>
      </c>
      <c r="J220" s="104">
        <v>2.5999999999999999E-2</v>
      </c>
      <c r="K220" s="54">
        <f>((10/3)*L218)+((2/3)*L230)</f>
        <v>19906</v>
      </c>
      <c r="L220" s="113"/>
      <c r="M220" s="98">
        <f t="shared" si="21"/>
        <v>0.6</v>
      </c>
      <c r="N220" s="98">
        <v>0.26</v>
      </c>
      <c r="O220" s="98">
        <f t="shared" si="22"/>
        <v>0.61</v>
      </c>
      <c r="P220" s="98">
        <v>0.34620000000000001</v>
      </c>
      <c r="Q220" s="98">
        <v>0.69640000000000002</v>
      </c>
      <c r="R220" s="98">
        <v>0.6</v>
      </c>
      <c r="S220" s="98">
        <v>0.61</v>
      </c>
    </row>
    <row r="221" spans="1:19" s="60" customFormat="1">
      <c r="A221" s="59">
        <f t="shared" si="24"/>
        <v>44165</v>
      </c>
      <c r="B221" s="59">
        <f t="shared" si="23"/>
        <v>44529</v>
      </c>
      <c r="C221" s="102">
        <f t="shared" si="26"/>
        <v>0.26800000000000002</v>
      </c>
      <c r="D221" s="102">
        <f t="shared" si="26"/>
        <v>0.28599999999999998</v>
      </c>
      <c r="E221" s="102">
        <f t="shared" si="26"/>
        <v>6.6000000000000003E-2</v>
      </c>
      <c r="F221" s="102">
        <f t="shared" si="26"/>
        <v>2.5999999999999999E-2</v>
      </c>
      <c r="G221" s="104">
        <v>0.26800000000000002</v>
      </c>
      <c r="H221" s="104">
        <v>0.28599999999999998</v>
      </c>
      <c r="I221" s="103">
        <v>6.6000000000000003E-2</v>
      </c>
      <c r="J221" s="104">
        <v>2.5999999999999999E-2</v>
      </c>
      <c r="K221" s="54">
        <f>((9/3)*L218)+((3/3)*L230)</f>
        <v>19988</v>
      </c>
      <c r="L221" s="113"/>
      <c r="M221" s="98">
        <f t="shared" si="21"/>
        <v>0.6</v>
      </c>
      <c r="N221" s="98">
        <v>0.26</v>
      </c>
      <c r="O221" s="98">
        <f t="shared" si="22"/>
        <v>0.61</v>
      </c>
      <c r="P221" s="98">
        <v>0.34620000000000001</v>
      </c>
      <c r="Q221" s="98">
        <v>0.69640000000000002</v>
      </c>
      <c r="R221" s="98">
        <v>0.6</v>
      </c>
      <c r="S221" s="98">
        <v>0.61</v>
      </c>
    </row>
    <row r="222" spans="1:19" s="60" customFormat="1">
      <c r="A222" s="59">
        <f t="shared" si="24"/>
        <v>44196</v>
      </c>
      <c r="B222" s="59">
        <f t="shared" si="23"/>
        <v>44560</v>
      </c>
      <c r="C222" s="102">
        <f t="shared" si="26"/>
        <v>0.26800000000000002</v>
      </c>
      <c r="D222" s="102">
        <f t="shared" si="26"/>
        <v>0.28599999999999998</v>
      </c>
      <c r="E222" s="102">
        <f t="shared" si="26"/>
        <v>6.6000000000000003E-2</v>
      </c>
      <c r="F222" s="102">
        <f t="shared" si="26"/>
        <v>2.5999999999999999E-2</v>
      </c>
      <c r="G222" s="104">
        <v>0.26800000000000002</v>
      </c>
      <c r="H222" s="104">
        <v>0.28599999999999998</v>
      </c>
      <c r="I222" s="103">
        <v>6.6000000000000003E-2</v>
      </c>
      <c r="J222" s="104">
        <v>2.5999999999999999E-2</v>
      </c>
      <c r="K222" s="54">
        <f>((8/3)*L218)+((4/3)*L230)</f>
        <v>20071</v>
      </c>
      <c r="L222" s="113"/>
      <c r="M222" s="98">
        <f t="shared" si="21"/>
        <v>0.6</v>
      </c>
      <c r="N222" s="98">
        <v>0.26</v>
      </c>
      <c r="O222" s="98">
        <f t="shared" si="22"/>
        <v>0.61</v>
      </c>
      <c r="P222" s="98">
        <v>0.34620000000000001</v>
      </c>
      <c r="Q222" s="98">
        <v>0.69640000000000002</v>
      </c>
      <c r="R222" s="98">
        <v>0.6</v>
      </c>
      <c r="S222" s="98">
        <v>0.61</v>
      </c>
    </row>
    <row r="223" spans="1:19" s="60" customFormat="1">
      <c r="A223" s="59">
        <f t="shared" si="24"/>
        <v>44227</v>
      </c>
      <c r="B223" s="59">
        <f t="shared" si="23"/>
        <v>44591</v>
      </c>
      <c r="C223" s="102">
        <f t="shared" si="26"/>
        <v>0.26800000000000002</v>
      </c>
      <c r="D223" s="102">
        <f t="shared" si="26"/>
        <v>0.28599999999999998</v>
      </c>
      <c r="E223" s="102">
        <f t="shared" si="26"/>
        <v>6.6000000000000003E-2</v>
      </c>
      <c r="F223" s="102">
        <f t="shared" si="26"/>
        <v>2.5999999999999999E-2</v>
      </c>
      <c r="G223" s="104">
        <v>0.26800000000000002</v>
      </c>
      <c r="H223" s="104">
        <v>0.28599999999999998</v>
      </c>
      <c r="I223" s="103">
        <v>6.6000000000000003E-2</v>
      </c>
      <c r="J223" s="104">
        <v>2.5999999999999999E-2</v>
      </c>
      <c r="K223" s="54">
        <f>((7/3)*L218)+((5/3)*L230)</f>
        <v>20153</v>
      </c>
      <c r="L223" s="113"/>
      <c r="M223" s="98">
        <f t="shared" si="21"/>
        <v>0.6</v>
      </c>
      <c r="N223" s="98">
        <v>0.26</v>
      </c>
      <c r="O223" s="98">
        <f t="shared" si="22"/>
        <v>0.61</v>
      </c>
      <c r="P223" s="98">
        <v>0.34620000000000001</v>
      </c>
      <c r="Q223" s="98">
        <v>0.69640000000000002</v>
      </c>
      <c r="R223" s="98">
        <v>0.6</v>
      </c>
      <c r="S223" s="98">
        <v>0.61</v>
      </c>
    </row>
    <row r="224" spans="1:19" s="60" customFormat="1">
      <c r="A224" s="59">
        <f t="shared" si="24"/>
        <v>44255</v>
      </c>
      <c r="B224" s="59">
        <f t="shared" si="23"/>
        <v>44619</v>
      </c>
      <c r="C224" s="102">
        <f t="shared" si="26"/>
        <v>0.26800000000000002</v>
      </c>
      <c r="D224" s="102">
        <f t="shared" si="26"/>
        <v>0.28599999999999998</v>
      </c>
      <c r="E224" s="102">
        <f t="shared" si="26"/>
        <v>6.6000000000000003E-2</v>
      </c>
      <c r="F224" s="102">
        <f t="shared" si="26"/>
        <v>2.5999999999999999E-2</v>
      </c>
      <c r="G224" s="104">
        <v>0.26800000000000002</v>
      </c>
      <c r="H224" s="104">
        <v>0.28599999999999998</v>
      </c>
      <c r="I224" s="103">
        <v>6.6000000000000003E-2</v>
      </c>
      <c r="J224" s="104">
        <v>2.5999999999999999E-2</v>
      </c>
      <c r="K224" s="54">
        <f>((6/3)*L218)+((6/3)*L230)</f>
        <v>20235</v>
      </c>
      <c r="L224" s="113"/>
      <c r="M224" s="98">
        <f t="shared" si="21"/>
        <v>0.6</v>
      </c>
      <c r="N224" s="98">
        <v>0.26</v>
      </c>
      <c r="O224" s="98">
        <f t="shared" si="22"/>
        <v>0.61</v>
      </c>
      <c r="P224" s="98">
        <v>0.34620000000000001</v>
      </c>
      <c r="Q224" s="98">
        <v>0.69640000000000002</v>
      </c>
      <c r="R224" s="98">
        <v>0.6</v>
      </c>
      <c r="S224" s="98">
        <v>0.61</v>
      </c>
    </row>
    <row r="225" spans="1:19" s="60" customFormat="1">
      <c r="A225" s="59">
        <f t="shared" si="24"/>
        <v>44286</v>
      </c>
      <c r="B225" s="59">
        <f t="shared" si="23"/>
        <v>44650</v>
      </c>
      <c r="C225" s="102">
        <f t="shared" si="26"/>
        <v>0.26800000000000002</v>
      </c>
      <c r="D225" s="102">
        <f t="shared" si="26"/>
        <v>0.28599999999999998</v>
      </c>
      <c r="E225" s="102">
        <f t="shared" si="26"/>
        <v>6.6000000000000003E-2</v>
      </c>
      <c r="F225" s="102">
        <f t="shared" si="26"/>
        <v>2.5999999999999999E-2</v>
      </c>
      <c r="G225" s="104">
        <v>0.26800000000000002</v>
      </c>
      <c r="H225" s="104">
        <v>0.28599999999999998</v>
      </c>
      <c r="I225" s="103">
        <v>6.6000000000000003E-2</v>
      </c>
      <c r="J225" s="104">
        <v>2.5999999999999999E-2</v>
      </c>
      <c r="K225" s="54">
        <f>((5/3)*L218)+((7/3)*L230)</f>
        <v>20317</v>
      </c>
      <c r="L225" s="113"/>
      <c r="M225" s="98">
        <f t="shared" si="21"/>
        <v>0.6</v>
      </c>
      <c r="N225" s="98">
        <v>0.26</v>
      </c>
      <c r="O225" s="98">
        <f t="shared" si="22"/>
        <v>0.61</v>
      </c>
      <c r="P225" s="98">
        <v>0.34620000000000001</v>
      </c>
      <c r="Q225" s="98">
        <v>0.69640000000000002</v>
      </c>
      <c r="R225" s="98">
        <v>0.6</v>
      </c>
      <c r="S225" s="98">
        <v>0.61</v>
      </c>
    </row>
    <row r="226" spans="1:19" s="60" customFormat="1">
      <c r="A226" s="59">
        <f t="shared" si="24"/>
        <v>44316</v>
      </c>
      <c r="B226" s="59">
        <f t="shared" si="23"/>
        <v>44680</v>
      </c>
      <c r="C226" s="102">
        <f t="shared" si="26"/>
        <v>0.26800000000000002</v>
      </c>
      <c r="D226" s="102">
        <f t="shared" si="26"/>
        <v>0.28599999999999998</v>
      </c>
      <c r="E226" s="102">
        <f t="shared" si="26"/>
        <v>6.6000000000000003E-2</v>
      </c>
      <c r="F226" s="102">
        <f t="shared" si="26"/>
        <v>2.5999999999999999E-2</v>
      </c>
      <c r="G226" s="104">
        <v>0.26800000000000002</v>
      </c>
      <c r="H226" s="104">
        <v>0.28599999999999998</v>
      </c>
      <c r="I226" s="103">
        <v>6.6000000000000003E-2</v>
      </c>
      <c r="J226" s="104">
        <v>2.5999999999999999E-2</v>
      </c>
      <c r="K226" s="54">
        <f>((4/3)*L218)+((8/3)*L230)</f>
        <v>20400</v>
      </c>
      <c r="L226" s="113"/>
      <c r="M226" s="98">
        <f t="shared" si="21"/>
        <v>0.6</v>
      </c>
      <c r="N226" s="98">
        <v>0.26</v>
      </c>
      <c r="O226" s="98">
        <f t="shared" si="22"/>
        <v>0.61</v>
      </c>
      <c r="P226" s="98">
        <v>0.34620000000000001</v>
      </c>
      <c r="Q226" s="98">
        <v>0.69640000000000002</v>
      </c>
      <c r="R226" s="98">
        <v>0.6</v>
      </c>
      <c r="S226" s="98">
        <v>0.61</v>
      </c>
    </row>
    <row r="227" spans="1:19" s="60" customFormat="1">
      <c r="A227" s="59">
        <f t="shared" si="24"/>
        <v>44347</v>
      </c>
      <c r="B227" s="59">
        <f t="shared" si="23"/>
        <v>44711</v>
      </c>
      <c r="C227" s="102">
        <f t="shared" ref="C227:F242" si="27">AVERAGE(G227:G238)</f>
        <v>0.26800000000000002</v>
      </c>
      <c r="D227" s="102">
        <f t="shared" si="27"/>
        <v>0.28599999999999998</v>
      </c>
      <c r="E227" s="102">
        <f t="shared" si="27"/>
        <v>6.6000000000000003E-2</v>
      </c>
      <c r="F227" s="102">
        <f t="shared" si="27"/>
        <v>2.5999999999999999E-2</v>
      </c>
      <c r="G227" s="104">
        <v>0.26800000000000002</v>
      </c>
      <c r="H227" s="104">
        <v>0.28599999999999998</v>
      </c>
      <c r="I227" s="103">
        <v>6.6000000000000003E-2</v>
      </c>
      <c r="J227" s="104">
        <v>2.5999999999999999E-2</v>
      </c>
      <c r="K227" s="54">
        <f>((3/3)*L218)+((9/3)*L230)</f>
        <v>20482</v>
      </c>
      <c r="L227" s="113"/>
      <c r="M227" s="98">
        <f t="shared" si="21"/>
        <v>0.6</v>
      </c>
      <c r="N227" s="98">
        <v>0.26</v>
      </c>
      <c r="O227" s="98">
        <f t="shared" si="22"/>
        <v>0.61</v>
      </c>
      <c r="P227" s="98">
        <v>0.34620000000000001</v>
      </c>
      <c r="Q227" s="98">
        <v>0.69640000000000002</v>
      </c>
      <c r="R227" s="98">
        <v>0.6</v>
      </c>
      <c r="S227" s="98">
        <v>0.61</v>
      </c>
    </row>
    <row r="228" spans="1:19" s="60" customFormat="1">
      <c r="A228" s="59">
        <f t="shared" si="24"/>
        <v>44377</v>
      </c>
      <c r="B228" s="59">
        <f t="shared" si="23"/>
        <v>44741</v>
      </c>
      <c r="C228" s="102">
        <f t="shared" si="27"/>
        <v>0.26800000000000002</v>
      </c>
      <c r="D228" s="102">
        <f t="shared" si="27"/>
        <v>0.28599999999999998</v>
      </c>
      <c r="E228" s="102">
        <f t="shared" si="27"/>
        <v>6.6000000000000003E-2</v>
      </c>
      <c r="F228" s="102">
        <f t="shared" si="27"/>
        <v>2.5999999999999999E-2</v>
      </c>
      <c r="G228" s="104">
        <v>0.26800000000000002</v>
      </c>
      <c r="H228" s="104">
        <v>0.28599999999999998</v>
      </c>
      <c r="I228" s="103">
        <v>6.6000000000000003E-2</v>
      </c>
      <c r="J228" s="104">
        <v>2.5999999999999999E-2</v>
      </c>
      <c r="K228" s="54">
        <f>((2/3)*L218)+((10/3)*L230)</f>
        <v>20564</v>
      </c>
      <c r="L228" s="113"/>
      <c r="M228" s="98">
        <f t="shared" si="21"/>
        <v>0.6</v>
      </c>
      <c r="N228" s="98">
        <v>0.26</v>
      </c>
      <c r="O228" s="98">
        <f t="shared" si="22"/>
        <v>0.61</v>
      </c>
      <c r="P228" s="98">
        <v>0.34620000000000001</v>
      </c>
      <c r="Q228" s="98">
        <v>0.69640000000000002</v>
      </c>
      <c r="R228" s="98">
        <v>0.6</v>
      </c>
      <c r="S228" s="98">
        <v>0.61</v>
      </c>
    </row>
    <row r="229" spans="1:19" s="60" customFormat="1">
      <c r="A229" s="59">
        <f t="shared" si="24"/>
        <v>44408</v>
      </c>
      <c r="B229" s="59">
        <f t="shared" si="23"/>
        <v>44772</v>
      </c>
      <c r="C229" s="99">
        <f t="shared" si="27"/>
        <v>0.26800000000000002</v>
      </c>
      <c r="D229" s="99">
        <f t="shared" si="27"/>
        <v>0.28599999999999998</v>
      </c>
      <c r="E229" s="99">
        <f t="shared" si="27"/>
        <v>6.6000000000000003E-2</v>
      </c>
      <c r="F229" s="99">
        <f t="shared" si="27"/>
        <v>2.5999999999999999E-2</v>
      </c>
      <c r="G229" s="104">
        <v>0.26800000000000002</v>
      </c>
      <c r="H229" s="104">
        <v>0.28599999999999998</v>
      </c>
      <c r="I229" s="103">
        <v>6.6000000000000003E-2</v>
      </c>
      <c r="J229" s="104">
        <v>2.5999999999999999E-2</v>
      </c>
      <c r="K229" s="54">
        <f>((1/3)*L218)+((11/3)*L230)</f>
        <v>20646</v>
      </c>
      <c r="L229" s="113"/>
      <c r="M229" s="98">
        <f t="shared" si="21"/>
        <v>0.6</v>
      </c>
      <c r="N229" s="98">
        <v>0.26</v>
      </c>
      <c r="O229" s="98">
        <f t="shared" si="22"/>
        <v>0.61</v>
      </c>
      <c r="P229" s="98">
        <v>0.34620000000000001</v>
      </c>
      <c r="Q229" s="98">
        <v>0.69640000000000002</v>
      </c>
      <c r="R229" s="98">
        <v>0.6</v>
      </c>
      <c r="S229" s="98">
        <v>0.61</v>
      </c>
    </row>
    <row r="230" spans="1:19" s="96" customFormat="1">
      <c r="A230" s="95">
        <f t="shared" si="24"/>
        <v>44439</v>
      </c>
      <c r="B230" s="95">
        <f t="shared" si="23"/>
        <v>44803</v>
      </c>
      <c r="C230" s="105">
        <f t="shared" si="27"/>
        <v>0.26800000000000002</v>
      </c>
      <c r="D230" s="105">
        <f t="shared" si="27"/>
        <v>0.28599999999999998</v>
      </c>
      <c r="E230" s="105">
        <f t="shared" si="27"/>
        <v>6.6000000000000003E-2</v>
      </c>
      <c r="F230" s="105">
        <f t="shared" si="27"/>
        <v>2.5999999999999999E-2</v>
      </c>
      <c r="G230" s="107">
        <v>0.26800000000000002</v>
      </c>
      <c r="H230" s="107">
        <v>0.28599999999999998</v>
      </c>
      <c r="I230" s="106">
        <v>6.6000000000000003E-2</v>
      </c>
      <c r="J230" s="107">
        <v>2.5999999999999999E-2</v>
      </c>
      <c r="K230" s="94">
        <f>(L230*4)</f>
        <v>20729</v>
      </c>
      <c r="L230" s="114">
        <f>L218*1.05</f>
        <v>5182.16</v>
      </c>
      <c r="M230" s="421">
        <f t="shared" si="21"/>
        <v>0.6</v>
      </c>
      <c r="N230" s="421">
        <v>0.26</v>
      </c>
      <c r="O230" s="421">
        <f t="shared" si="22"/>
        <v>0.61</v>
      </c>
      <c r="P230" s="421">
        <v>0.34620000000000001</v>
      </c>
      <c r="Q230" s="421">
        <v>0.69640000000000002</v>
      </c>
      <c r="R230" s="421">
        <v>0.6</v>
      </c>
      <c r="S230" s="421">
        <v>0.61</v>
      </c>
    </row>
    <row r="231" spans="1:19" s="96" customFormat="1">
      <c r="A231" s="95">
        <f t="shared" si="24"/>
        <v>44469</v>
      </c>
      <c r="B231" s="95">
        <f t="shared" si="23"/>
        <v>44833</v>
      </c>
      <c r="C231" s="105">
        <f t="shared" si="27"/>
        <v>0.26800000000000002</v>
      </c>
      <c r="D231" s="105">
        <f t="shared" si="27"/>
        <v>0.28599999999999998</v>
      </c>
      <c r="E231" s="105">
        <f t="shared" si="27"/>
        <v>6.6000000000000003E-2</v>
      </c>
      <c r="F231" s="105">
        <f t="shared" si="27"/>
        <v>2.5999999999999999E-2</v>
      </c>
      <c r="G231" s="107">
        <v>0.26800000000000002</v>
      </c>
      <c r="H231" s="107">
        <v>0.28599999999999998</v>
      </c>
      <c r="I231" s="106">
        <v>6.6000000000000003E-2</v>
      </c>
      <c r="J231" s="107">
        <v>2.5999999999999999E-2</v>
      </c>
      <c r="K231" s="94">
        <f>((11/3)*L230)+((1/3)*L242)</f>
        <v>20815</v>
      </c>
      <c r="L231" s="114"/>
      <c r="M231" s="421">
        <f t="shared" si="21"/>
        <v>0.6</v>
      </c>
      <c r="N231" s="421">
        <v>0.26</v>
      </c>
      <c r="O231" s="421">
        <f t="shared" si="22"/>
        <v>0.61</v>
      </c>
      <c r="P231" s="421">
        <v>0.34620000000000001</v>
      </c>
      <c r="Q231" s="421">
        <v>0.69640000000000002</v>
      </c>
      <c r="R231" s="421">
        <v>0.6</v>
      </c>
      <c r="S231" s="421">
        <v>0.61</v>
      </c>
    </row>
    <row r="232" spans="1:19" s="96" customFormat="1">
      <c r="A232" s="95">
        <f t="shared" si="24"/>
        <v>44500</v>
      </c>
      <c r="B232" s="95">
        <f t="shared" si="23"/>
        <v>44864</v>
      </c>
      <c r="C232" s="105">
        <f t="shared" si="27"/>
        <v>0.26800000000000002</v>
      </c>
      <c r="D232" s="105">
        <f t="shared" si="27"/>
        <v>0.28599999999999998</v>
      </c>
      <c r="E232" s="105">
        <f t="shared" si="27"/>
        <v>6.6000000000000003E-2</v>
      </c>
      <c r="F232" s="105">
        <f t="shared" si="27"/>
        <v>2.5999999999999999E-2</v>
      </c>
      <c r="G232" s="107">
        <v>0.26800000000000002</v>
      </c>
      <c r="H232" s="107">
        <v>0.28599999999999998</v>
      </c>
      <c r="I232" s="106">
        <v>6.6000000000000003E-2</v>
      </c>
      <c r="J232" s="107">
        <v>2.5999999999999999E-2</v>
      </c>
      <c r="K232" s="94">
        <f>((10/3)*L230)+((2/3)*L242)</f>
        <v>20901</v>
      </c>
      <c r="L232" s="114"/>
      <c r="M232" s="421">
        <f t="shared" si="21"/>
        <v>0.6</v>
      </c>
      <c r="N232" s="421">
        <v>0.26</v>
      </c>
      <c r="O232" s="421">
        <f t="shared" si="22"/>
        <v>0.61</v>
      </c>
      <c r="P232" s="421">
        <v>0.34620000000000001</v>
      </c>
      <c r="Q232" s="421">
        <v>0.69640000000000002</v>
      </c>
      <c r="R232" s="421">
        <v>0.6</v>
      </c>
      <c r="S232" s="421">
        <v>0.61</v>
      </c>
    </row>
    <row r="233" spans="1:19" s="96" customFormat="1">
      <c r="A233" s="95">
        <f t="shared" si="24"/>
        <v>44530</v>
      </c>
      <c r="B233" s="95">
        <f t="shared" si="23"/>
        <v>44894</v>
      </c>
      <c r="C233" s="105">
        <f t="shared" si="27"/>
        <v>0.26800000000000002</v>
      </c>
      <c r="D233" s="105">
        <f t="shared" si="27"/>
        <v>0.28599999999999998</v>
      </c>
      <c r="E233" s="105">
        <f t="shared" si="27"/>
        <v>6.6000000000000003E-2</v>
      </c>
      <c r="F233" s="105">
        <f t="shared" si="27"/>
        <v>2.5999999999999999E-2</v>
      </c>
      <c r="G233" s="107">
        <v>0.26800000000000002</v>
      </c>
      <c r="H233" s="107">
        <v>0.28599999999999998</v>
      </c>
      <c r="I233" s="106">
        <v>6.6000000000000003E-2</v>
      </c>
      <c r="J233" s="107">
        <v>2.5999999999999999E-2</v>
      </c>
      <c r="K233" s="94">
        <f>((9/3)*L230)+((3/3)*L242)</f>
        <v>20988</v>
      </c>
      <c r="L233" s="114"/>
      <c r="M233" s="421">
        <f t="shared" si="21"/>
        <v>0.6</v>
      </c>
      <c r="N233" s="421">
        <v>0.26</v>
      </c>
      <c r="O233" s="421">
        <f t="shared" si="22"/>
        <v>0.61</v>
      </c>
      <c r="P233" s="421">
        <v>0.34620000000000001</v>
      </c>
      <c r="Q233" s="421">
        <v>0.69640000000000002</v>
      </c>
      <c r="R233" s="421">
        <v>0.6</v>
      </c>
      <c r="S233" s="421">
        <v>0.61</v>
      </c>
    </row>
    <row r="234" spans="1:19" s="96" customFormat="1">
      <c r="A234" s="95">
        <f t="shared" si="24"/>
        <v>44561</v>
      </c>
      <c r="B234" s="95">
        <f t="shared" si="23"/>
        <v>44925</v>
      </c>
      <c r="C234" s="105">
        <f t="shared" si="27"/>
        <v>0.26800000000000002</v>
      </c>
      <c r="D234" s="105">
        <f t="shared" si="27"/>
        <v>0.28599999999999998</v>
      </c>
      <c r="E234" s="105">
        <f t="shared" si="27"/>
        <v>6.6000000000000003E-2</v>
      </c>
      <c r="F234" s="105">
        <f t="shared" si="27"/>
        <v>2.5999999999999999E-2</v>
      </c>
      <c r="G234" s="107">
        <v>0.26800000000000002</v>
      </c>
      <c r="H234" s="107">
        <v>0.28599999999999998</v>
      </c>
      <c r="I234" s="106">
        <v>6.6000000000000003E-2</v>
      </c>
      <c r="J234" s="107">
        <v>2.5999999999999999E-2</v>
      </c>
      <c r="K234" s="94">
        <f>((8/3)*L230)+((4/3)*L242)</f>
        <v>21074</v>
      </c>
      <c r="L234" s="114"/>
      <c r="M234" s="421">
        <f t="shared" si="21"/>
        <v>0.6</v>
      </c>
      <c r="N234" s="421">
        <v>0.26</v>
      </c>
      <c r="O234" s="421">
        <f t="shared" si="22"/>
        <v>0.61</v>
      </c>
      <c r="P234" s="421">
        <v>0.34620000000000001</v>
      </c>
      <c r="Q234" s="421">
        <v>0.69640000000000002</v>
      </c>
      <c r="R234" s="421">
        <v>0.6</v>
      </c>
      <c r="S234" s="421">
        <v>0.61</v>
      </c>
    </row>
    <row r="235" spans="1:19" s="96" customFormat="1">
      <c r="A235" s="95">
        <f t="shared" si="24"/>
        <v>44592</v>
      </c>
      <c r="B235" s="95">
        <f t="shared" si="23"/>
        <v>44956</v>
      </c>
      <c r="C235" s="105">
        <f t="shared" si="27"/>
        <v>0.26800000000000002</v>
      </c>
      <c r="D235" s="105">
        <f t="shared" si="27"/>
        <v>0.28599999999999998</v>
      </c>
      <c r="E235" s="105">
        <f t="shared" si="27"/>
        <v>6.6000000000000003E-2</v>
      </c>
      <c r="F235" s="105">
        <f t="shared" si="27"/>
        <v>2.5999999999999999E-2</v>
      </c>
      <c r="G235" s="107">
        <v>0.26800000000000002</v>
      </c>
      <c r="H235" s="107">
        <v>0.28599999999999998</v>
      </c>
      <c r="I235" s="106">
        <v>6.6000000000000003E-2</v>
      </c>
      <c r="J235" s="107">
        <v>2.5999999999999999E-2</v>
      </c>
      <c r="K235" s="94">
        <f>((7/3)*L230)+((5/3)*L242)</f>
        <v>21160</v>
      </c>
      <c r="L235" s="114"/>
      <c r="M235" s="421">
        <f t="shared" si="21"/>
        <v>0.6</v>
      </c>
      <c r="N235" s="421">
        <v>0.26</v>
      </c>
      <c r="O235" s="421">
        <f t="shared" si="22"/>
        <v>0.61</v>
      </c>
      <c r="P235" s="421">
        <v>0.34620000000000001</v>
      </c>
      <c r="Q235" s="421">
        <v>0.69640000000000002</v>
      </c>
      <c r="R235" s="421">
        <v>0.6</v>
      </c>
      <c r="S235" s="421">
        <v>0.61</v>
      </c>
    </row>
    <row r="236" spans="1:19" s="96" customFormat="1">
      <c r="A236" s="95">
        <f t="shared" si="24"/>
        <v>44620</v>
      </c>
      <c r="B236" s="95">
        <f t="shared" si="23"/>
        <v>44984</v>
      </c>
      <c r="C236" s="105">
        <f t="shared" si="27"/>
        <v>0.26800000000000002</v>
      </c>
      <c r="D236" s="105">
        <f t="shared" si="27"/>
        <v>0.28599999999999998</v>
      </c>
      <c r="E236" s="105">
        <f t="shared" si="27"/>
        <v>6.6000000000000003E-2</v>
      </c>
      <c r="F236" s="105">
        <f t="shared" si="27"/>
        <v>2.5999999999999999E-2</v>
      </c>
      <c r="G236" s="107">
        <v>0.26800000000000002</v>
      </c>
      <c r="H236" s="107">
        <v>0.28599999999999998</v>
      </c>
      <c r="I236" s="106">
        <v>6.6000000000000003E-2</v>
      </c>
      <c r="J236" s="107">
        <v>2.5999999999999999E-2</v>
      </c>
      <c r="K236" s="94">
        <f>((6/3)*L230)+((6/3)*L242)</f>
        <v>21247</v>
      </c>
      <c r="L236" s="114"/>
      <c r="M236" s="421">
        <f t="shared" si="21"/>
        <v>0.6</v>
      </c>
      <c r="N236" s="421">
        <v>0.26</v>
      </c>
      <c r="O236" s="421">
        <f t="shared" si="22"/>
        <v>0.61</v>
      </c>
      <c r="P236" s="421">
        <v>0.34620000000000001</v>
      </c>
      <c r="Q236" s="421">
        <v>0.69640000000000002</v>
      </c>
      <c r="R236" s="421">
        <v>0.6</v>
      </c>
      <c r="S236" s="421">
        <v>0.61</v>
      </c>
    </row>
    <row r="237" spans="1:19" s="96" customFormat="1">
      <c r="A237" s="95">
        <f t="shared" si="24"/>
        <v>44651</v>
      </c>
      <c r="B237" s="95">
        <f t="shared" si="23"/>
        <v>45015</v>
      </c>
      <c r="C237" s="105">
        <f t="shared" si="27"/>
        <v>0.26800000000000002</v>
      </c>
      <c r="D237" s="105">
        <f t="shared" si="27"/>
        <v>0.28599999999999998</v>
      </c>
      <c r="E237" s="105">
        <f t="shared" si="27"/>
        <v>6.6000000000000003E-2</v>
      </c>
      <c r="F237" s="105">
        <f t="shared" si="27"/>
        <v>2.5999999999999999E-2</v>
      </c>
      <c r="G237" s="107">
        <v>0.26800000000000002</v>
      </c>
      <c r="H237" s="107">
        <v>0.28599999999999998</v>
      </c>
      <c r="I237" s="106">
        <v>6.6000000000000003E-2</v>
      </c>
      <c r="J237" s="107">
        <v>2.5999999999999999E-2</v>
      </c>
      <c r="K237" s="94">
        <f>((5/3)*L230)+((7/3)*L242)</f>
        <v>21333</v>
      </c>
      <c r="L237" s="114"/>
      <c r="M237" s="421">
        <f t="shared" si="21"/>
        <v>0.6</v>
      </c>
      <c r="N237" s="421">
        <v>0.26</v>
      </c>
      <c r="O237" s="421">
        <f t="shared" si="22"/>
        <v>0.61</v>
      </c>
      <c r="P237" s="421">
        <v>0.34620000000000001</v>
      </c>
      <c r="Q237" s="421">
        <v>0.69640000000000002</v>
      </c>
      <c r="R237" s="421">
        <v>0.6</v>
      </c>
      <c r="S237" s="421">
        <v>0.61</v>
      </c>
    </row>
    <row r="238" spans="1:19" s="96" customFormat="1">
      <c r="A238" s="95">
        <f t="shared" si="24"/>
        <v>44681</v>
      </c>
      <c r="B238" s="95">
        <f t="shared" si="23"/>
        <v>45045</v>
      </c>
      <c r="C238" s="105">
        <f t="shared" si="27"/>
        <v>0.26800000000000002</v>
      </c>
      <c r="D238" s="105">
        <f t="shared" si="27"/>
        <v>0.28599999999999998</v>
      </c>
      <c r="E238" s="105">
        <f t="shared" si="27"/>
        <v>6.6000000000000003E-2</v>
      </c>
      <c r="F238" s="105">
        <f t="shared" si="27"/>
        <v>2.5999999999999999E-2</v>
      </c>
      <c r="G238" s="107">
        <v>0.26800000000000002</v>
      </c>
      <c r="H238" s="107">
        <v>0.28599999999999998</v>
      </c>
      <c r="I238" s="106">
        <v>6.6000000000000003E-2</v>
      </c>
      <c r="J238" s="107">
        <v>2.5999999999999999E-2</v>
      </c>
      <c r="K238" s="94">
        <f>((4/3)*L230)+((8/3)*L242)</f>
        <v>21420</v>
      </c>
      <c r="L238" s="114"/>
      <c r="M238" s="421">
        <f t="shared" si="21"/>
        <v>0.6</v>
      </c>
      <c r="N238" s="421">
        <v>0.26</v>
      </c>
      <c r="O238" s="421">
        <f t="shared" si="22"/>
        <v>0.61</v>
      </c>
      <c r="P238" s="421">
        <v>0.34620000000000001</v>
      </c>
      <c r="Q238" s="421">
        <v>0.69640000000000002</v>
      </c>
      <c r="R238" s="421">
        <v>0.6</v>
      </c>
      <c r="S238" s="421">
        <v>0.61</v>
      </c>
    </row>
    <row r="239" spans="1:19" s="96" customFormat="1">
      <c r="A239" s="95">
        <f t="shared" si="24"/>
        <v>44712</v>
      </c>
      <c r="B239" s="95">
        <f t="shared" si="23"/>
        <v>45076</v>
      </c>
      <c r="C239" s="105">
        <f t="shared" si="27"/>
        <v>0.26800000000000002</v>
      </c>
      <c r="D239" s="105">
        <f t="shared" si="27"/>
        <v>0.28599999999999998</v>
      </c>
      <c r="E239" s="105">
        <f t="shared" si="27"/>
        <v>6.6000000000000003E-2</v>
      </c>
      <c r="F239" s="105">
        <f t="shared" si="27"/>
        <v>2.5999999999999999E-2</v>
      </c>
      <c r="G239" s="107">
        <v>0.26800000000000002</v>
      </c>
      <c r="H239" s="107">
        <v>0.28599999999999998</v>
      </c>
      <c r="I239" s="106">
        <v>6.6000000000000003E-2</v>
      </c>
      <c r="J239" s="107">
        <v>2.5999999999999999E-2</v>
      </c>
      <c r="K239" s="94">
        <f>((3/3)*L230)+((9/3)*L242)</f>
        <v>21506</v>
      </c>
      <c r="L239" s="114"/>
      <c r="M239" s="421">
        <f t="shared" ref="M239:M302" si="28">AVERAGE(R239:R250)</f>
        <v>0.6</v>
      </c>
      <c r="N239" s="421">
        <v>0.26</v>
      </c>
      <c r="O239" s="421">
        <f t="shared" ref="O239:O302" si="29">AVERAGE(S239:S250)</f>
        <v>0.61</v>
      </c>
      <c r="P239" s="421">
        <v>0.34620000000000001</v>
      </c>
      <c r="Q239" s="421">
        <v>0.69640000000000002</v>
      </c>
      <c r="R239" s="421">
        <v>0.6</v>
      </c>
      <c r="S239" s="421">
        <v>0.61</v>
      </c>
    </row>
    <row r="240" spans="1:19" s="96" customFormat="1">
      <c r="A240" s="95">
        <f t="shared" si="24"/>
        <v>44742</v>
      </c>
      <c r="B240" s="95">
        <f t="shared" si="23"/>
        <v>45106</v>
      </c>
      <c r="C240" s="105">
        <f t="shared" si="27"/>
        <v>0.26800000000000002</v>
      </c>
      <c r="D240" s="105">
        <f t="shared" si="27"/>
        <v>0.28599999999999998</v>
      </c>
      <c r="E240" s="105">
        <f t="shared" si="27"/>
        <v>6.6000000000000003E-2</v>
      </c>
      <c r="F240" s="105">
        <f t="shared" si="27"/>
        <v>2.5999999999999999E-2</v>
      </c>
      <c r="G240" s="107">
        <v>0.26800000000000002</v>
      </c>
      <c r="H240" s="107">
        <v>0.28599999999999998</v>
      </c>
      <c r="I240" s="106">
        <v>6.6000000000000003E-2</v>
      </c>
      <c r="J240" s="107">
        <v>2.5999999999999999E-2</v>
      </c>
      <c r="K240" s="94">
        <f>((2/3)*L230)+((10/3)*L242)</f>
        <v>21592</v>
      </c>
      <c r="L240" s="114"/>
      <c r="M240" s="421">
        <f t="shared" si="28"/>
        <v>0.6</v>
      </c>
      <c r="N240" s="421">
        <v>0.26</v>
      </c>
      <c r="O240" s="421">
        <f t="shared" si="29"/>
        <v>0.61</v>
      </c>
      <c r="P240" s="421">
        <v>0.34620000000000001</v>
      </c>
      <c r="Q240" s="421">
        <v>0.69640000000000002</v>
      </c>
      <c r="R240" s="421">
        <v>0.6</v>
      </c>
      <c r="S240" s="421">
        <v>0.61</v>
      </c>
    </row>
    <row r="241" spans="1:19" s="96" customFormat="1">
      <c r="A241" s="95">
        <f t="shared" si="24"/>
        <v>44773</v>
      </c>
      <c r="B241" s="95">
        <f t="shared" si="23"/>
        <v>45137</v>
      </c>
      <c r="C241" s="105">
        <f t="shared" si="27"/>
        <v>0.26800000000000002</v>
      </c>
      <c r="D241" s="105">
        <f t="shared" si="27"/>
        <v>0.28599999999999998</v>
      </c>
      <c r="E241" s="105">
        <f t="shared" si="27"/>
        <v>6.6000000000000003E-2</v>
      </c>
      <c r="F241" s="105">
        <f t="shared" si="27"/>
        <v>2.5999999999999999E-2</v>
      </c>
      <c r="G241" s="107">
        <v>0.26800000000000002</v>
      </c>
      <c r="H241" s="107">
        <v>0.28599999999999998</v>
      </c>
      <c r="I241" s="106">
        <v>6.6000000000000003E-2</v>
      </c>
      <c r="J241" s="107">
        <v>2.5999999999999999E-2</v>
      </c>
      <c r="K241" s="94">
        <f>((1/3)*L230)+((11/3)*L242)</f>
        <v>21679</v>
      </c>
      <c r="L241" s="114"/>
      <c r="M241" s="421">
        <f t="shared" si="28"/>
        <v>0.6</v>
      </c>
      <c r="N241" s="421">
        <v>0.26</v>
      </c>
      <c r="O241" s="421">
        <f t="shared" si="29"/>
        <v>0.61</v>
      </c>
      <c r="P241" s="421">
        <v>0.34620000000000001</v>
      </c>
      <c r="Q241" s="421">
        <v>0.69640000000000002</v>
      </c>
      <c r="R241" s="421">
        <v>0.6</v>
      </c>
      <c r="S241" s="421">
        <v>0.61</v>
      </c>
    </row>
    <row r="242" spans="1:19" s="60" customFormat="1">
      <c r="A242" s="59">
        <f t="shared" si="24"/>
        <v>44804</v>
      </c>
      <c r="B242" s="59">
        <f t="shared" si="23"/>
        <v>45168</v>
      </c>
      <c r="C242" s="102">
        <f t="shared" si="27"/>
        <v>0.26800000000000002</v>
      </c>
      <c r="D242" s="102">
        <f t="shared" si="27"/>
        <v>0.28599999999999998</v>
      </c>
      <c r="E242" s="102">
        <f t="shared" si="27"/>
        <v>6.6000000000000003E-2</v>
      </c>
      <c r="F242" s="102">
        <f t="shared" si="27"/>
        <v>2.5999999999999999E-2</v>
      </c>
      <c r="G242" s="104">
        <v>0.26800000000000002</v>
      </c>
      <c r="H242" s="104">
        <v>0.28599999999999998</v>
      </c>
      <c r="I242" s="103">
        <v>6.6000000000000003E-2</v>
      </c>
      <c r="J242" s="104">
        <v>2.5999999999999999E-2</v>
      </c>
      <c r="K242" s="54">
        <f>(L242*4)</f>
        <v>21765</v>
      </c>
      <c r="L242" s="113">
        <f>L230*1.05</f>
        <v>5441.27</v>
      </c>
      <c r="M242" s="98">
        <f t="shared" si="28"/>
        <v>0.6</v>
      </c>
      <c r="N242" s="98">
        <v>0.26</v>
      </c>
      <c r="O242" s="98">
        <f t="shared" si="29"/>
        <v>0.61</v>
      </c>
      <c r="P242" s="98">
        <v>0.34620000000000001</v>
      </c>
      <c r="Q242" s="98">
        <v>0.69640000000000002</v>
      </c>
      <c r="R242" s="98">
        <v>0.6</v>
      </c>
      <c r="S242" s="98">
        <v>0.61</v>
      </c>
    </row>
    <row r="243" spans="1:19" s="60" customFormat="1">
      <c r="A243" s="59">
        <f t="shared" si="24"/>
        <v>44834</v>
      </c>
      <c r="B243" s="59">
        <f t="shared" si="23"/>
        <v>45198</v>
      </c>
      <c r="C243" s="102">
        <f t="shared" ref="C243:F258" si="30">AVERAGE(G243:G254)</f>
        <v>0.26800000000000002</v>
      </c>
      <c r="D243" s="102">
        <f t="shared" si="30"/>
        <v>0.28599999999999998</v>
      </c>
      <c r="E243" s="102">
        <f t="shared" si="30"/>
        <v>6.6000000000000003E-2</v>
      </c>
      <c r="F243" s="102">
        <f t="shared" si="30"/>
        <v>2.5999999999999999E-2</v>
      </c>
      <c r="G243" s="104">
        <v>0.26800000000000002</v>
      </c>
      <c r="H243" s="104">
        <v>0.28599999999999998</v>
      </c>
      <c r="I243" s="103">
        <v>6.6000000000000003E-2</v>
      </c>
      <c r="J243" s="104">
        <v>2.5999999999999999E-2</v>
      </c>
      <c r="K243" s="54">
        <f>((11/3)*L242)+((1/3)*L254)</f>
        <v>21856</v>
      </c>
      <c r="L243" s="113"/>
      <c r="M243" s="98">
        <f t="shared" si="28"/>
        <v>0.6</v>
      </c>
      <c r="N243" s="98">
        <v>0.26</v>
      </c>
      <c r="O243" s="98">
        <f t="shared" si="29"/>
        <v>0.61</v>
      </c>
      <c r="P243" s="98">
        <v>0.34620000000000001</v>
      </c>
      <c r="Q243" s="98">
        <v>0.69640000000000002</v>
      </c>
      <c r="R243" s="98">
        <v>0.6</v>
      </c>
      <c r="S243" s="98">
        <v>0.61</v>
      </c>
    </row>
    <row r="244" spans="1:19" s="60" customFormat="1">
      <c r="A244" s="59">
        <f t="shared" si="24"/>
        <v>44865</v>
      </c>
      <c r="B244" s="59">
        <f t="shared" si="23"/>
        <v>45229</v>
      </c>
      <c r="C244" s="102">
        <f t="shared" si="30"/>
        <v>0.26800000000000002</v>
      </c>
      <c r="D244" s="102">
        <f t="shared" si="30"/>
        <v>0.28599999999999998</v>
      </c>
      <c r="E244" s="102">
        <f t="shared" si="30"/>
        <v>6.6000000000000003E-2</v>
      </c>
      <c r="F244" s="102">
        <f t="shared" si="30"/>
        <v>2.5999999999999999E-2</v>
      </c>
      <c r="G244" s="104">
        <v>0.26800000000000002</v>
      </c>
      <c r="H244" s="104">
        <v>0.28599999999999998</v>
      </c>
      <c r="I244" s="103">
        <v>6.6000000000000003E-2</v>
      </c>
      <c r="J244" s="104">
        <v>2.5999999999999999E-2</v>
      </c>
      <c r="K244" s="54">
        <f>((10/3)*L242)+((2/3)*L254)</f>
        <v>21946</v>
      </c>
      <c r="L244" s="113"/>
      <c r="M244" s="98">
        <f t="shared" si="28"/>
        <v>0.6</v>
      </c>
      <c r="N244" s="98">
        <v>0.26</v>
      </c>
      <c r="O244" s="98">
        <f t="shared" si="29"/>
        <v>0.61</v>
      </c>
      <c r="P244" s="98">
        <v>0.34620000000000001</v>
      </c>
      <c r="Q244" s="98">
        <v>0.69640000000000002</v>
      </c>
      <c r="R244" s="98">
        <v>0.6</v>
      </c>
      <c r="S244" s="98">
        <v>0.61</v>
      </c>
    </row>
    <row r="245" spans="1:19" s="60" customFormat="1">
      <c r="A245" s="59">
        <f t="shared" si="24"/>
        <v>44895</v>
      </c>
      <c r="B245" s="59">
        <f t="shared" si="23"/>
        <v>45259</v>
      </c>
      <c r="C245" s="102">
        <f t="shared" si="30"/>
        <v>0.26800000000000002</v>
      </c>
      <c r="D245" s="102">
        <f t="shared" si="30"/>
        <v>0.28599999999999998</v>
      </c>
      <c r="E245" s="102">
        <f t="shared" si="30"/>
        <v>6.6000000000000003E-2</v>
      </c>
      <c r="F245" s="102">
        <f t="shared" si="30"/>
        <v>2.5999999999999999E-2</v>
      </c>
      <c r="G245" s="104">
        <v>0.26800000000000002</v>
      </c>
      <c r="H245" s="104">
        <v>0.28599999999999998</v>
      </c>
      <c r="I245" s="103">
        <v>6.6000000000000003E-2</v>
      </c>
      <c r="J245" s="104">
        <v>2.5999999999999999E-2</v>
      </c>
      <c r="K245" s="54">
        <f>((9/3)*L242)+((3/3)*L254)</f>
        <v>22037</v>
      </c>
      <c r="L245" s="113"/>
      <c r="M245" s="98">
        <f t="shared" si="28"/>
        <v>0.6</v>
      </c>
      <c r="N245" s="98">
        <v>0.26</v>
      </c>
      <c r="O245" s="98">
        <f t="shared" si="29"/>
        <v>0.61</v>
      </c>
      <c r="P245" s="98">
        <v>0.34620000000000001</v>
      </c>
      <c r="Q245" s="98">
        <v>0.69640000000000002</v>
      </c>
      <c r="R245" s="98">
        <v>0.6</v>
      </c>
      <c r="S245" s="98">
        <v>0.61</v>
      </c>
    </row>
    <row r="246" spans="1:19" s="60" customFormat="1">
      <c r="A246" s="59">
        <f t="shared" si="24"/>
        <v>44926</v>
      </c>
      <c r="B246" s="59">
        <f t="shared" si="23"/>
        <v>45290</v>
      </c>
      <c r="C246" s="102">
        <f t="shared" si="30"/>
        <v>0.26800000000000002</v>
      </c>
      <c r="D246" s="102">
        <f t="shared" si="30"/>
        <v>0.28599999999999998</v>
      </c>
      <c r="E246" s="102">
        <f t="shared" si="30"/>
        <v>6.6000000000000003E-2</v>
      </c>
      <c r="F246" s="102">
        <f t="shared" si="30"/>
        <v>2.5999999999999999E-2</v>
      </c>
      <c r="G246" s="104">
        <v>0.26800000000000002</v>
      </c>
      <c r="H246" s="104">
        <v>0.28599999999999998</v>
      </c>
      <c r="I246" s="103">
        <v>6.6000000000000003E-2</v>
      </c>
      <c r="J246" s="104">
        <v>2.5999999999999999E-2</v>
      </c>
      <c r="K246" s="54">
        <f>((8/3)*L242)+((4/3)*L254)</f>
        <v>22128</v>
      </c>
      <c r="L246" s="113"/>
      <c r="M246" s="98">
        <f t="shared" si="28"/>
        <v>0.6</v>
      </c>
      <c r="N246" s="98">
        <v>0.26</v>
      </c>
      <c r="O246" s="98">
        <f t="shared" si="29"/>
        <v>0.61</v>
      </c>
      <c r="P246" s="98">
        <v>0.34620000000000001</v>
      </c>
      <c r="Q246" s="98">
        <v>0.69640000000000002</v>
      </c>
      <c r="R246" s="98">
        <v>0.6</v>
      </c>
      <c r="S246" s="98">
        <v>0.61</v>
      </c>
    </row>
    <row r="247" spans="1:19" s="60" customFormat="1">
      <c r="A247" s="59">
        <f t="shared" si="24"/>
        <v>44957</v>
      </c>
      <c r="B247" s="59">
        <f t="shared" si="23"/>
        <v>45321</v>
      </c>
      <c r="C247" s="102">
        <f t="shared" si="30"/>
        <v>0.26800000000000002</v>
      </c>
      <c r="D247" s="102">
        <f t="shared" si="30"/>
        <v>0.28599999999999998</v>
      </c>
      <c r="E247" s="102">
        <f t="shared" si="30"/>
        <v>6.6000000000000003E-2</v>
      </c>
      <c r="F247" s="102">
        <f t="shared" si="30"/>
        <v>2.5999999999999999E-2</v>
      </c>
      <c r="G247" s="104">
        <v>0.26800000000000002</v>
      </c>
      <c r="H247" s="104">
        <v>0.28599999999999998</v>
      </c>
      <c r="I247" s="103">
        <v>6.6000000000000003E-2</v>
      </c>
      <c r="J247" s="104">
        <v>2.5999999999999999E-2</v>
      </c>
      <c r="K247" s="54">
        <f>((7/3)*L242)+((5/3)*L254)</f>
        <v>22219</v>
      </c>
      <c r="L247" s="113"/>
      <c r="M247" s="98">
        <f t="shared" si="28"/>
        <v>0.6</v>
      </c>
      <c r="N247" s="98">
        <v>0.26</v>
      </c>
      <c r="O247" s="98">
        <f t="shared" si="29"/>
        <v>0.61</v>
      </c>
      <c r="P247" s="98">
        <v>0.34620000000000001</v>
      </c>
      <c r="Q247" s="98">
        <v>0.69640000000000002</v>
      </c>
      <c r="R247" s="98">
        <v>0.6</v>
      </c>
      <c r="S247" s="98">
        <v>0.61</v>
      </c>
    </row>
    <row r="248" spans="1:19" s="60" customFormat="1">
      <c r="A248" s="59">
        <f t="shared" si="24"/>
        <v>44985</v>
      </c>
      <c r="B248" s="59">
        <f t="shared" si="23"/>
        <v>45350</v>
      </c>
      <c r="C248" s="102">
        <f t="shared" si="30"/>
        <v>0.26800000000000002</v>
      </c>
      <c r="D248" s="102">
        <f t="shared" si="30"/>
        <v>0.28599999999999998</v>
      </c>
      <c r="E248" s="102">
        <f t="shared" si="30"/>
        <v>6.6000000000000003E-2</v>
      </c>
      <c r="F248" s="102">
        <f t="shared" si="30"/>
        <v>2.5999999999999999E-2</v>
      </c>
      <c r="G248" s="104">
        <v>0.26800000000000002</v>
      </c>
      <c r="H248" s="104">
        <v>0.28599999999999998</v>
      </c>
      <c r="I248" s="103">
        <v>6.6000000000000003E-2</v>
      </c>
      <c r="J248" s="104">
        <v>2.5999999999999999E-2</v>
      </c>
      <c r="K248" s="54">
        <f>((6/3)*L242)+((6/3)*L254)</f>
        <v>22309</v>
      </c>
      <c r="L248" s="113"/>
      <c r="M248" s="98">
        <f t="shared" si="28"/>
        <v>0.6</v>
      </c>
      <c r="N248" s="98">
        <v>0.26</v>
      </c>
      <c r="O248" s="98">
        <f t="shared" si="29"/>
        <v>0.61</v>
      </c>
      <c r="P248" s="98">
        <v>0.34620000000000001</v>
      </c>
      <c r="Q248" s="98">
        <v>0.69640000000000002</v>
      </c>
      <c r="R248" s="98">
        <v>0.6</v>
      </c>
      <c r="S248" s="98">
        <v>0.61</v>
      </c>
    </row>
    <row r="249" spans="1:19" s="60" customFormat="1">
      <c r="A249" s="59">
        <f t="shared" si="24"/>
        <v>45016</v>
      </c>
      <c r="B249" s="59">
        <f t="shared" si="23"/>
        <v>45381</v>
      </c>
      <c r="C249" s="102">
        <f t="shared" si="30"/>
        <v>0.26800000000000002</v>
      </c>
      <c r="D249" s="102">
        <f t="shared" si="30"/>
        <v>0.28599999999999998</v>
      </c>
      <c r="E249" s="102">
        <f t="shared" si="30"/>
        <v>6.6000000000000003E-2</v>
      </c>
      <c r="F249" s="102">
        <f t="shared" si="30"/>
        <v>2.5999999999999999E-2</v>
      </c>
      <c r="G249" s="104">
        <v>0.26800000000000002</v>
      </c>
      <c r="H249" s="104">
        <v>0.28599999999999998</v>
      </c>
      <c r="I249" s="103">
        <v>6.6000000000000003E-2</v>
      </c>
      <c r="J249" s="104">
        <v>2.5999999999999999E-2</v>
      </c>
      <c r="K249" s="54">
        <f>((5/3)*L242)+((7/3)*L254)</f>
        <v>22400</v>
      </c>
      <c r="L249" s="113"/>
      <c r="M249" s="98">
        <f t="shared" si="28"/>
        <v>0.6</v>
      </c>
      <c r="N249" s="98">
        <v>0.26</v>
      </c>
      <c r="O249" s="98">
        <f t="shared" si="29"/>
        <v>0.61</v>
      </c>
      <c r="P249" s="98">
        <v>0.34620000000000001</v>
      </c>
      <c r="Q249" s="98">
        <v>0.69640000000000002</v>
      </c>
      <c r="R249" s="98">
        <v>0.6</v>
      </c>
      <c r="S249" s="98">
        <v>0.61</v>
      </c>
    </row>
    <row r="250" spans="1:19" s="60" customFormat="1">
      <c r="A250" s="59">
        <f t="shared" si="24"/>
        <v>45046</v>
      </c>
      <c r="B250" s="59">
        <f t="shared" si="23"/>
        <v>45411</v>
      </c>
      <c r="C250" s="102">
        <f t="shared" si="30"/>
        <v>0.26800000000000002</v>
      </c>
      <c r="D250" s="102">
        <f t="shared" si="30"/>
        <v>0.28599999999999998</v>
      </c>
      <c r="E250" s="102">
        <f t="shared" si="30"/>
        <v>6.6000000000000003E-2</v>
      </c>
      <c r="F250" s="102">
        <f t="shared" si="30"/>
        <v>2.5999999999999999E-2</v>
      </c>
      <c r="G250" s="104">
        <v>0.26800000000000002</v>
      </c>
      <c r="H250" s="104">
        <v>0.28599999999999998</v>
      </c>
      <c r="I250" s="103">
        <v>6.6000000000000003E-2</v>
      </c>
      <c r="J250" s="104">
        <v>2.5999999999999999E-2</v>
      </c>
      <c r="K250" s="54">
        <f>((4/3)*L242)+((8/3)*L254)</f>
        <v>22491</v>
      </c>
      <c r="L250" s="113"/>
      <c r="M250" s="98">
        <f t="shared" si="28"/>
        <v>0.6</v>
      </c>
      <c r="N250" s="98">
        <v>0.26</v>
      </c>
      <c r="O250" s="98">
        <f t="shared" si="29"/>
        <v>0.61</v>
      </c>
      <c r="P250" s="98">
        <v>0.34620000000000001</v>
      </c>
      <c r="Q250" s="98">
        <v>0.69640000000000002</v>
      </c>
      <c r="R250" s="98">
        <v>0.6</v>
      </c>
      <c r="S250" s="98">
        <v>0.61</v>
      </c>
    </row>
    <row r="251" spans="1:19" s="60" customFormat="1">
      <c r="A251" s="59">
        <f t="shared" si="24"/>
        <v>45077</v>
      </c>
      <c r="B251" s="59">
        <f t="shared" si="23"/>
        <v>45442</v>
      </c>
      <c r="C251" s="102">
        <f t="shared" si="30"/>
        <v>0.26800000000000002</v>
      </c>
      <c r="D251" s="102">
        <f t="shared" si="30"/>
        <v>0.28599999999999998</v>
      </c>
      <c r="E251" s="102">
        <f t="shared" si="30"/>
        <v>6.6000000000000003E-2</v>
      </c>
      <c r="F251" s="102">
        <f t="shared" si="30"/>
        <v>2.5999999999999999E-2</v>
      </c>
      <c r="G251" s="104">
        <v>0.26800000000000002</v>
      </c>
      <c r="H251" s="104">
        <v>0.28599999999999998</v>
      </c>
      <c r="I251" s="103">
        <v>6.6000000000000003E-2</v>
      </c>
      <c r="J251" s="104">
        <v>2.5999999999999999E-2</v>
      </c>
      <c r="K251" s="54">
        <f>((3/3)*L242)+((9/3)*L254)</f>
        <v>22581</v>
      </c>
      <c r="L251" s="113"/>
      <c r="M251" s="98">
        <f t="shared" si="28"/>
        <v>0.6</v>
      </c>
      <c r="N251" s="98">
        <v>0.26</v>
      </c>
      <c r="O251" s="98">
        <f t="shared" si="29"/>
        <v>0.61</v>
      </c>
      <c r="P251" s="98">
        <v>0.34620000000000001</v>
      </c>
      <c r="Q251" s="98">
        <v>0.69640000000000002</v>
      </c>
      <c r="R251" s="98">
        <v>0.6</v>
      </c>
      <c r="S251" s="98">
        <v>0.61</v>
      </c>
    </row>
    <row r="252" spans="1:19" s="60" customFormat="1">
      <c r="A252" s="59">
        <f t="shared" si="24"/>
        <v>45107</v>
      </c>
      <c r="B252" s="59">
        <f t="shared" si="23"/>
        <v>45472</v>
      </c>
      <c r="C252" s="102">
        <f t="shared" si="30"/>
        <v>0.26800000000000002</v>
      </c>
      <c r="D252" s="102">
        <f t="shared" si="30"/>
        <v>0.28599999999999998</v>
      </c>
      <c r="E252" s="102">
        <f t="shared" si="30"/>
        <v>6.6000000000000003E-2</v>
      </c>
      <c r="F252" s="102">
        <f t="shared" si="30"/>
        <v>2.5999999999999999E-2</v>
      </c>
      <c r="G252" s="104">
        <v>0.26800000000000002</v>
      </c>
      <c r="H252" s="104">
        <v>0.28599999999999998</v>
      </c>
      <c r="I252" s="103">
        <v>6.6000000000000003E-2</v>
      </c>
      <c r="J252" s="104">
        <v>2.5999999999999999E-2</v>
      </c>
      <c r="K252" s="54">
        <f>((2/3)*L242)+((10/3)*L254)</f>
        <v>22672</v>
      </c>
      <c r="L252" s="113"/>
      <c r="M252" s="98">
        <f t="shared" si="28"/>
        <v>0.6</v>
      </c>
      <c r="N252" s="98">
        <v>0.26</v>
      </c>
      <c r="O252" s="98">
        <f t="shared" si="29"/>
        <v>0.61</v>
      </c>
      <c r="P252" s="98">
        <v>0.34620000000000001</v>
      </c>
      <c r="Q252" s="98">
        <v>0.69640000000000002</v>
      </c>
      <c r="R252" s="98">
        <v>0.6</v>
      </c>
      <c r="S252" s="98">
        <v>0.61</v>
      </c>
    </row>
    <row r="253" spans="1:19" s="60" customFormat="1">
      <c r="A253" s="59">
        <f t="shared" si="24"/>
        <v>45138</v>
      </c>
      <c r="B253" s="59">
        <f t="shared" si="23"/>
        <v>45503</v>
      </c>
      <c r="C253" s="99">
        <f t="shared" si="30"/>
        <v>0.26800000000000002</v>
      </c>
      <c r="D253" s="99">
        <f t="shared" si="30"/>
        <v>0.28599999999999998</v>
      </c>
      <c r="E253" s="99">
        <f t="shared" si="30"/>
        <v>6.6000000000000003E-2</v>
      </c>
      <c r="F253" s="99">
        <f t="shared" si="30"/>
        <v>2.5999999999999999E-2</v>
      </c>
      <c r="G253" s="104">
        <v>0.26800000000000002</v>
      </c>
      <c r="H253" s="104">
        <v>0.28599999999999998</v>
      </c>
      <c r="I253" s="103">
        <v>6.6000000000000003E-2</v>
      </c>
      <c r="J253" s="104">
        <v>2.5999999999999999E-2</v>
      </c>
      <c r="K253" s="54">
        <f>((1/3)*L242)+((11/3)*L254)</f>
        <v>22763</v>
      </c>
      <c r="L253" s="113"/>
      <c r="M253" s="98">
        <f t="shared" si="28"/>
        <v>0.6</v>
      </c>
      <c r="N253" s="98">
        <v>0.26</v>
      </c>
      <c r="O253" s="98">
        <f t="shared" si="29"/>
        <v>0.61</v>
      </c>
      <c r="P253" s="98">
        <v>0.34620000000000001</v>
      </c>
      <c r="Q253" s="98">
        <v>0.69640000000000002</v>
      </c>
      <c r="R253" s="98">
        <v>0.6</v>
      </c>
      <c r="S253" s="98">
        <v>0.61</v>
      </c>
    </row>
    <row r="254" spans="1:19" s="96" customFormat="1">
      <c r="A254" s="95">
        <f t="shared" si="24"/>
        <v>45169</v>
      </c>
      <c r="B254" s="95">
        <f t="shared" si="23"/>
        <v>45534</v>
      </c>
      <c r="C254" s="105">
        <f t="shared" si="30"/>
        <v>0.26800000000000002</v>
      </c>
      <c r="D254" s="105">
        <f t="shared" si="30"/>
        <v>0.28599999999999998</v>
      </c>
      <c r="E254" s="105">
        <f t="shared" si="30"/>
        <v>6.6000000000000003E-2</v>
      </c>
      <c r="F254" s="105">
        <f t="shared" si="30"/>
        <v>2.5999999999999999E-2</v>
      </c>
      <c r="G254" s="107">
        <v>0.26800000000000002</v>
      </c>
      <c r="H254" s="107">
        <v>0.28599999999999998</v>
      </c>
      <c r="I254" s="106">
        <v>6.6000000000000003E-2</v>
      </c>
      <c r="J254" s="107">
        <v>2.5999999999999999E-2</v>
      </c>
      <c r="K254" s="94">
        <f>(L254*4)</f>
        <v>22853</v>
      </c>
      <c r="L254" s="114">
        <f>L242*1.05</f>
        <v>5713.33</v>
      </c>
      <c r="M254" s="421">
        <f t="shared" si="28"/>
        <v>0.6</v>
      </c>
      <c r="N254" s="421">
        <v>0.26</v>
      </c>
      <c r="O254" s="421">
        <f t="shared" si="29"/>
        <v>0.61</v>
      </c>
      <c r="P254" s="421">
        <v>0.34620000000000001</v>
      </c>
      <c r="Q254" s="421">
        <v>0.69640000000000002</v>
      </c>
      <c r="R254" s="421">
        <v>0.6</v>
      </c>
      <c r="S254" s="421">
        <v>0.61</v>
      </c>
    </row>
    <row r="255" spans="1:19" s="96" customFormat="1">
      <c r="A255" s="95">
        <f t="shared" si="24"/>
        <v>45199</v>
      </c>
      <c r="B255" s="95">
        <f t="shared" si="23"/>
        <v>45564</v>
      </c>
      <c r="C255" s="105">
        <f t="shared" si="30"/>
        <v>0.26800000000000002</v>
      </c>
      <c r="D255" s="105">
        <f t="shared" si="30"/>
        <v>0.28599999999999998</v>
      </c>
      <c r="E255" s="105">
        <f t="shared" si="30"/>
        <v>6.6000000000000003E-2</v>
      </c>
      <c r="F255" s="105">
        <f t="shared" si="30"/>
        <v>2.5999999999999999E-2</v>
      </c>
      <c r="G255" s="107">
        <v>0.26800000000000002</v>
      </c>
      <c r="H255" s="107">
        <v>0.28599999999999998</v>
      </c>
      <c r="I255" s="106">
        <v>6.6000000000000003E-2</v>
      </c>
      <c r="J255" s="107">
        <v>2.5999999999999999E-2</v>
      </c>
      <c r="K255" s="94">
        <f>((11/3)*L254)+((1/3)*L266)</f>
        <v>22949</v>
      </c>
      <c r="L255" s="114"/>
      <c r="M255" s="421">
        <f t="shared" si="28"/>
        <v>0.6</v>
      </c>
      <c r="N255" s="421">
        <v>0.26</v>
      </c>
      <c r="O255" s="421">
        <f t="shared" si="29"/>
        <v>0.61</v>
      </c>
      <c r="P255" s="421">
        <v>0.34620000000000001</v>
      </c>
      <c r="Q255" s="421">
        <v>0.69640000000000002</v>
      </c>
      <c r="R255" s="421">
        <v>0.6</v>
      </c>
      <c r="S255" s="421">
        <v>0.61</v>
      </c>
    </row>
    <row r="256" spans="1:19" s="96" customFormat="1">
      <c r="A256" s="95">
        <f t="shared" si="24"/>
        <v>45230</v>
      </c>
      <c r="B256" s="95">
        <f t="shared" si="23"/>
        <v>45595</v>
      </c>
      <c r="C256" s="105">
        <f t="shared" si="30"/>
        <v>0.26800000000000002</v>
      </c>
      <c r="D256" s="105">
        <f t="shared" si="30"/>
        <v>0.28599999999999998</v>
      </c>
      <c r="E256" s="105">
        <f t="shared" si="30"/>
        <v>6.6000000000000003E-2</v>
      </c>
      <c r="F256" s="105">
        <f t="shared" si="30"/>
        <v>2.5999999999999999E-2</v>
      </c>
      <c r="G256" s="107">
        <v>0.26800000000000002</v>
      </c>
      <c r="H256" s="107">
        <v>0.28599999999999998</v>
      </c>
      <c r="I256" s="106">
        <v>6.6000000000000003E-2</v>
      </c>
      <c r="J256" s="107">
        <v>2.5999999999999999E-2</v>
      </c>
      <c r="K256" s="94">
        <f>((10/3)*L254)+((2/3)*L266)</f>
        <v>23044</v>
      </c>
      <c r="L256" s="114"/>
      <c r="M256" s="421">
        <f t="shared" si="28"/>
        <v>0.6</v>
      </c>
      <c r="N256" s="421">
        <v>0.26</v>
      </c>
      <c r="O256" s="421">
        <f t="shared" si="29"/>
        <v>0.61</v>
      </c>
      <c r="P256" s="421">
        <v>0.34620000000000001</v>
      </c>
      <c r="Q256" s="421">
        <v>0.69640000000000002</v>
      </c>
      <c r="R256" s="421">
        <v>0.6</v>
      </c>
      <c r="S256" s="421">
        <v>0.61</v>
      </c>
    </row>
    <row r="257" spans="1:19" s="96" customFormat="1">
      <c r="A257" s="95">
        <f t="shared" si="24"/>
        <v>45260</v>
      </c>
      <c r="B257" s="95">
        <f t="shared" si="23"/>
        <v>45625</v>
      </c>
      <c r="C257" s="105">
        <f t="shared" si="30"/>
        <v>0.26800000000000002</v>
      </c>
      <c r="D257" s="105">
        <f t="shared" si="30"/>
        <v>0.28599999999999998</v>
      </c>
      <c r="E257" s="105">
        <f t="shared" si="30"/>
        <v>6.6000000000000003E-2</v>
      </c>
      <c r="F257" s="105">
        <f t="shared" si="30"/>
        <v>2.5999999999999999E-2</v>
      </c>
      <c r="G257" s="107">
        <v>0.26800000000000002</v>
      </c>
      <c r="H257" s="107">
        <v>0.28599999999999998</v>
      </c>
      <c r="I257" s="106">
        <v>6.6000000000000003E-2</v>
      </c>
      <c r="J257" s="107">
        <v>2.5999999999999999E-2</v>
      </c>
      <c r="K257" s="94">
        <f>((9/3)*L254)+((3/3)*L266)</f>
        <v>23139</v>
      </c>
      <c r="L257" s="114"/>
      <c r="M257" s="421">
        <f t="shared" si="28"/>
        <v>0.6</v>
      </c>
      <c r="N257" s="421">
        <v>0.26</v>
      </c>
      <c r="O257" s="421">
        <f t="shared" si="29"/>
        <v>0.61</v>
      </c>
      <c r="P257" s="421">
        <v>0.34620000000000001</v>
      </c>
      <c r="Q257" s="421">
        <v>0.69640000000000002</v>
      </c>
      <c r="R257" s="421">
        <v>0.6</v>
      </c>
      <c r="S257" s="421">
        <v>0.61</v>
      </c>
    </row>
    <row r="258" spans="1:19" s="96" customFormat="1">
      <c r="A258" s="95">
        <f t="shared" si="24"/>
        <v>45291</v>
      </c>
      <c r="B258" s="95">
        <f t="shared" ref="B258:B321" si="31">EDATE(A258,12)-1</f>
        <v>45656</v>
      </c>
      <c r="C258" s="105">
        <f t="shared" si="30"/>
        <v>0.26800000000000002</v>
      </c>
      <c r="D258" s="105">
        <f t="shared" si="30"/>
        <v>0.28599999999999998</v>
      </c>
      <c r="E258" s="105">
        <f t="shared" si="30"/>
        <v>6.6000000000000003E-2</v>
      </c>
      <c r="F258" s="105">
        <f t="shared" si="30"/>
        <v>2.5999999999999999E-2</v>
      </c>
      <c r="G258" s="107">
        <v>0.26800000000000002</v>
      </c>
      <c r="H258" s="107">
        <v>0.28599999999999998</v>
      </c>
      <c r="I258" s="106">
        <v>6.6000000000000003E-2</v>
      </c>
      <c r="J258" s="107">
        <v>2.5999999999999999E-2</v>
      </c>
      <c r="K258" s="94">
        <f>((8/3)*L254)+((4/3)*L266)</f>
        <v>23234</v>
      </c>
      <c r="L258" s="114"/>
      <c r="M258" s="421">
        <f t="shared" si="28"/>
        <v>0.6</v>
      </c>
      <c r="N258" s="421">
        <v>0.26</v>
      </c>
      <c r="O258" s="421">
        <f t="shared" si="29"/>
        <v>0.61</v>
      </c>
      <c r="P258" s="421">
        <v>0.34620000000000001</v>
      </c>
      <c r="Q258" s="421">
        <v>0.69640000000000002</v>
      </c>
      <c r="R258" s="421">
        <v>0.6</v>
      </c>
      <c r="S258" s="421">
        <v>0.61</v>
      </c>
    </row>
    <row r="259" spans="1:19" s="96" customFormat="1">
      <c r="A259" s="95">
        <f t="shared" ref="A259:A322" si="32">EDATE(A258,1)</f>
        <v>45322</v>
      </c>
      <c r="B259" s="95">
        <f t="shared" si="31"/>
        <v>45687</v>
      </c>
      <c r="C259" s="105">
        <f t="shared" ref="C259:F274" si="33">AVERAGE(G259:G270)</f>
        <v>0.26800000000000002</v>
      </c>
      <c r="D259" s="105">
        <f t="shared" si="33"/>
        <v>0.28599999999999998</v>
      </c>
      <c r="E259" s="105">
        <f t="shared" si="33"/>
        <v>6.6000000000000003E-2</v>
      </c>
      <c r="F259" s="105">
        <f t="shared" si="33"/>
        <v>2.5999999999999999E-2</v>
      </c>
      <c r="G259" s="107">
        <v>0.26800000000000002</v>
      </c>
      <c r="H259" s="107">
        <v>0.28599999999999998</v>
      </c>
      <c r="I259" s="106">
        <v>6.6000000000000003E-2</v>
      </c>
      <c r="J259" s="107">
        <v>2.5999999999999999E-2</v>
      </c>
      <c r="K259" s="94">
        <f>((7/3)*L254)+((5/3)*L266)</f>
        <v>23329</v>
      </c>
      <c r="L259" s="114"/>
      <c r="M259" s="421">
        <f t="shared" si="28"/>
        <v>0.6</v>
      </c>
      <c r="N259" s="421">
        <v>0.26</v>
      </c>
      <c r="O259" s="421">
        <f t="shared" si="29"/>
        <v>0.61</v>
      </c>
      <c r="P259" s="421">
        <v>0.34620000000000001</v>
      </c>
      <c r="Q259" s="421">
        <v>0.69640000000000002</v>
      </c>
      <c r="R259" s="421">
        <v>0.6</v>
      </c>
      <c r="S259" s="421">
        <v>0.61</v>
      </c>
    </row>
    <row r="260" spans="1:19" s="96" customFormat="1">
      <c r="A260" s="95">
        <f t="shared" si="32"/>
        <v>45351</v>
      </c>
      <c r="B260" s="95">
        <f t="shared" si="31"/>
        <v>45715</v>
      </c>
      <c r="C260" s="105">
        <f t="shared" si="33"/>
        <v>0.26800000000000002</v>
      </c>
      <c r="D260" s="105">
        <f t="shared" si="33"/>
        <v>0.28599999999999998</v>
      </c>
      <c r="E260" s="105">
        <f t="shared" si="33"/>
        <v>6.6000000000000003E-2</v>
      </c>
      <c r="F260" s="105">
        <f t="shared" si="33"/>
        <v>2.5999999999999999E-2</v>
      </c>
      <c r="G260" s="107">
        <v>0.26800000000000002</v>
      </c>
      <c r="H260" s="107">
        <v>0.28599999999999998</v>
      </c>
      <c r="I260" s="106">
        <v>6.6000000000000003E-2</v>
      </c>
      <c r="J260" s="107">
        <v>2.5999999999999999E-2</v>
      </c>
      <c r="K260" s="94">
        <f>((6/3)*L254)+((6/3)*L266)</f>
        <v>23425</v>
      </c>
      <c r="L260" s="114"/>
      <c r="M260" s="421">
        <f t="shared" si="28"/>
        <v>0.6</v>
      </c>
      <c r="N260" s="421">
        <v>0.26</v>
      </c>
      <c r="O260" s="421">
        <f t="shared" si="29"/>
        <v>0.61</v>
      </c>
      <c r="P260" s="421">
        <v>0.34620000000000001</v>
      </c>
      <c r="Q260" s="421">
        <v>0.69640000000000002</v>
      </c>
      <c r="R260" s="421">
        <v>0.6</v>
      </c>
      <c r="S260" s="421">
        <v>0.61</v>
      </c>
    </row>
    <row r="261" spans="1:19" s="96" customFormat="1">
      <c r="A261" s="95">
        <f t="shared" si="32"/>
        <v>45382</v>
      </c>
      <c r="B261" s="95">
        <f t="shared" si="31"/>
        <v>45746</v>
      </c>
      <c r="C261" s="105">
        <f t="shared" si="33"/>
        <v>0.26800000000000002</v>
      </c>
      <c r="D261" s="105">
        <f t="shared" si="33"/>
        <v>0.28599999999999998</v>
      </c>
      <c r="E261" s="105">
        <f t="shared" si="33"/>
        <v>6.6000000000000003E-2</v>
      </c>
      <c r="F261" s="105">
        <f t="shared" si="33"/>
        <v>2.5999999999999999E-2</v>
      </c>
      <c r="G261" s="107">
        <v>0.26800000000000002</v>
      </c>
      <c r="H261" s="107">
        <v>0.28599999999999998</v>
      </c>
      <c r="I261" s="106">
        <v>6.6000000000000003E-2</v>
      </c>
      <c r="J261" s="107">
        <v>2.5999999999999999E-2</v>
      </c>
      <c r="K261" s="94">
        <f>((5/3)*L254)+((7/3)*L266)</f>
        <v>23520</v>
      </c>
      <c r="L261" s="114"/>
      <c r="M261" s="421">
        <f t="shared" si="28"/>
        <v>0.6</v>
      </c>
      <c r="N261" s="421">
        <v>0.26</v>
      </c>
      <c r="O261" s="421">
        <f t="shared" si="29"/>
        <v>0.61</v>
      </c>
      <c r="P261" s="421">
        <v>0.34620000000000001</v>
      </c>
      <c r="Q261" s="421">
        <v>0.69640000000000002</v>
      </c>
      <c r="R261" s="421">
        <v>0.6</v>
      </c>
      <c r="S261" s="421">
        <v>0.61</v>
      </c>
    </row>
    <row r="262" spans="1:19" s="96" customFormat="1">
      <c r="A262" s="95">
        <f t="shared" si="32"/>
        <v>45412</v>
      </c>
      <c r="B262" s="95">
        <f t="shared" si="31"/>
        <v>45776</v>
      </c>
      <c r="C262" s="105">
        <f t="shared" si="33"/>
        <v>0.26800000000000002</v>
      </c>
      <c r="D262" s="105">
        <f t="shared" si="33"/>
        <v>0.28599999999999998</v>
      </c>
      <c r="E262" s="105">
        <f t="shared" si="33"/>
        <v>6.6000000000000003E-2</v>
      </c>
      <c r="F262" s="105">
        <f t="shared" si="33"/>
        <v>2.5999999999999999E-2</v>
      </c>
      <c r="G262" s="107">
        <v>0.26800000000000002</v>
      </c>
      <c r="H262" s="107">
        <v>0.28599999999999998</v>
      </c>
      <c r="I262" s="106">
        <v>6.6000000000000003E-2</v>
      </c>
      <c r="J262" s="107">
        <v>2.5999999999999999E-2</v>
      </c>
      <c r="K262" s="94">
        <f>((4/3)*L254)+((8/3)*L266)</f>
        <v>23615</v>
      </c>
      <c r="L262" s="114"/>
      <c r="M262" s="421">
        <f t="shared" si="28"/>
        <v>0.6</v>
      </c>
      <c r="N262" s="421">
        <v>0.26</v>
      </c>
      <c r="O262" s="421">
        <f t="shared" si="29"/>
        <v>0.61</v>
      </c>
      <c r="P262" s="421">
        <v>0.34620000000000001</v>
      </c>
      <c r="Q262" s="421">
        <v>0.69640000000000002</v>
      </c>
      <c r="R262" s="421">
        <v>0.6</v>
      </c>
      <c r="S262" s="421">
        <v>0.61</v>
      </c>
    </row>
    <row r="263" spans="1:19" s="96" customFormat="1">
      <c r="A263" s="95">
        <f t="shared" si="32"/>
        <v>45443</v>
      </c>
      <c r="B263" s="95">
        <f t="shared" si="31"/>
        <v>45807</v>
      </c>
      <c r="C263" s="105">
        <f t="shared" si="33"/>
        <v>0.26800000000000002</v>
      </c>
      <c r="D263" s="105">
        <f t="shared" si="33"/>
        <v>0.28599999999999998</v>
      </c>
      <c r="E263" s="105">
        <f t="shared" si="33"/>
        <v>6.6000000000000003E-2</v>
      </c>
      <c r="F263" s="105">
        <f t="shared" si="33"/>
        <v>2.5999999999999999E-2</v>
      </c>
      <c r="G263" s="107">
        <v>0.26800000000000002</v>
      </c>
      <c r="H263" s="107">
        <v>0.28599999999999998</v>
      </c>
      <c r="I263" s="106">
        <v>6.6000000000000003E-2</v>
      </c>
      <c r="J263" s="107">
        <v>2.5999999999999999E-2</v>
      </c>
      <c r="K263" s="94">
        <f>((3/3)*L254)+((9/3)*L266)</f>
        <v>23710</v>
      </c>
      <c r="L263" s="114"/>
      <c r="M263" s="421">
        <f t="shared" si="28"/>
        <v>0.6</v>
      </c>
      <c r="N263" s="421">
        <v>0.26</v>
      </c>
      <c r="O263" s="421">
        <f t="shared" si="29"/>
        <v>0.61</v>
      </c>
      <c r="P263" s="421">
        <v>0.34620000000000001</v>
      </c>
      <c r="Q263" s="421">
        <v>0.69640000000000002</v>
      </c>
      <c r="R263" s="421">
        <v>0.6</v>
      </c>
      <c r="S263" s="421">
        <v>0.61</v>
      </c>
    </row>
    <row r="264" spans="1:19" s="96" customFormat="1">
      <c r="A264" s="95">
        <f t="shared" si="32"/>
        <v>45473</v>
      </c>
      <c r="B264" s="95">
        <f t="shared" si="31"/>
        <v>45837</v>
      </c>
      <c r="C264" s="105">
        <f t="shared" si="33"/>
        <v>0.26800000000000002</v>
      </c>
      <c r="D264" s="105">
        <f t="shared" si="33"/>
        <v>0.28599999999999998</v>
      </c>
      <c r="E264" s="105">
        <f t="shared" si="33"/>
        <v>6.6000000000000003E-2</v>
      </c>
      <c r="F264" s="105">
        <f t="shared" si="33"/>
        <v>2.5999999999999999E-2</v>
      </c>
      <c r="G264" s="107">
        <v>0.26800000000000002</v>
      </c>
      <c r="H264" s="107">
        <v>0.28599999999999998</v>
      </c>
      <c r="I264" s="106">
        <v>6.6000000000000003E-2</v>
      </c>
      <c r="J264" s="107">
        <v>2.5999999999999999E-2</v>
      </c>
      <c r="K264" s="94">
        <f>((2/3)*L254)+((10/3)*L266)</f>
        <v>23806</v>
      </c>
      <c r="L264" s="114"/>
      <c r="M264" s="421">
        <f t="shared" si="28"/>
        <v>0.6</v>
      </c>
      <c r="N264" s="421">
        <v>0.26</v>
      </c>
      <c r="O264" s="421">
        <f t="shared" si="29"/>
        <v>0.61</v>
      </c>
      <c r="P264" s="421">
        <v>0.34620000000000001</v>
      </c>
      <c r="Q264" s="421">
        <v>0.69640000000000002</v>
      </c>
      <c r="R264" s="421">
        <v>0.6</v>
      </c>
      <c r="S264" s="421">
        <v>0.61</v>
      </c>
    </row>
    <row r="265" spans="1:19" s="96" customFormat="1">
      <c r="A265" s="95">
        <f t="shared" si="32"/>
        <v>45504</v>
      </c>
      <c r="B265" s="95">
        <f t="shared" si="31"/>
        <v>45868</v>
      </c>
      <c r="C265" s="105">
        <f t="shared" si="33"/>
        <v>0.26800000000000002</v>
      </c>
      <c r="D265" s="105">
        <f t="shared" si="33"/>
        <v>0.28599999999999998</v>
      </c>
      <c r="E265" s="105">
        <f t="shared" si="33"/>
        <v>6.6000000000000003E-2</v>
      </c>
      <c r="F265" s="105">
        <f t="shared" si="33"/>
        <v>2.5999999999999999E-2</v>
      </c>
      <c r="G265" s="107">
        <v>0.26800000000000002</v>
      </c>
      <c r="H265" s="107">
        <v>0.28599999999999998</v>
      </c>
      <c r="I265" s="106">
        <v>6.6000000000000003E-2</v>
      </c>
      <c r="J265" s="107">
        <v>2.5999999999999999E-2</v>
      </c>
      <c r="K265" s="94">
        <f>((1/3)*L254)+((11/3)*L266)</f>
        <v>23901</v>
      </c>
      <c r="L265" s="114"/>
      <c r="M265" s="421">
        <f t="shared" si="28"/>
        <v>0.6</v>
      </c>
      <c r="N265" s="421">
        <v>0.26</v>
      </c>
      <c r="O265" s="421">
        <f t="shared" si="29"/>
        <v>0.61</v>
      </c>
      <c r="P265" s="421">
        <v>0.34620000000000001</v>
      </c>
      <c r="Q265" s="421">
        <v>0.69640000000000002</v>
      </c>
      <c r="R265" s="421">
        <v>0.6</v>
      </c>
      <c r="S265" s="421">
        <v>0.61</v>
      </c>
    </row>
    <row r="266" spans="1:19" s="60" customFormat="1">
      <c r="A266" s="59">
        <f t="shared" si="32"/>
        <v>45535</v>
      </c>
      <c r="B266" s="59">
        <f t="shared" si="31"/>
        <v>45899</v>
      </c>
      <c r="C266" s="102">
        <f t="shared" si="33"/>
        <v>0.26800000000000002</v>
      </c>
      <c r="D266" s="102">
        <f t="shared" si="33"/>
        <v>0.28599999999999998</v>
      </c>
      <c r="E266" s="102">
        <f t="shared" si="33"/>
        <v>6.6000000000000003E-2</v>
      </c>
      <c r="F266" s="102">
        <f t="shared" si="33"/>
        <v>2.5999999999999999E-2</v>
      </c>
      <c r="G266" s="104">
        <v>0.26800000000000002</v>
      </c>
      <c r="H266" s="104">
        <v>0.28599999999999998</v>
      </c>
      <c r="I266" s="103">
        <v>6.6000000000000003E-2</v>
      </c>
      <c r="J266" s="104">
        <v>2.5999999999999999E-2</v>
      </c>
      <c r="K266" s="54">
        <f>(L266*4)</f>
        <v>23996</v>
      </c>
      <c r="L266" s="113">
        <f>L254*1.05</f>
        <v>5999</v>
      </c>
      <c r="M266" s="98">
        <f t="shared" si="28"/>
        <v>0.6</v>
      </c>
      <c r="N266" s="98">
        <v>0.26</v>
      </c>
      <c r="O266" s="98">
        <f t="shared" si="29"/>
        <v>0.61</v>
      </c>
      <c r="P266" s="98">
        <v>0.34620000000000001</v>
      </c>
      <c r="Q266" s="98">
        <v>0.69640000000000002</v>
      </c>
      <c r="R266" s="98">
        <v>0.6</v>
      </c>
      <c r="S266" s="98">
        <v>0.61</v>
      </c>
    </row>
    <row r="267" spans="1:19" s="60" customFormat="1">
      <c r="A267" s="59">
        <f t="shared" si="32"/>
        <v>45565</v>
      </c>
      <c r="B267" s="59">
        <f t="shared" si="31"/>
        <v>45929</v>
      </c>
      <c r="C267" s="102">
        <f t="shared" si="33"/>
        <v>0.26800000000000002</v>
      </c>
      <c r="D267" s="102">
        <f t="shared" si="33"/>
        <v>0.28599999999999998</v>
      </c>
      <c r="E267" s="102">
        <f t="shared" si="33"/>
        <v>6.6000000000000003E-2</v>
      </c>
      <c r="F267" s="102">
        <f t="shared" si="33"/>
        <v>2.5999999999999999E-2</v>
      </c>
      <c r="G267" s="104">
        <v>0.26800000000000002</v>
      </c>
      <c r="H267" s="104">
        <v>0.28599999999999998</v>
      </c>
      <c r="I267" s="103">
        <v>6.6000000000000003E-2</v>
      </c>
      <c r="J267" s="104">
        <v>2.5999999999999999E-2</v>
      </c>
      <c r="K267" s="54">
        <f>((11/3)*L266)+((1/3)*L278)</f>
        <v>24096</v>
      </c>
      <c r="L267" s="113"/>
      <c r="M267" s="98">
        <f t="shared" si="28"/>
        <v>0.6</v>
      </c>
      <c r="N267" s="98">
        <v>0.26</v>
      </c>
      <c r="O267" s="98">
        <f t="shared" si="29"/>
        <v>0.61</v>
      </c>
      <c r="P267" s="98">
        <v>0.34620000000000001</v>
      </c>
      <c r="Q267" s="98">
        <v>0.69640000000000002</v>
      </c>
      <c r="R267" s="98">
        <v>0.6</v>
      </c>
      <c r="S267" s="98">
        <v>0.61</v>
      </c>
    </row>
    <row r="268" spans="1:19" s="60" customFormat="1">
      <c r="A268" s="59">
        <f t="shared" si="32"/>
        <v>45596</v>
      </c>
      <c r="B268" s="59">
        <f t="shared" si="31"/>
        <v>45960</v>
      </c>
      <c r="C268" s="102">
        <f t="shared" si="33"/>
        <v>0.26800000000000002</v>
      </c>
      <c r="D268" s="102">
        <f t="shared" si="33"/>
        <v>0.28599999999999998</v>
      </c>
      <c r="E268" s="102">
        <f t="shared" si="33"/>
        <v>6.6000000000000003E-2</v>
      </c>
      <c r="F268" s="102">
        <f t="shared" si="33"/>
        <v>2.5999999999999999E-2</v>
      </c>
      <c r="G268" s="104">
        <v>0.26800000000000002</v>
      </c>
      <c r="H268" s="104">
        <v>0.28599999999999998</v>
      </c>
      <c r="I268" s="103">
        <v>6.6000000000000003E-2</v>
      </c>
      <c r="J268" s="104">
        <v>2.5999999999999999E-2</v>
      </c>
      <c r="K268" s="54">
        <f>((10/3)*L266)+((2/3)*L278)</f>
        <v>24196</v>
      </c>
      <c r="L268" s="113"/>
      <c r="M268" s="98">
        <f t="shared" si="28"/>
        <v>0.6</v>
      </c>
      <c r="N268" s="98">
        <v>0.26</v>
      </c>
      <c r="O268" s="98">
        <f t="shared" si="29"/>
        <v>0.61</v>
      </c>
      <c r="P268" s="98">
        <v>0.34620000000000001</v>
      </c>
      <c r="Q268" s="98">
        <v>0.69640000000000002</v>
      </c>
      <c r="R268" s="98">
        <v>0.6</v>
      </c>
      <c r="S268" s="98">
        <v>0.61</v>
      </c>
    </row>
    <row r="269" spans="1:19" s="60" customFormat="1">
      <c r="A269" s="59">
        <f t="shared" si="32"/>
        <v>45626</v>
      </c>
      <c r="B269" s="59">
        <f t="shared" si="31"/>
        <v>45990</v>
      </c>
      <c r="C269" s="102">
        <f t="shared" si="33"/>
        <v>0.26800000000000002</v>
      </c>
      <c r="D269" s="102">
        <f t="shared" si="33"/>
        <v>0.28599999999999998</v>
      </c>
      <c r="E269" s="102">
        <f t="shared" si="33"/>
        <v>6.6000000000000003E-2</v>
      </c>
      <c r="F269" s="102">
        <f t="shared" si="33"/>
        <v>2.5999999999999999E-2</v>
      </c>
      <c r="G269" s="104">
        <v>0.26800000000000002</v>
      </c>
      <c r="H269" s="104">
        <v>0.28599999999999998</v>
      </c>
      <c r="I269" s="103">
        <v>6.6000000000000003E-2</v>
      </c>
      <c r="J269" s="104">
        <v>2.5999999999999999E-2</v>
      </c>
      <c r="K269" s="54">
        <f>((9/3)*L266)+((3/3)*L278)</f>
        <v>24296</v>
      </c>
      <c r="L269" s="113"/>
      <c r="M269" s="98">
        <f t="shared" si="28"/>
        <v>0.6</v>
      </c>
      <c r="N269" s="98">
        <v>0.26</v>
      </c>
      <c r="O269" s="98">
        <f t="shared" si="29"/>
        <v>0.61</v>
      </c>
      <c r="P269" s="98">
        <v>0.34620000000000001</v>
      </c>
      <c r="Q269" s="98">
        <v>0.69640000000000002</v>
      </c>
      <c r="R269" s="98">
        <v>0.6</v>
      </c>
      <c r="S269" s="98">
        <v>0.61</v>
      </c>
    </row>
    <row r="270" spans="1:19" s="60" customFormat="1">
      <c r="A270" s="59">
        <f t="shared" si="32"/>
        <v>45657</v>
      </c>
      <c r="B270" s="59">
        <f t="shared" si="31"/>
        <v>46021</v>
      </c>
      <c r="C270" s="102">
        <f t="shared" si="33"/>
        <v>0.26800000000000002</v>
      </c>
      <c r="D270" s="102">
        <f t="shared" si="33"/>
        <v>0.28599999999999998</v>
      </c>
      <c r="E270" s="102">
        <f t="shared" si="33"/>
        <v>6.6000000000000003E-2</v>
      </c>
      <c r="F270" s="102">
        <f t="shared" si="33"/>
        <v>2.5999999999999999E-2</v>
      </c>
      <c r="G270" s="104">
        <v>0.26800000000000002</v>
      </c>
      <c r="H270" s="104">
        <v>0.28599999999999998</v>
      </c>
      <c r="I270" s="103">
        <v>6.6000000000000003E-2</v>
      </c>
      <c r="J270" s="104">
        <v>2.5999999999999999E-2</v>
      </c>
      <c r="K270" s="54">
        <f>((8/3)*L266)+((4/3)*L278)</f>
        <v>24396</v>
      </c>
      <c r="L270" s="113"/>
      <c r="M270" s="98">
        <f t="shared" si="28"/>
        <v>0.6</v>
      </c>
      <c r="N270" s="98">
        <v>0.26</v>
      </c>
      <c r="O270" s="98">
        <f t="shared" si="29"/>
        <v>0.61</v>
      </c>
      <c r="P270" s="98">
        <v>0.34620000000000001</v>
      </c>
      <c r="Q270" s="98">
        <v>0.69640000000000002</v>
      </c>
      <c r="R270" s="98">
        <v>0.6</v>
      </c>
      <c r="S270" s="98">
        <v>0.61</v>
      </c>
    </row>
    <row r="271" spans="1:19" s="60" customFormat="1">
      <c r="A271" s="59">
        <f t="shared" si="32"/>
        <v>45688</v>
      </c>
      <c r="B271" s="59">
        <f t="shared" si="31"/>
        <v>46052</v>
      </c>
      <c r="C271" s="102">
        <f t="shared" si="33"/>
        <v>0.26800000000000002</v>
      </c>
      <c r="D271" s="102">
        <f t="shared" si="33"/>
        <v>0.28599999999999998</v>
      </c>
      <c r="E271" s="102">
        <f t="shared" si="33"/>
        <v>6.6000000000000003E-2</v>
      </c>
      <c r="F271" s="102">
        <f t="shared" si="33"/>
        <v>2.5999999999999999E-2</v>
      </c>
      <c r="G271" s="104">
        <v>0.26800000000000002</v>
      </c>
      <c r="H271" s="104">
        <v>0.28599999999999998</v>
      </c>
      <c r="I271" s="103">
        <v>6.6000000000000003E-2</v>
      </c>
      <c r="J271" s="104">
        <v>2.5999999999999999E-2</v>
      </c>
      <c r="K271" s="54">
        <f>((7/3)*L266)+((5/3)*L278)</f>
        <v>24496</v>
      </c>
      <c r="L271" s="113"/>
      <c r="M271" s="98">
        <f t="shared" si="28"/>
        <v>0.6</v>
      </c>
      <c r="N271" s="98">
        <v>0.26</v>
      </c>
      <c r="O271" s="98">
        <f t="shared" si="29"/>
        <v>0.61</v>
      </c>
      <c r="P271" s="98">
        <v>0.34620000000000001</v>
      </c>
      <c r="Q271" s="98">
        <v>0.69640000000000002</v>
      </c>
      <c r="R271" s="98">
        <v>0.6</v>
      </c>
      <c r="S271" s="98">
        <v>0.61</v>
      </c>
    </row>
    <row r="272" spans="1:19" s="60" customFormat="1">
      <c r="A272" s="59">
        <f t="shared" si="32"/>
        <v>45716</v>
      </c>
      <c r="B272" s="59">
        <f t="shared" si="31"/>
        <v>46080</v>
      </c>
      <c r="C272" s="102">
        <f t="shared" si="33"/>
        <v>0.26800000000000002</v>
      </c>
      <c r="D272" s="102">
        <f t="shared" si="33"/>
        <v>0.28599999999999998</v>
      </c>
      <c r="E272" s="102">
        <f t="shared" si="33"/>
        <v>6.6000000000000003E-2</v>
      </c>
      <c r="F272" s="102">
        <f t="shared" si="33"/>
        <v>2.5999999999999999E-2</v>
      </c>
      <c r="G272" s="104">
        <v>0.26800000000000002</v>
      </c>
      <c r="H272" s="104">
        <v>0.28599999999999998</v>
      </c>
      <c r="I272" s="103">
        <v>6.6000000000000003E-2</v>
      </c>
      <c r="J272" s="104">
        <v>2.5999999999999999E-2</v>
      </c>
      <c r="K272" s="54">
        <f>((6/3)*L266)+((6/3)*L278)</f>
        <v>24596</v>
      </c>
      <c r="L272" s="113"/>
      <c r="M272" s="98">
        <f t="shared" si="28"/>
        <v>0.6</v>
      </c>
      <c r="N272" s="98">
        <v>0.26</v>
      </c>
      <c r="O272" s="98">
        <f t="shared" si="29"/>
        <v>0.61</v>
      </c>
      <c r="P272" s="98">
        <v>0.34620000000000001</v>
      </c>
      <c r="Q272" s="98">
        <v>0.69640000000000002</v>
      </c>
      <c r="R272" s="98">
        <v>0.6</v>
      </c>
      <c r="S272" s="98">
        <v>0.61</v>
      </c>
    </row>
    <row r="273" spans="1:19" s="60" customFormat="1">
      <c r="A273" s="59">
        <f t="shared" si="32"/>
        <v>45747</v>
      </c>
      <c r="B273" s="59">
        <f t="shared" si="31"/>
        <v>46111</v>
      </c>
      <c r="C273" s="102">
        <f t="shared" si="33"/>
        <v>0.26800000000000002</v>
      </c>
      <c r="D273" s="102">
        <f t="shared" si="33"/>
        <v>0.28599999999999998</v>
      </c>
      <c r="E273" s="102">
        <f t="shared" si="33"/>
        <v>6.6000000000000003E-2</v>
      </c>
      <c r="F273" s="102">
        <f t="shared" si="33"/>
        <v>2.5999999999999999E-2</v>
      </c>
      <c r="G273" s="104">
        <v>0.26800000000000002</v>
      </c>
      <c r="H273" s="104">
        <v>0.28599999999999998</v>
      </c>
      <c r="I273" s="103">
        <v>6.6000000000000003E-2</v>
      </c>
      <c r="J273" s="104">
        <v>2.5999999999999999E-2</v>
      </c>
      <c r="K273" s="54">
        <f>((5/3)*L266)+((7/3)*L278)</f>
        <v>24696</v>
      </c>
      <c r="L273" s="113"/>
      <c r="M273" s="98">
        <f t="shared" si="28"/>
        <v>0.6</v>
      </c>
      <c r="N273" s="98">
        <v>0.26</v>
      </c>
      <c r="O273" s="98">
        <f t="shared" si="29"/>
        <v>0.61</v>
      </c>
      <c r="P273" s="98">
        <v>0.34620000000000001</v>
      </c>
      <c r="Q273" s="98">
        <v>0.69640000000000002</v>
      </c>
      <c r="R273" s="98">
        <v>0.6</v>
      </c>
      <c r="S273" s="98">
        <v>0.61</v>
      </c>
    </row>
    <row r="274" spans="1:19" s="60" customFormat="1">
      <c r="A274" s="59">
        <f t="shared" si="32"/>
        <v>45777</v>
      </c>
      <c r="B274" s="59">
        <f t="shared" si="31"/>
        <v>46141</v>
      </c>
      <c r="C274" s="102">
        <f t="shared" si="33"/>
        <v>0.26800000000000002</v>
      </c>
      <c r="D274" s="102">
        <f t="shared" si="33"/>
        <v>0.28599999999999998</v>
      </c>
      <c r="E274" s="102">
        <f t="shared" si="33"/>
        <v>6.6000000000000003E-2</v>
      </c>
      <c r="F274" s="102">
        <f t="shared" si="33"/>
        <v>2.5999999999999999E-2</v>
      </c>
      <c r="G274" s="104">
        <v>0.26800000000000002</v>
      </c>
      <c r="H274" s="104">
        <v>0.28599999999999998</v>
      </c>
      <c r="I274" s="103">
        <v>6.6000000000000003E-2</v>
      </c>
      <c r="J274" s="104">
        <v>2.5999999999999999E-2</v>
      </c>
      <c r="K274" s="54">
        <f>((4/3)*L266)+((8/3)*L278)</f>
        <v>24796</v>
      </c>
      <c r="L274" s="113"/>
      <c r="M274" s="98">
        <f t="shared" si="28"/>
        <v>0.6</v>
      </c>
      <c r="N274" s="98">
        <v>0.26</v>
      </c>
      <c r="O274" s="98">
        <f t="shared" si="29"/>
        <v>0.61</v>
      </c>
      <c r="P274" s="98">
        <v>0.34620000000000001</v>
      </c>
      <c r="Q274" s="98">
        <v>0.69640000000000002</v>
      </c>
      <c r="R274" s="98">
        <v>0.6</v>
      </c>
      <c r="S274" s="98">
        <v>0.61</v>
      </c>
    </row>
    <row r="275" spans="1:19" s="60" customFormat="1">
      <c r="A275" s="59">
        <f t="shared" si="32"/>
        <v>45808</v>
      </c>
      <c r="B275" s="59">
        <f t="shared" si="31"/>
        <v>46172</v>
      </c>
      <c r="C275" s="102">
        <f t="shared" ref="C275:F290" si="34">AVERAGE(G275:G286)</f>
        <v>0.26800000000000002</v>
      </c>
      <c r="D275" s="102">
        <f t="shared" si="34"/>
        <v>0.28599999999999998</v>
      </c>
      <c r="E275" s="102">
        <f t="shared" si="34"/>
        <v>6.6000000000000003E-2</v>
      </c>
      <c r="F275" s="102">
        <f t="shared" si="34"/>
        <v>2.5999999999999999E-2</v>
      </c>
      <c r="G275" s="104">
        <v>0.26800000000000002</v>
      </c>
      <c r="H275" s="104">
        <v>0.28599999999999998</v>
      </c>
      <c r="I275" s="103">
        <v>6.6000000000000003E-2</v>
      </c>
      <c r="J275" s="104">
        <v>2.5999999999999999E-2</v>
      </c>
      <c r="K275" s="54">
        <f>((3/3)*L266)+((9/3)*L278)</f>
        <v>24896</v>
      </c>
      <c r="L275" s="113"/>
      <c r="M275" s="98">
        <f t="shared" si="28"/>
        <v>0.6</v>
      </c>
      <c r="N275" s="98">
        <v>0.26</v>
      </c>
      <c r="O275" s="98">
        <f t="shared" si="29"/>
        <v>0.61</v>
      </c>
      <c r="P275" s="98">
        <v>0.34620000000000001</v>
      </c>
      <c r="Q275" s="98">
        <v>0.69640000000000002</v>
      </c>
      <c r="R275" s="98">
        <v>0.6</v>
      </c>
      <c r="S275" s="98">
        <v>0.61</v>
      </c>
    </row>
    <row r="276" spans="1:19" s="60" customFormat="1">
      <c r="A276" s="59">
        <f t="shared" si="32"/>
        <v>45838</v>
      </c>
      <c r="B276" s="59">
        <f t="shared" si="31"/>
        <v>46202</v>
      </c>
      <c r="C276" s="102">
        <f t="shared" si="34"/>
        <v>0.26800000000000002</v>
      </c>
      <c r="D276" s="102">
        <f t="shared" si="34"/>
        <v>0.28599999999999998</v>
      </c>
      <c r="E276" s="102">
        <f t="shared" si="34"/>
        <v>6.6000000000000003E-2</v>
      </c>
      <c r="F276" s="102">
        <f t="shared" si="34"/>
        <v>2.5999999999999999E-2</v>
      </c>
      <c r="G276" s="104">
        <v>0.26800000000000002</v>
      </c>
      <c r="H276" s="104">
        <v>0.28599999999999998</v>
      </c>
      <c r="I276" s="103">
        <v>6.6000000000000003E-2</v>
      </c>
      <c r="J276" s="104">
        <v>2.5999999999999999E-2</v>
      </c>
      <c r="K276" s="54">
        <f>((2/3)*L266)+((10/3)*L278)</f>
        <v>24996</v>
      </c>
      <c r="L276" s="113"/>
      <c r="M276" s="98">
        <f t="shared" si="28"/>
        <v>0.6</v>
      </c>
      <c r="N276" s="98">
        <v>0.26</v>
      </c>
      <c r="O276" s="98">
        <f t="shared" si="29"/>
        <v>0.61</v>
      </c>
      <c r="P276" s="98">
        <v>0.34620000000000001</v>
      </c>
      <c r="Q276" s="98">
        <v>0.69640000000000002</v>
      </c>
      <c r="R276" s="98">
        <v>0.6</v>
      </c>
      <c r="S276" s="98">
        <v>0.61</v>
      </c>
    </row>
    <row r="277" spans="1:19" s="60" customFormat="1">
      <c r="A277" s="59">
        <f t="shared" si="32"/>
        <v>45869</v>
      </c>
      <c r="B277" s="59">
        <f t="shared" si="31"/>
        <v>46233</v>
      </c>
      <c r="C277" s="99">
        <f t="shared" si="34"/>
        <v>0.26800000000000002</v>
      </c>
      <c r="D277" s="99">
        <f t="shared" si="34"/>
        <v>0.28599999999999998</v>
      </c>
      <c r="E277" s="99">
        <f t="shared" si="34"/>
        <v>6.6000000000000003E-2</v>
      </c>
      <c r="F277" s="99">
        <f t="shared" si="34"/>
        <v>2.5999999999999999E-2</v>
      </c>
      <c r="G277" s="104">
        <v>0.26800000000000002</v>
      </c>
      <c r="H277" s="104">
        <v>0.28599999999999998</v>
      </c>
      <c r="I277" s="103">
        <v>6.6000000000000003E-2</v>
      </c>
      <c r="J277" s="104">
        <v>2.5999999999999999E-2</v>
      </c>
      <c r="K277" s="54">
        <f>((1/3)*L266)+((11/3)*L278)</f>
        <v>25096</v>
      </c>
      <c r="L277" s="113"/>
      <c r="M277" s="98">
        <f t="shared" si="28"/>
        <v>0.6</v>
      </c>
      <c r="N277" s="98">
        <v>0.26</v>
      </c>
      <c r="O277" s="98">
        <f t="shared" si="29"/>
        <v>0.61</v>
      </c>
      <c r="P277" s="98">
        <v>0.34620000000000001</v>
      </c>
      <c r="Q277" s="98">
        <v>0.69640000000000002</v>
      </c>
      <c r="R277" s="98">
        <v>0.6</v>
      </c>
      <c r="S277" s="98">
        <v>0.61</v>
      </c>
    </row>
    <row r="278" spans="1:19" s="96" customFormat="1">
      <c r="A278" s="95">
        <f t="shared" si="32"/>
        <v>45900</v>
      </c>
      <c r="B278" s="95">
        <f t="shared" si="31"/>
        <v>46264</v>
      </c>
      <c r="C278" s="105">
        <f t="shared" si="34"/>
        <v>0.26800000000000002</v>
      </c>
      <c r="D278" s="105">
        <f t="shared" si="34"/>
        <v>0.28599999999999998</v>
      </c>
      <c r="E278" s="105">
        <f t="shared" si="34"/>
        <v>6.6000000000000003E-2</v>
      </c>
      <c r="F278" s="105">
        <f t="shared" si="34"/>
        <v>2.5999999999999999E-2</v>
      </c>
      <c r="G278" s="107">
        <v>0.26800000000000002</v>
      </c>
      <c r="H278" s="107">
        <v>0.28599999999999998</v>
      </c>
      <c r="I278" s="106">
        <v>6.6000000000000003E-2</v>
      </c>
      <c r="J278" s="107">
        <v>2.5999999999999999E-2</v>
      </c>
      <c r="K278" s="94">
        <f>(L278*4)</f>
        <v>25196</v>
      </c>
      <c r="L278" s="114">
        <f>L266*1.05</f>
        <v>6298.95</v>
      </c>
      <c r="M278" s="421">
        <f t="shared" si="28"/>
        <v>0.6</v>
      </c>
      <c r="N278" s="421">
        <v>0.26</v>
      </c>
      <c r="O278" s="421">
        <f t="shared" si="29"/>
        <v>0.61</v>
      </c>
      <c r="P278" s="421">
        <v>0.34620000000000001</v>
      </c>
      <c r="Q278" s="421">
        <v>0.69640000000000002</v>
      </c>
      <c r="R278" s="421">
        <v>0.6</v>
      </c>
      <c r="S278" s="421">
        <v>0.61</v>
      </c>
    </row>
    <row r="279" spans="1:19" s="96" customFormat="1">
      <c r="A279" s="95">
        <f t="shared" si="32"/>
        <v>45930</v>
      </c>
      <c r="B279" s="95">
        <f t="shared" si="31"/>
        <v>46294</v>
      </c>
      <c r="C279" s="105">
        <f t="shared" si="34"/>
        <v>0.26800000000000002</v>
      </c>
      <c r="D279" s="105">
        <f t="shared" si="34"/>
        <v>0.28599999999999998</v>
      </c>
      <c r="E279" s="105">
        <f t="shared" si="34"/>
        <v>6.6000000000000003E-2</v>
      </c>
      <c r="F279" s="105">
        <f t="shared" si="34"/>
        <v>2.5999999999999999E-2</v>
      </c>
      <c r="G279" s="107">
        <v>0.26800000000000002</v>
      </c>
      <c r="H279" s="107">
        <v>0.28599999999999998</v>
      </c>
      <c r="I279" s="106">
        <v>6.6000000000000003E-2</v>
      </c>
      <c r="J279" s="107">
        <v>2.5999999999999999E-2</v>
      </c>
      <c r="K279" s="94">
        <f>((11/3)*L278)+((1/3)*L290)</f>
        <v>25301</v>
      </c>
      <c r="L279" s="114"/>
      <c r="M279" s="421">
        <f t="shared" si="28"/>
        <v>0.6</v>
      </c>
      <c r="N279" s="421">
        <v>0.26</v>
      </c>
      <c r="O279" s="421">
        <f t="shared" si="29"/>
        <v>0.61</v>
      </c>
      <c r="P279" s="421">
        <v>0.34620000000000001</v>
      </c>
      <c r="Q279" s="421">
        <v>0.69640000000000002</v>
      </c>
      <c r="R279" s="421">
        <v>0.6</v>
      </c>
      <c r="S279" s="421">
        <v>0.61</v>
      </c>
    </row>
    <row r="280" spans="1:19" s="96" customFormat="1">
      <c r="A280" s="95">
        <f t="shared" si="32"/>
        <v>45961</v>
      </c>
      <c r="B280" s="95">
        <f t="shared" si="31"/>
        <v>46325</v>
      </c>
      <c r="C280" s="105">
        <f t="shared" si="34"/>
        <v>0.26800000000000002</v>
      </c>
      <c r="D280" s="105">
        <f t="shared" si="34"/>
        <v>0.28599999999999998</v>
      </c>
      <c r="E280" s="105">
        <f t="shared" si="34"/>
        <v>6.6000000000000003E-2</v>
      </c>
      <c r="F280" s="105">
        <f t="shared" si="34"/>
        <v>2.5999999999999999E-2</v>
      </c>
      <c r="G280" s="107">
        <v>0.26800000000000002</v>
      </c>
      <c r="H280" s="107">
        <v>0.28599999999999998</v>
      </c>
      <c r="I280" s="106">
        <v>6.6000000000000003E-2</v>
      </c>
      <c r="J280" s="107">
        <v>2.5999999999999999E-2</v>
      </c>
      <c r="K280" s="94">
        <f>((10/3)*L278)+((2/3)*L290)</f>
        <v>25406</v>
      </c>
      <c r="L280" s="114"/>
      <c r="M280" s="421">
        <f t="shared" si="28"/>
        <v>0.6</v>
      </c>
      <c r="N280" s="421">
        <v>0.26</v>
      </c>
      <c r="O280" s="421">
        <f t="shared" si="29"/>
        <v>0.61</v>
      </c>
      <c r="P280" s="421">
        <v>0.34620000000000001</v>
      </c>
      <c r="Q280" s="421">
        <v>0.69640000000000002</v>
      </c>
      <c r="R280" s="421">
        <v>0.6</v>
      </c>
      <c r="S280" s="421">
        <v>0.61</v>
      </c>
    </row>
    <row r="281" spans="1:19" s="96" customFormat="1">
      <c r="A281" s="95">
        <f t="shared" si="32"/>
        <v>45991</v>
      </c>
      <c r="B281" s="95">
        <f t="shared" si="31"/>
        <v>46355</v>
      </c>
      <c r="C281" s="105">
        <f t="shared" si="34"/>
        <v>0.26800000000000002</v>
      </c>
      <c r="D281" s="105">
        <f t="shared" si="34"/>
        <v>0.28599999999999998</v>
      </c>
      <c r="E281" s="105">
        <f t="shared" si="34"/>
        <v>6.6000000000000003E-2</v>
      </c>
      <c r="F281" s="105">
        <f t="shared" si="34"/>
        <v>2.5999999999999999E-2</v>
      </c>
      <c r="G281" s="107">
        <v>0.26800000000000002</v>
      </c>
      <c r="H281" s="107">
        <v>0.28599999999999998</v>
      </c>
      <c r="I281" s="106">
        <v>6.6000000000000003E-2</v>
      </c>
      <c r="J281" s="107">
        <v>2.5999999999999999E-2</v>
      </c>
      <c r="K281" s="94">
        <f>((9/3)*L278)+((3/3)*L290)</f>
        <v>25511</v>
      </c>
      <c r="L281" s="114"/>
      <c r="M281" s="421">
        <f t="shared" si="28"/>
        <v>0.6</v>
      </c>
      <c r="N281" s="421">
        <v>0.26</v>
      </c>
      <c r="O281" s="421">
        <f t="shared" si="29"/>
        <v>0.61</v>
      </c>
      <c r="P281" s="421">
        <v>0.34620000000000001</v>
      </c>
      <c r="Q281" s="421">
        <v>0.69640000000000002</v>
      </c>
      <c r="R281" s="421">
        <v>0.6</v>
      </c>
      <c r="S281" s="421">
        <v>0.61</v>
      </c>
    </row>
    <row r="282" spans="1:19" s="96" customFormat="1">
      <c r="A282" s="95">
        <f t="shared" si="32"/>
        <v>46022</v>
      </c>
      <c r="B282" s="95">
        <f t="shared" si="31"/>
        <v>46386</v>
      </c>
      <c r="C282" s="105">
        <f t="shared" si="34"/>
        <v>0.26800000000000002</v>
      </c>
      <c r="D282" s="105">
        <f t="shared" si="34"/>
        <v>0.28599999999999998</v>
      </c>
      <c r="E282" s="105">
        <f t="shared" si="34"/>
        <v>6.6000000000000003E-2</v>
      </c>
      <c r="F282" s="105">
        <f t="shared" si="34"/>
        <v>2.5999999999999999E-2</v>
      </c>
      <c r="G282" s="107">
        <v>0.26800000000000002</v>
      </c>
      <c r="H282" s="107">
        <v>0.28599999999999998</v>
      </c>
      <c r="I282" s="106">
        <v>6.6000000000000003E-2</v>
      </c>
      <c r="J282" s="107">
        <v>2.5999999999999999E-2</v>
      </c>
      <c r="K282" s="94">
        <f>((8/3)*L278)+((4/3)*L290)</f>
        <v>25616</v>
      </c>
      <c r="L282" s="114"/>
      <c r="M282" s="421">
        <f t="shared" si="28"/>
        <v>0.6</v>
      </c>
      <c r="N282" s="421">
        <v>0.26</v>
      </c>
      <c r="O282" s="421">
        <f t="shared" si="29"/>
        <v>0.61</v>
      </c>
      <c r="P282" s="421">
        <v>0.34620000000000001</v>
      </c>
      <c r="Q282" s="421">
        <v>0.69640000000000002</v>
      </c>
      <c r="R282" s="421">
        <v>0.6</v>
      </c>
      <c r="S282" s="421">
        <v>0.61</v>
      </c>
    </row>
    <row r="283" spans="1:19" s="96" customFormat="1">
      <c r="A283" s="95">
        <f t="shared" si="32"/>
        <v>46053</v>
      </c>
      <c r="B283" s="95">
        <f t="shared" si="31"/>
        <v>46417</v>
      </c>
      <c r="C283" s="105">
        <f t="shared" si="34"/>
        <v>0.26800000000000002</v>
      </c>
      <c r="D283" s="105">
        <f t="shared" si="34"/>
        <v>0.28599999999999998</v>
      </c>
      <c r="E283" s="105">
        <f t="shared" si="34"/>
        <v>6.6000000000000003E-2</v>
      </c>
      <c r="F283" s="105">
        <f t="shared" si="34"/>
        <v>2.5999999999999999E-2</v>
      </c>
      <c r="G283" s="107">
        <v>0.26800000000000002</v>
      </c>
      <c r="H283" s="107">
        <v>0.28599999999999998</v>
      </c>
      <c r="I283" s="106">
        <v>6.6000000000000003E-2</v>
      </c>
      <c r="J283" s="107">
        <v>2.5999999999999999E-2</v>
      </c>
      <c r="K283" s="94">
        <f>((7/3)*L278)+((5/3)*L290)</f>
        <v>25721</v>
      </c>
      <c r="L283" s="114"/>
      <c r="M283" s="421">
        <f t="shared" si="28"/>
        <v>0.6</v>
      </c>
      <c r="N283" s="421">
        <v>0.26</v>
      </c>
      <c r="O283" s="421">
        <f t="shared" si="29"/>
        <v>0.61</v>
      </c>
      <c r="P283" s="421">
        <v>0.34620000000000001</v>
      </c>
      <c r="Q283" s="421">
        <v>0.69640000000000002</v>
      </c>
      <c r="R283" s="421">
        <v>0.6</v>
      </c>
      <c r="S283" s="421">
        <v>0.61</v>
      </c>
    </row>
    <row r="284" spans="1:19" s="96" customFormat="1">
      <c r="A284" s="95">
        <f t="shared" si="32"/>
        <v>46081</v>
      </c>
      <c r="B284" s="95">
        <f t="shared" si="31"/>
        <v>46445</v>
      </c>
      <c r="C284" s="105">
        <f t="shared" si="34"/>
        <v>0.26800000000000002</v>
      </c>
      <c r="D284" s="105">
        <f t="shared" si="34"/>
        <v>0.28599999999999998</v>
      </c>
      <c r="E284" s="105">
        <f t="shared" si="34"/>
        <v>6.6000000000000003E-2</v>
      </c>
      <c r="F284" s="105">
        <f t="shared" si="34"/>
        <v>2.5999999999999999E-2</v>
      </c>
      <c r="G284" s="107">
        <v>0.26800000000000002</v>
      </c>
      <c r="H284" s="107">
        <v>0.28599999999999998</v>
      </c>
      <c r="I284" s="106">
        <v>6.6000000000000003E-2</v>
      </c>
      <c r="J284" s="107">
        <v>2.5999999999999999E-2</v>
      </c>
      <c r="K284" s="94">
        <f>((6/3)*L278)+((6/3)*L290)</f>
        <v>25826</v>
      </c>
      <c r="L284" s="114"/>
      <c r="M284" s="421">
        <f t="shared" si="28"/>
        <v>0.6</v>
      </c>
      <c r="N284" s="421">
        <v>0.26</v>
      </c>
      <c r="O284" s="421">
        <f t="shared" si="29"/>
        <v>0.61</v>
      </c>
      <c r="P284" s="421">
        <v>0.34620000000000001</v>
      </c>
      <c r="Q284" s="421">
        <v>0.69640000000000002</v>
      </c>
      <c r="R284" s="421">
        <v>0.6</v>
      </c>
      <c r="S284" s="421">
        <v>0.61</v>
      </c>
    </row>
    <row r="285" spans="1:19" s="96" customFormat="1">
      <c r="A285" s="95">
        <f t="shared" si="32"/>
        <v>46112</v>
      </c>
      <c r="B285" s="95">
        <f t="shared" si="31"/>
        <v>46476</v>
      </c>
      <c r="C285" s="105">
        <f t="shared" si="34"/>
        <v>0.26800000000000002</v>
      </c>
      <c r="D285" s="105">
        <f t="shared" si="34"/>
        <v>0.28599999999999998</v>
      </c>
      <c r="E285" s="105">
        <f t="shared" si="34"/>
        <v>6.6000000000000003E-2</v>
      </c>
      <c r="F285" s="105">
        <f t="shared" si="34"/>
        <v>2.5999999999999999E-2</v>
      </c>
      <c r="G285" s="107">
        <v>0.26800000000000002</v>
      </c>
      <c r="H285" s="107">
        <v>0.28599999999999998</v>
      </c>
      <c r="I285" s="106">
        <v>6.6000000000000003E-2</v>
      </c>
      <c r="J285" s="107">
        <v>2.5999999999999999E-2</v>
      </c>
      <c r="K285" s="94">
        <f>((5/3)*L278)+((7/3)*L290)</f>
        <v>25931</v>
      </c>
      <c r="L285" s="114"/>
      <c r="M285" s="421">
        <f t="shared" si="28"/>
        <v>0.6</v>
      </c>
      <c r="N285" s="421">
        <v>0.26</v>
      </c>
      <c r="O285" s="421">
        <f t="shared" si="29"/>
        <v>0.61</v>
      </c>
      <c r="P285" s="421">
        <v>0.34620000000000001</v>
      </c>
      <c r="Q285" s="421">
        <v>0.69640000000000002</v>
      </c>
      <c r="R285" s="421">
        <v>0.6</v>
      </c>
      <c r="S285" s="421">
        <v>0.61</v>
      </c>
    </row>
    <row r="286" spans="1:19" s="96" customFormat="1">
      <c r="A286" s="95">
        <f t="shared" si="32"/>
        <v>46142</v>
      </c>
      <c r="B286" s="95">
        <f t="shared" si="31"/>
        <v>46506</v>
      </c>
      <c r="C286" s="105">
        <f t="shared" si="34"/>
        <v>0.26800000000000002</v>
      </c>
      <c r="D286" s="105">
        <f t="shared" si="34"/>
        <v>0.28599999999999998</v>
      </c>
      <c r="E286" s="105">
        <f t="shared" si="34"/>
        <v>6.6000000000000003E-2</v>
      </c>
      <c r="F286" s="105">
        <f t="shared" si="34"/>
        <v>2.5999999999999999E-2</v>
      </c>
      <c r="G286" s="107">
        <v>0.26800000000000002</v>
      </c>
      <c r="H286" s="107">
        <v>0.28599999999999998</v>
      </c>
      <c r="I286" s="106">
        <v>6.6000000000000003E-2</v>
      </c>
      <c r="J286" s="107">
        <v>2.5999999999999999E-2</v>
      </c>
      <c r="K286" s="94">
        <f>((4/3)*L278)+((8/3)*L290)</f>
        <v>26036</v>
      </c>
      <c r="L286" s="114"/>
      <c r="M286" s="421">
        <f t="shared" si="28"/>
        <v>0.6</v>
      </c>
      <c r="N286" s="421">
        <v>0.26</v>
      </c>
      <c r="O286" s="421">
        <f t="shared" si="29"/>
        <v>0.61</v>
      </c>
      <c r="P286" s="421">
        <v>0.34620000000000001</v>
      </c>
      <c r="Q286" s="421">
        <v>0.69640000000000002</v>
      </c>
      <c r="R286" s="421">
        <v>0.6</v>
      </c>
      <c r="S286" s="421">
        <v>0.61</v>
      </c>
    </row>
    <row r="287" spans="1:19" s="96" customFormat="1">
      <c r="A287" s="95">
        <f t="shared" si="32"/>
        <v>46173</v>
      </c>
      <c r="B287" s="95">
        <f t="shared" si="31"/>
        <v>46537</v>
      </c>
      <c r="C287" s="105">
        <f t="shared" si="34"/>
        <v>0.26800000000000002</v>
      </c>
      <c r="D287" s="105">
        <f t="shared" si="34"/>
        <v>0.28599999999999998</v>
      </c>
      <c r="E287" s="105">
        <f t="shared" si="34"/>
        <v>6.6000000000000003E-2</v>
      </c>
      <c r="F287" s="105">
        <f t="shared" si="34"/>
        <v>2.5999999999999999E-2</v>
      </c>
      <c r="G287" s="107">
        <v>0.26800000000000002</v>
      </c>
      <c r="H287" s="107">
        <v>0.28599999999999998</v>
      </c>
      <c r="I287" s="106">
        <v>6.6000000000000003E-2</v>
      </c>
      <c r="J287" s="107">
        <v>2.5999999999999999E-2</v>
      </c>
      <c r="K287" s="94">
        <f>((3/3)*L278)+((9/3)*L290)</f>
        <v>26141</v>
      </c>
      <c r="L287" s="114"/>
      <c r="M287" s="421">
        <f t="shared" si="28"/>
        <v>0.6</v>
      </c>
      <c r="N287" s="421">
        <v>0.26</v>
      </c>
      <c r="O287" s="421">
        <f t="shared" si="29"/>
        <v>0.61</v>
      </c>
      <c r="P287" s="421">
        <v>0.34620000000000001</v>
      </c>
      <c r="Q287" s="421">
        <v>0.69640000000000002</v>
      </c>
      <c r="R287" s="421">
        <v>0.6</v>
      </c>
      <c r="S287" s="421">
        <v>0.61</v>
      </c>
    </row>
    <row r="288" spans="1:19" s="96" customFormat="1">
      <c r="A288" s="95">
        <f t="shared" si="32"/>
        <v>46203</v>
      </c>
      <c r="B288" s="95">
        <f t="shared" si="31"/>
        <v>46567</v>
      </c>
      <c r="C288" s="105">
        <f t="shared" si="34"/>
        <v>0.26800000000000002</v>
      </c>
      <c r="D288" s="105">
        <f t="shared" si="34"/>
        <v>0.28599999999999998</v>
      </c>
      <c r="E288" s="105">
        <f t="shared" si="34"/>
        <v>6.6000000000000003E-2</v>
      </c>
      <c r="F288" s="105">
        <f t="shared" si="34"/>
        <v>2.5999999999999999E-2</v>
      </c>
      <c r="G288" s="107">
        <v>0.26800000000000002</v>
      </c>
      <c r="H288" s="107">
        <v>0.28599999999999998</v>
      </c>
      <c r="I288" s="106">
        <v>6.6000000000000003E-2</v>
      </c>
      <c r="J288" s="107">
        <v>2.5999999999999999E-2</v>
      </c>
      <c r="K288" s="94">
        <f>((2/3)*L278)+((10/3)*L290)</f>
        <v>26246</v>
      </c>
      <c r="L288" s="114"/>
      <c r="M288" s="421">
        <f t="shared" si="28"/>
        <v>0.6</v>
      </c>
      <c r="N288" s="421">
        <v>0.26</v>
      </c>
      <c r="O288" s="421">
        <f t="shared" si="29"/>
        <v>0.61</v>
      </c>
      <c r="P288" s="421">
        <v>0.34620000000000001</v>
      </c>
      <c r="Q288" s="421">
        <v>0.69640000000000002</v>
      </c>
      <c r="R288" s="421">
        <v>0.6</v>
      </c>
      <c r="S288" s="421">
        <v>0.61</v>
      </c>
    </row>
    <row r="289" spans="1:19" s="96" customFormat="1">
      <c r="A289" s="95">
        <f t="shared" si="32"/>
        <v>46234</v>
      </c>
      <c r="B289" s="95">
        <f t="shared" si="31"/>
        <v>46598</v>
      </c>
      <c r="C289" s="105">
        <f t="shared" si="34"/>
        <v>0.26800000000000002</v>
      </c>
      <c r="D289" s="105">
        <f t="shared" si="34"/>
        <v>0.28599999999999998</v>
      </c>
      <c r="E289" s="105">
        <f t="shared" si="34"/>
        <v>6.6000000000000003E-2</v>
      </c>
      <c r="F289" s="105">
        <f t="shared" si="34"/>
        <v>2.5999999999999999E-2</v>
      </c>
      <c r="G289" s="107">
        <v>0.26800000000000002</v>
      </c>
      <c r="H289" s="107">
        <v>0.28599999999999998</v>
      </c>
      <c r="I289" s="106">
        <v>6.6000000000000003E-2</v>
      </c>
      <c r="J289" s="107">
        <v>2.5999999999999999E-2</v>
      </c>
      <c r="K289" s="94">
        <f>((1/3)*L278)+((11/3)*L290)</f>
        <v>26351</v>
      </c>
      <c r="L289" s="114"/>
      <c r="M289" s="421">
        <f t="shared" si="28"/>
        <v>0.6</v>
      </c>
      <c r="N289" s="421">
        <v>0.26</v>
      </c>
      <c r="O289" s="421">
        <f t="shared" si="29"/>
        <v>0.61</v>
      </c>
      <c r="P289" s="421">
        <v>0.34620000000000001</v>
      </c>
      <c r="Q289" s="421">
        <v>0.69640000000000002</v>
      </c>
      <c r="R289" s="421">
        <v>0.6</v>
      </c>
      <c r="S289" s="421">
        <v>0.61</v>
      </c>
    </row>
    <row r="290" spans="1:19" s="60" customFormat="1">
      <c r="A290" s="59">
        <f t="shared" si="32"/>
        <v>46265</v>
      </c>
      <c r="B290" s="59">
        <f t="shared" si="31"/>
        <v>46629</v>
      </c>
      <c r="C290" s="102">
        <f t="shared" si="34"/>
        <v>0.26800000000000002</v>
      </c>
      <c r="D290" s="102">
        <f t="shared" si="34"/>
        <v>0.28599999999999998</v>
      </c>
      <c r="E290" s="102">
        <f t="shared" si="34"/>
        <v>6.6000000000000003E-2</v>
      </c>
      <c r="F290" s="102">
        <f t="shared" si="34"/>
        <v>2.5999999999999999E-2</v>
      </c>
      <c r="G290" s="104">
        <v>0.26800000000000002</v>
      </c>
      <c r="H290" s="104">
        <v>0.28599999999999998</v>
      </c>
      <c r="I290" s="103">
        <v>6.6000000000000003E-2</v>
      </c>
      <c r="J290" s="104">
        <v>2.5999999999999999E-2</v>
      </c>
      <c r="K290" s="54">
        <f>(L290*4)</f>
        <v>26456</v>
      </c>
      <c r="L290" s="113">
        <f>L278*1.05</f>
        <v>6613.9</v>
      </c>
      <c r="M290" s="98">
        <f t="shared" si="28"/>
        <v>0.6</v>
      </c>
      <c r="N290" s="98">
        <v>0.26</v>
      </c>
      <c r="O290" s="98">
        <f t="shared" si="29"/>
        <v>0.61</v>
      </c>
      <c r="P290" s="98">
        <v>0.34620000000000001</v>
      </c>
      <c r="Q290" s="98">
        <v>0.69640000000000002</v>
      </c>
      <c r="R290" s="98">
        <v>0.6</v>
      </c>
      <c r="S290" s="98">
        <v>0.61</v>
      </c>
    </row>
    <row r="291" spans="1:19" s="60" customFormat="1">
      <c r="A291" s="59">
        <f t="shared" si="32"/>
        <v>46295</v>
      </c>
      <c r="B291" s="59">
        <f t="shared" si="31"/>
        <v>46659</v>
      </c>
      <c r="C291" s="102">
        <f t="shared" ref="C291:F306" si="35">AVERAGE(G291:G302)</f>
        <v>0.26800000000000002</v>
      </c>
      <c r="D291" s="102">
        <f t="shared" si="35"/>
        <v>0.28599999999999998</v>
      </c>
      <c r="E291" s="102">
        <f t="shared" si="35"/>
        <v>6.6000000000000003E-2</v>
      </c>
      <c r="F291" s="102">
        <f t="shared" si="35"/>
        <v>2.5999999999999999E-2</v>
      </c>
      <c r="G291" s="104">
        <v>0.26800000000000002</v>
      </c>
      <c r="H291" s="104">
        <v>0.28599999999999998</v>
      </c>
      <c r="I291" s="103">
        <v>6.6000000000000003E-2</v>
      </c>
      <c r="J291" s="104">
        <v>2.5999999999999999E-2</v>
      </c>
      <c r="K291" s="54">
        <f>((11/3)*L290)+((1/3)*L302)</f>
        <v>26566</v>
      </c>
      <c r="L291" s="113"/>
      <c r="M291" s="98">
        <f t="shared" si="28"/>
        <v>0.6</v>
      </c>
      <c r="N291" s="98">
        <v>0.26</v>
      </c>
      <c r="O291" s="98">
        <f t="shared" si="29"/>
        <v>0.61</v>
      </c>
      <c r="P291" s="98">
        <v>0.34620000000000001</v>
      </c>
      <c r="Q291" s="98">
        <v>0.69640000000000002</v>
      </c>
      <c r="R291" s="98">
        <v>0.6</v>
      </c>
      <c r="S291" s="98">
        <v>0.61</v>
      </c>
    </row>
    <row r="292" spans="1:19" s="60" customFormat="1">
      <c r="A292" s="59">
        <f t="shared" si="32"/>
        <v>46326</v>
      </c>
      <c r="B292" s="59">
        <f t="shared" si="31"/>
        <v>46690</v>
      </c>
      <c r="C292" s="102">
        <f t="shared" si="35"/>
        <v>0.26800000000000002</v>
      </c>
      <c r="D292" s="102">
        <f t="shared" si="35"/>
        <v>0.28599999999999998</v>
      </c>
      <c r="E292" s="102">
        <f t="shared" si="35"/>
        <v>6.6000000000000003E-2</v>
      </c>
      <c r="F292" s="102">
        <f t="shared" si="35"/>
        <v>2.5999999999999999E-2</v>
      </c>
      <c r="G292" s="104">
        <v>0.26800000000000002</v>
      </c>
      <c r="H292" s="104">
        <v>0.28599999999999998</v>
      </c>
      <c r="I292" s="103">
        <v>6.6000000000000003E-2</v>
      </c>
      <c r="J292" s="104">
        <v>2.5999999999999999E-2</v>
      </c>
      <c r="K292" s="54">
        <f>((10/3)*L290)+((2/3)*L302)</f>
        <v>26676</v>
      </c>
      <c r="L292" s="113"/>
      <c r="M292" s="98">
        <f t="shared" si="28"/>
        <v>0.6</v>
      </c>
      <c r="N292" s="98">
        <v>0.26</v>
      </c>
      <c r="O292" s="98">
        <f t="shared" si="29"/>
        <v>0.61</v>
      </c>
      <c r="P292" s="98">
        <v>0.34620000000000001</v>
      </c>
      <c r="Q292" s="98">
        <v>0.69640000000000002</v>
      </c>
      <c r="R292" s="98">
        <v>0.6</v>
      </c>
      <c r="S292" s="98">
        <v>0.61</v>
      </c>
    </row>
    <row r="293" spans="1:19" s="60" customFormat="1">
      <c r="A293" s="59">
        <f t="shared" si="32"/>
        <v>46356</v>
      </c>
      <c r="B293" s="59">
        <f t="shared" si="31"/>
        <v>46720</v>
      </c>
      <c r="C293" s="102">
        <f t="shared" si="35"/>
        <v>0.26800000000000002</v>
      </c>
      <c r="D293" s="102">
        <f t="shared" si="35"/>
        <v>0.28599999999999998</v>
      </c>
      <c r="E293" s="102">
        <f t="shared" si="35"/>
        <v>6.6000000000000003E-2</v>
      </c>
      <c r="F293" s="102">
        <f t="shared" si="35"/>
        <v>2.5999999999999999E-2</v>
      </c>
      <c r="G293" s="104">
        <v>0.26800000000000002</v>
      </c>
      <c r="H293" s="104">
        <v>0.28599999999999998</v>
      </c>
      <c r="I293" s="103">
        <v>6.6000000000000003E-2</v>
      </c>
      <c r="J293" s="104">
        <v>2.5999999999999999E-2</v>
      </c>
      <c r="K293" s="54">
        <f>((9/3)*L290)+((3/3)*L302)</f>
        <v>26786</v>
      </c>
      <c r="L293" s="113"/>
      <c r="M293" s="98">
        <f t="shared" si="28"/>
        <v>0.6</v>
      </c>
      <c r="N293" s="98">
        <v>0.26</v>
      </c>
      <c r="O293" s="98">
        <f t="shared" si="29"/>
        <v>0.61</v>
      </c>
      <c r="P293" s="98">
        <v>0.34620000000000001</v>
      </c>
      <c r="Q293" s="98">
        <v>0.69640000000000002</v>
      </c>
      <c r="R293" s="98">
        <v>0.6</v>
      </c>
      <c r="S293" s="98">
        <v>0.61</v>
      </c>
    </row>
    <row r="294" spans="1:19" s="60" customFormat="1">
      <c r="A294" s="59">
        <f t="shared" si="32"/>
        <v>46387</v>
      </c>
      <c r="B294" s="59">
        <f t="shared" si="31"/>
        <v>46751</v>
      </c>
      <c r="C294" s="102">
        <f t="shared" si="35"/>
        <v>0.26800000000000002</v>
      </c>
      <c r="D294" s="102">
        <f t="shared" si="35"/>
        <v>0.28599999999999998</v>
      </c>
      <c r="E294" s="102">
        <f t="shared" si="35"/>
        <v>6.6000000000000003E-2</v>
      </c>
      <c r="F294" s="102">
        <f t="shared" si="35"/>
        <v>2.5999999999999999E-2</v>
      </c>
      <c r="G294" s="104">
        <v>0.26800000000000002</v>
      </c>
      <c r="H294" s="104">
        <v>0.28599999999999998</v>
      </c>
      <c r="I294" s="103">
        <v>6.6000000000000003E-2</v>
      </c>
      <c r="J294" s="104">
        <v>2.5999999999999999E-2</v>
      </c>
      <c r="K294" s="54">
        <f>((8/3)*L290)+((4/3)*L302)</f>
        <v>26897</v>
      </c>
      <c r="L294" s="113"/>
      <c r="M294" s="98">
        <f t="shared" si="28"/>
        <v>0.6</v>
      </c>
      <c r="N294" s="98">
        <v>0.26</v>
      </c>
      <c r="O294" s="98">
        <f t="shared" si="29"/>
        <v>0.61</v>
      </c>
      <c r="P294" s="98">
        <v>0.34620000000000001</v>
      </c>
      <c r="Q294" s="98">
        <v>0.69640000000000002</v>
      </c>
      <c r="R294" s="98">
        <v>0.6</v>
      </c>
      <c r="S294" s="98">
        <v>0.61</v>
      </c>
    </row>
    <row r="295" spans="1:19" s="60" customFormat="1">
      <c r="A295" s="59">
        <f t="shared" si="32"/>
        <v>46418</v>
      </c>
      <c r="B295" s="59">
        <f t="shared" si="31"/>
        <v>46782</v>
      </c>
      <c r="C295" s="102">
        <f t="shared" si="35"/>
        <v>0.26800000000000002</v>
      </c>
      <c r="D295" s="102">
        <f t="shared" si="35"/>
        <v>0.28599999999999998</v>
      </c>
      <c r="E295" s="102">
        <f t="shared" si="35"/>
        <v>6.6000000000000003E-2</v>
      </c>
      <c r="F295" s="102">
        <f t="shared" si="35"/>
        <v>2.5999999999999999E-2</v>
      </c>
      <c r="G295" s="104">
        <v>0.26800000000000002</v>
      </c>
      <c r="H295" s="104">
        <v>0.28599999999999998</v>
      </c>
      <c r="I295" s="103">
        <v>6.6000000000000003E-2</v>
      </c>
      <c r="J295" s="104">
        <v>2.5999999999999999E-2</v>
      </c>
      <c r="K295" s="54">
        <f>((7/3)*L290)+((5/3)*L302)</f>
        <v>27007</v>
      </c>
      <c r="L295" s="113"/>
      <c r="M295" s="98">
        <f t="shared" si="28"/>
        <v>0.6</v>
      </c>
      <c r="N295" s="98">
        <v>0.26</v>
      </c>
      <c r="O295" s="98">
        <f t="shared" si="29"/>
        <v>0.61</v>
      </c>
      <c r="P295" s="98">
        <v>0.34620000000000001</v>
      </c>
      <c r="Q295" s="98">
        <v>0.69640000000000002</v>
      </c>
      <c r="R295" s="98">
        <v>0.6</v>
      </c>
      <c r="S295" s="98">
        <v>0.61</v>
      </c>
    </row>
    <row r="296" spans="1:19" s="60" customFormat="1">
      <c r="A296" s="59">
        <f t="shared" si="32"/>
        <v>46446</v>
      </c>
      <c r="B296" s="59">
        <f t="shared" si="31"/>
        <v>46811</v>
      </c>
      <c r="C296" s="102">
        <f t="shared" si="35"/>
        <v>0.26800000000000002</v>
      </c>
      <c r="D296" s="102">
        <f t="shared" si="35"/>
        <v>0.28599999999999998</v>
      </c>
      <c r="E296" s="102">
        <f t="shared" si="35"/>
        <v>6.6000000000000003E-2</v>
      </c>
      <c r="F296" s="102">
        <f t="shared" si="35"/>
        <v>2.5999999999999999E-2</v>
      </c>
      <c r="G296" s="104">
        <v>0.26800000000000002</v>
      </c>
      <c r="H296" s="104">
        <v>0.28599999999999998</v>
      </c>
      <c r="I296" s="103">
        <v>6.6000000000000003E-2</v>
      </c>
      <c r="J296" s="104">
        <v>2.5999999999999999E-2</v>
      </c>
      <c r="K296" s="54">
        <f>((6/3)*L290)+((6/3)*L302)</f>
        <v>27117</v>
      </c>
      <c r="L296" s="113"/>
      <c r="M296" s="98">
        <f t="shared" si="28"/>
        <v>0.6</v>
      </c>
      <c r="N296" s="98">
        <v>0.26</v>
      </c>
      <c r="O296" s="98">
        <f t="shared" si="29"/>
        <v>0.61</v>
      </c>
      <c r="P296" s="98">
        <v>0.34620000000000001</v>
      </c>
      <c r="Q296" s="98">
        <v>0.69640000000000002</v>
      </c>
      <c r="R296" s="98">
        <v>0.6</v>
      </c>
      <c r="S296" s="98">
        <v>0.61</v>
      </c>
    </row>
    <row r="297" spans="1:19" s="60" customFormat="1">
      <c r="A297" s="59">
        <f t="shared" si="32"/>
        <v>46477</v>
      </c>
      <c r="B297" s="59">
        <f t="shared" si="31"/>
        <v>46842</v>
      </c>
      <c r="C297" s="102">
        <f t="shared" si="35"/>
        <v>0.26800000000000002</v>
      </c>
      <c r="D297" s="102">
        <f t="shared" si="35"/>
        <v>0.28599999999999998</v>
      </c>
      <c r="E297" s="102">
        <f t="shared" si="35"/>
        <v>6.6000000000000003E-2</v>
      </c>
      <c r="F297" s="102">
        <f t="shared" si="35"/>
        <v>2.5999999999999999E-2</v>
      </c>
      <c r="G297" s="104">
        <v>0.26800000000000002</v>
      </c>
      <c r="H297" s="104">
        <v>0.28599999999999998</v>
      </c>
      <c r="I297" s="103">
        <v>6.6000000000000003E-2</v>
      </c>
      <c r="J297" s="104">
        <v>2.5999999999999999E-2</v>
      </c>
      <c r="K297" s="54">
        <f>((5/3)*L290)+((7/3)*L302)</f>
        <v>27227</v>
      </c>
      <c r="L297" s="113"/>
      <c r="M297" s="98">
        <f t="shared" si="28"/>
        <v>0.6</v>
      </c>
      <c r="N297" s="98">
        <v>0.26</v>
      </c>
      <c r="O297" s="98">
        <f t="shared" si="29"/>
        <v>0.61</v>
      </c>
      <c r="P297" s="98">
        <v>0.34620000000000001</v>
      </c>
      <c r="Q297" s="98">
        <v>0.69640000000000002</v>
      </c>
      <c r="R297" s="98">
        <v>0.6</v>
      </c>
      <c r="S297" s="98">
        <v>0.61</v>
      </c>
    </row>
    <row r="298" spans="1:19" s="60" customFormat="1">
      <c r="A298" s="59">
        <f t="shared" si="32"/>
        <v>46507</v>
      </c>
      <c r="B298" s="59">
        <f t="shared" si="31"/>
        <v>46872</v>
      </c>
      <c r="C298" s="102">
        <f t="shared" si="35"/>
        <v>0.26800000000000002</v>
      </c>
      <c r="D298" s="102">
        <f t="shared" si="35"/>
        <v>0.28599999999999998</v>
      </c>
      <c r="E298" s="102">
        <f t="shared" si="35"/>
        <v>6.6000000000000003E-2</v>
      </c>
      <c r="F298" s="102">
        <f t="shared" si="35"/>
        <v>2.5999999999999999E-2</v>
      </c>
      <c r="G298" s="104">
        <v>0.26800000000000002</v>
      </c>
      <c r="H298" s="104">
        <v>0.28599999999999998</v>
      </c>
      <c r="I298" s="103">
        <v>6.6000000000000003E-2</v>
      </c>
      <c r="J298" s="104">
        <v>2.5999999999999999E-2</v>
      </c>
      <c r="K298" s="54">
        <f>((4/3)*L290)+((8/3)*L302)</f>
        <v>27337</v>
      </c>
      <c r="L298" s="113"/>
      <c r="M298" s="98">
        <f t="shared" si="28"/>
        <v>0.6</v>
      </c>
      <c r="N298" s="98">
        <v>0.26</v>
      </c>
      <c r="O298" s="98">
        <f t="shared" si="29"/>
        <v>0.61</v>
      </c>
      <c r="P298" s="98">
        <v>0.34620000000000001</v>
      </c>
      <c r="Q298" s="98">
        <v>0.69640000000000002</v>
      </c>
      <c r="R298" s="98">
        <v>0.6</v>
      </c>
      <c r="S298" s="98">
        <v>0.61</v>
      </c>
    </row>
    <row r="299" spans="1:19" s="60" customFormat="1">
      <c r="A299" s="59">
        <f t="shared" si="32"/>
        <v>46538</v>
      </c>
      <c r="B299" s="59">
        <f t="shared" si="31"/>
        <v>46903</v>
      </c>
      <c r="C299" s="102">
        <f t="shared" si="35"/>
        <v>0.26800000000000002</v>
      </c>
      <c r="D299" s="102">
        <f t="shared" si="35"/>
        <v>0.28599999999999998</v>
      </c>
      <c r="E299" s="102">
        <f t="shared" si="35"/>
        <v>6.6000000000000003E-2</v>
      </c>
      <c r="F299" s="102">
        <f t="shared" si="35"/>
        <v>2.5999999999999999E-2</v>
      </c>
      <c r="G299" s="104">
        <v>0.26800000000000002</v>
      </c>
      <c r="H299" s="104">
        <v>0.28599999999999998</v>
      </c>
      <c r="I299" s="103">
        <v>6.6000000000000003E-2</v>
      </c>
      <c r="J299" s="104">
        <v>2.5999999999999999E-2</v>
      </c>
      <c r="K299" s="54">
        <f>((3/3)*L290)+((9/3)*L302)</f>
        <v>27448</v>
      </c>
      <c r="L299" s="113"/>
      <c r="M299" s="98">
        <f t="shared" si="28"/>
        <v>0.6</v>
      </c>
      <c r="N299" s="98">
        <v>0.26</v>
      </c>
      <c r="O299" s="98">
        <f t="shared" si="29"/>
        <v>0.61</v>
      </c>
      <c r="P299" s="98">
        <v>0.34620000000000001</v>
      </c>
      <c r="Q299" s="98">
        <v>0.69640000000000002</v>
      </c>
      <c r="R299" s="98">
        <v>0.6</v>
      </c>
      <c r="S299" s="98">
        <v>0.61</v>
      </c>
    </row>
    <row r="300" spans="1:19" s="60" customFormat="1">
      <c r="A300" s="59">
        <f t="shared" si="32"/>
        <v>46568</v>
      </c>
      <c r="B300" s="59">
        <f t="shared" si="31"/>
        <v>46933</v>
      </c>
      <c r="C300" s="102">
        <f t="shared" si="35"/>
        <v>0.26800000000000002</v>
      </c>
      <c r="D300" s="102">
        <f t="shared" si="35"/>
        <v>0.28599999999999998</v>
      </c>
      <c r="E300" s="102">
        <f t="shared" si="35"/>
        <v>6.6000000000000003E-2</v>
      </c>
      <c r="F300" s="102">
        <f t="shared" si="35"/>
        <v>2.5999999999999999E-2</v>
      </c>
      <c r="G300" s="104">
        <v>0.26800000000000002</v>
      </c>
      <c r="H300" s="104">
        <v>0.28599999999999998</v>
      </c>
      <c r="I300" s="103">
        <v>6.6000000000000003E-2</v>
      </c>
      <c r="J300" s="104">
        <v>2.5999999999999999E-2</v>
      </c>
      <c r="K300" s="54">
        <f>((2/3)*L290)+((10/3)*L302)</f>
        <v>27558</v>
      </c>
      <c r="L300" s="113"/>
      <c r="M300" s="98">
        <f t="shared" si="28"/>
        <v>0.6</v>
      </c>
      <c r="N300" s="98">
        <v>0.26</v>
      </c>
      <c r="O300" s="98">
        <f t="shared" si="29"/>
        <v>0.61</v>
      </c>
      <c r="P300" s="98">
        <v>0.34620000000000001</v>
      </c>
      <c r="Q300" s="98">
        <v>0.69640000000000002</v>
      </c>
      <c r="R300" s="98">
        <v>0.6</v>
      </c>
      <c r="S300" s="98">
        <v>0.61</v>
      </c>
    </row>
    <row r="301" spans="1:19" s="60" customFormat="1">
      <c r="A301" s="59">
        <f t="shared" si="32"/>
        <v>46599</v>
      </c>
      <c r="B301" s="59">
        <f t="shared" si="31"/>
        <v>46964</v>
      </c>
      <c r="C301" s="99">
        <f t="shared" si="35"/>
        <v>0.26800000000000002</v>
      </c>
      <c r="D301" s="99">
        <f t="shared" si="35"/>
        <v>0.28599999999999998</v>
      </c>
      <c r="E301" s="99">
        <f t="shared" si="35"/>
        <v>6.6000000000000003E-2</v>
      </c>
      <c r="F301" s="99">
        <f t="shared" si="35"/>
        <v>2.5999999999999999E-2</v>
      </c>
      <c r="G301" s="104">
        <v>0.26800000000000002</v>
      </c>
      <c r="H301" s="104">
        <v>0.28599999999999998</v>
      </c>
      <c r="I301" s="103">
        <v>6.6000000000000003E-2</v>
      </c>
      <c r="J301" s="104">
        <v>2.5999999999999999E-2</v>
      </c>
      <c r="K301" s="54">
        <f>((1/3)*L290)+((11/3)*L302)</f>
        <v>27668</v>
      </c>
      <c r="L301" s="113"/>
      <c r="M301" s="98">
        <f t="shared" si="28"/>
        <v>0.6</v>
      </c>
      <c r="N301" s="98">
        <v>0.26</v>
      </c>
      <c r="O301" s="98">
        <f t="shared" si="29"/>
        <v>0.61</v>
      </c>
      <c r="P301" s="98">
        <v>0.34620000000000001</v>
      </c>
      <c r="Q301" s="98">
        <v>0.69640000000000002</v>
      </c>
      <c r="R301" s="98">
        <v>0.6</v>
      </c>
      <c r="S301" s="98">
        <v>0.61</v>
      </c>
    </row>
    <row r="302" spans="1:19" s="96" customFormat="1">
      <c r="A302" s="95">
        <f t="shared" si="32"/>
        <v>46630</v>
      </c>
      <c r="B302" s="95">
        <f t="shared" si="31"/>
        <v>46995</v>
      </c>
      <c r="C302" s="105">
        <f t="shared" si="35"/>
        <v>0.26800000000000002</v>
      </c>
      <c r="D302" s="105">
        <f t="shared" si="35"/>
        <v>0.28599999999999998</v>
      </c>
      <c r="E302" s="105">
        <f t="shared" si="35"/>
        <v>6.6000000000000003E-2</v>
      </c>
      <c r="F302" s="105">
        <f t="shared" si="35"/>
        <v>2.5999999999999999E-2</v>
      </c>
      <c r="G302" s="107">
        <v>0.26800000000000002</v>
      </c>
      <c r="H302" s="107">
        <v>0.28599999999999998</v>
      </c>
      <c r="I302" s="106">
        <v>6.6000000000000003E-2</v>
      </c>
      <c r="J302" s="107">
        <v>2.5999999999999999E-2</v>
      </c>
      <c r="K302" s="94">
        <f>(L302*4)</f>
        <v>27778</v>
      </c>
      <c r="L302" s="114">
        <f>L290*1.05</f>
        <v>6944.6</v>
      </c>
      <c r="M302" s="421">
        <f t="shared" si="28"/>
        <v>0.6</v>
      </c>
      <c r="N302" s="421">
        <v>0.26</v>
      </c>
      <c r="O302" s="421">
        <f t="shared" si="29"/>
        <v>0.61</v>
      </c>
      <c r="P302" s="421">
        <v>0.34620000000000001</v>
      </c>
      <c r="Q302" s="421">
        <v>0.69640000000000002</v>
      </c>
      <c r="R302" s="421">
        <v>0.6</v>
      </c>
      <c r="S302" s="421">
        <v>0.61</v>
      </c>
    </row>
    <row r="303" spans="1:19" s="96" customFormat="1">
      <c r="A303" s="95">
        <f t="shared" si="32"/>
        <v>46660</v>
      </c>
      <c r="B303" s="95">
        <f t="shared" si="31"/>
        <v>47025</v>
      </c>
      <c r="C303" s="105">
        <f t="shared" si="35"/>
        <v>0.26800000000000002</v>
      </c>
      <c r="D303" s="105">
        <f t="shared" si="35"/>
        <v>0.28599999999999998</v>
      </c>
      <c r="E303" s="105">
        <f t="shared" si="35"/>
        <v>6.6000000000000003E-2</v>
      </c>
      <c r="F303" s="105">
        <f t="shared" si="35"/>
        <v>2.5999999999999999E-2</v>
      </c>
      <c r="G303" s="107">
        <v>0.26800000000000002</v>
      </c>
      <c r="H303" s="107">
        <v>0.28599999999999998</v>
      </c>
      <c r="I303" s="106">
        <v>6.6000000000000003E-2</v>
      </c>
      <c r="J303" s="107">
        <v>2.5999999999999999E-2</v>
      </c>
      <c r="K303" s="94">
        <f>((11/3)*L302)+((1/3)*L314)</f>
        <v>27894</v>
      </c>
      <c r="L303" s="114"/>
      <c r="M303" s="421">
        <f t="shared" ref="M303:M366" si="36">AVERAGE(R303:R314)</f>
        <v>0.6</v>
      </c>
      <c r="N303" s="421">
        <v>0.26</v>
      </c>
      <c r="O303" s="421">
        <f t="shared" ref="O303:O366" si="37">AVERAGE(S303:S314)</f>
        <v>0.61</v>
      </c>
      <c r="P303" s="421">
        <v>0.34620000000000001</v>
      </c>
      <c r="Q303" s="421">
        <v>0.69640000000000002</v>
      </c>
      <c r="R303" s="421">
        <v>0.6</v>
      </c>
      <c r="S303" s="421">
        <v>0.61</v>
      </c>
    </row>
    <row r="304" spans="1:19" s="96" customFormat="1">
      <c r="A304" s="95">
        <f t="shared" si="32"/>
        <v>46691</v>
      </c>
      <c r="B304" s="95">
        <f t="shared" si="31"/>
        <v>47056</v>
      </c>
      <c r="C304" s="105">
        <f t="shared" si="35"/>
        <v>0.26800000000000002</v>
      </c>
      <c r="D304" s="105">
        <f t="shared" si="35"/>
        <v>0.28599999999999998</v>
      </c>
      <c r="E304" s="105">
        <f t="shared" si="35"/>
        <v>6.6000000000000003E-2</v>
      </c>
      <c r="F304" s="105">
        <f t="shared" si="35"/>
        <v>2.5999999999999999E-2</v>
      </c>
      <c r="G304" s="107">
        <v>0.26800000000000002</v>
      </c>
      <c r="H304" s="107">
        <v>0.28599999999999998</v>
      </c>
      <c r="I304" s="106">
        <v>6.6000000000000003E-2</v>
      </c>
      <c r="J304" s="107">
        <v>2.5999999999999999E-2</v>
      </c>
      <c r="K304" s="94">
        <f>((10/3)*L302)+((2/3)*L314)</f>
        <v>28010</v>
      </c>
      <c r="L304" s="114"/>
      <c r="M304" s="421">
        <f t="shared" si="36"/>
        <v>0.6</v>
      </c>
      <c r="N304" s="421">
        <v>0.26</v>
      </c>
      <c r="O304" s="421">
        <f t="shared" si="37"/>
        <v>0.61</v>
      </c>
      <c r="P304" s="421">
        <v>0.34620000000000001</v>
      </c>
      <c r="Q304" s="421">
        <v>0.69640000000000002</v>
      </c>
      <c r="R304" s="421">
        <v>0.6</v>
      </c>
      <c r="S304" s="421">
        <v>0.61</v>
      </c>
    </row>
    <row r="305" spans="1:19" s="96" customFormat="1">
      <c r="A305" s="95">
        <f t="shared" si="32"/>
        <v>46721</v>
      </c>
      <c r="B305" s="95">
        <f t="shared" si="31"/>
        <v>47086</v>
      </c>
      <c r="C305" s="105">
        <f t="shared" si="35"/>
        <v>0.26800000000000002</v>
      </c>
      <c r="D305" s="105">
        <f t="shared" si="35"/>
        <v>0.28599999999999998</v>
      </c>
      <c r="E305" s="105">
        <f t="shared" si="35"/>
        <v>6.6000000000000003E-2</v>
      </c>
      <c r="F305" s="105">
        <f t="shared" si="35"/>
        <v>2.5999999999999999E-2</v>
      </c>
      <c r="G305" s="107">
        <v>0.26800000000000002</v>
      </c>
      <c r="H305" s="107">
        <v>0.28599999999999998</v>
      </c>
      <c r="I305" s="106">
        <v>6.6000000000000003E-2</v>
      </c>
      <c r="J305" s="107">
        <v>2.5999999999999999E-2</v>
      </c>
      <c r="K305" s="94">
        <f>((9/3)*L302)+((3/3)*L314)</f>
        <v>28126</v>
      </c>
      <c r="L305" s="114"/>
      <c r="M305" s="421">
        <f t="shared" si="36"/>
        <v>0.6</v>
      </c>
      <c r="N305" s="421">
        <v>0.26</v>
      </c>
      <c r="O305" s="421">
        <f t="shared" si="37"/>
        <v>0.61</v>
      </c>
      <c r="P305" s="421">
        <v>0.34620000000000001</v>
      </c>
      <c r="Q305" s="421">
        <v>0.69640000000000002</v>
      </c>
      <c r="R305" s="421">
        <v>0.6</v>
      </c>
      <c r="S305" s="421">
        <v>0.61</v>
      </c>
    </row>
    <row r="306" spans="1:19" s="96" customFormat="1">
      <c r="A306" s="95">
        <f t="shared" si="32"/>
        <v>46752</v>
      </c>
      <c r="B306" s="95">
        <f t="shared" si="31"/>
        <v>47117</v>
      </c>
      <c r="C306" s="105">
        <f t="shared" si="35"/>
        <v>0.26800000000000002</v>
      </c>
      <c r="D306" s="105">
        <f t="shared" si="35"/>
        <v>0.28599999999999998</v>
      </c>
      <c r="E306" s="105">
        <f t="shared" si="35"/>
        <v>6.6000000000000003E-2</v>
      </c>
      <c r="F306" s="105">
        <f t="shared" si="35"/>
        <v>2.5999999999999999E-2</v>
      </c>
      <c r="G306" s="107">
        <v>0.26800000000000002</v>
      </c>
      <c r="H306" s="107">
        <v>0.28599999999999998</v>
      </c>
      <c r="I306" s="106">
        <v>6.6000000000000003E-2</v>
      </c>
      <c r="J306" s="107">
        <v>2.5999999999999999E-2</v>
      </c>
      <c r="K306" s="94">
        <f>((8/3)*L302)+((4/3)*L314)</f>
        <v>28241</v>
      </c>
      <c r="L306" s="114"/>
      <c r="M306" s="421">
        <f t="shared" si="36"/>
        <v>0.6</v>
      </c>
      <c r="N306" s="421">
        <v>0.26</v>
      </c>
      <c r="O306" s="421">
        <f t="shared" si="37"/>
        <v>0.61</v>
      </c>
      <c r="P306" s="421">
        <v>0.34620000000000001</v>
      </c>
      <c r="Q306" s="421">
        <v>0.69640000000000002</v>
      </c>
      <c r="R306" s="421">
        <v>0.6</v>
      </c>
      <c r="S306" s="421">
        <v>0.61</v>
      </c>
    </row>
    <row r="307" spans="1:19" s="96" customFormat="1">
      <c r="A307" s="95">
        <f t="shared" si="32"/>
        <v>46783</v>
      </c>
      <c r="B307" s="95">
        <f t="shared" si="31"/>
        <v>47148</v>
      </c>
      <c r="C307" s="105">
        <f t="shared" ref="C307:F322" si="38">AVERAGE(G307:G318)</f>
        <v>0.26800000000000002</v>
      </c>
      <c r="D307" s="105">
        <f t="shared" si="38"/>
        <v>0.28599999999999998</v>
      </c>
      <c r="E307" s="105">
        <f t="shared" si="38"/>
        <v>6.6000000000000003E-2</v>
      </c>
      <c r="F307" s="105">
        <f t="shared" si="38"/>
        <v>2.5999999999999999E-2</v>
      </c>
      <c r="G307" s="107">
        <v>0.26800000000000002</v>
      </c>
      <c r="H307" s="107">
        <v>0.28599999999999998</v>
      </c>
      <c r="I307" s="106">
        <v>6.6000000000000003E-2</v>
      </c>
      <c r="J307" s="107">
        <v>2.5999999999999999E-2</v>
      </c>
      <c r="K307" s="94">
        <f>((7/3)*L302)+((5/3)*L314)</f>
        <v>28357</v>
      </c>
      <c r="L307" s="114"/>
      <c r="M307" s="421">
        <f t="shared" si="36"/>
        <v>0.6</v>
      </c>
      <c r="N307" s="421">
        <v>0.26</v>
      </c>
      <c r="O307" s="421">
        <f t="shared" si="37"/>
        <v>0.61</v>
      </c>
      <c r="P307" s="421">
        <v>0.34620000000000001</v>
      </c>
      <c r="Q307" s="421">
        <v>0.69640000000000002</v>
      </c>
      <c r="R307" s="421">
        <v>0.6</v>
      </c>
      <c r="S307" s="421">
        <v>0.61</v>
      </c>
    </row>
    <row r="308" spans="1:19" s="96" customFormat="1">
      <c r="A308" s="95">
        <f t="shared" si="32"/>
        <v>46812</v>
      </c>
      <c r="B308" s="95">
        <f t="shared" si="31"/>
        <v>47176</v>
      </c>
      <c r="C308" s="105">
        <f t="shared" si="38"/>
        <v>0.26800000000000002</v>
      </c>
      <c r="D308" s="105">
        <f t="shared" si="38"/>
        <v>0.28599999999999998</v>
      </c>
      <c r="E308" s="105">
        <f t="shared" si="38"/>
        <v>6.6000000000000003E-2</v>
      </c>
      <c r="F308" s="105">
        <f t="shared" si="38"/>
        <v>2.5999999999999999E-2</v>
      </c>
      <c r="G308" s="107">
        <v>0.26800000000000002</v>
      </c>
      <c r="H308" s="107">
        <v>0.28599999999999998</v>
      </c>
      <c r="I308" s="106">
        <v>6.6000000000000003E-2</v>
      </c>
      <c r="J308" s="107">
        <v>2.5999999999999999E-2</v>
      </c>
      <c r="K308" s="94">
        <f>((6/3)*L302)+((6/3)*L314)</f>
        <v>28473</v>
      </c>
      <c r="L308" s="114"/>
      <c r="M308" s="421">
        <f t="shared" si="36"/>
        <v>0.6</v>
      </c>
      <c r="N308" s="421">
        <v>0.26</v>
      </c>
      <c r="O308" s="421">
        <f t="shared" si="37"/>
        <v>0.61</v>
      </c>
      <c r="P308" s="421">
        <v>0.34620000000000001</v>
      </c>
      <c r="Q308" s="421">
        <v>0.69640000000000002</v>
      </c>
      <c r="R308" s="421">
        <v>0.6</v>
      </c>
      <c r="S308" s="421">
        <v>0.61</v>
      </c>
    </row>
    <row r="309" spans="1:19" s="96" customFormat="1">
      <c r="A309" s="95">
        <f t="shared" si="32"/>
        <v>46843</v>
      </c>
      <c r="B309" s="95">
        <f t="shared" si="31"/>
        <v>47207</v>
      </c>
      <c r="C309" s="105">
        <f t="shared" si="38"/>
        <v>0.26800000000000002</v>
      </c>
      <c r="D309" s="105">
        <f t="shared" si="38"/>
        <v>0.28599999999999998</v>
      </c>
      <c r="E309" s="105">
        <f t="shared" si="38"/>
        <v>6.6000000000000003E-2</v>
      </c>
      <c r="F309" s="105">
        <f t="shared" si="38"/>
        <v>2.5999999999999999E-2</v>
      </c>
      <c r="G309" s="107">
        <v>0.26800000000000002</v>
      </c>
      <c r="H309" s="107">
        <v>0.28599999999999998</v>
      </c>
      <c r="I309" s="106">
        <v>6.6000000000000003E-2</v>
      </c>
      <c r="J309" s="107">
        <v>2.5999999999999999E-2</v>
      </c>
      <c r="K309" s="94">
        <f>((5/3)*L302)+((7/3)*L314)</f>
        <v>28589</v>
      </c>
      <c r="L309" s="114"/>
      <c r="M309" s="421">
        <f t="shared" si="36"/>
        <v>0.6</v>
      </c>
      <c r="N309" s="421">
        <v>0.26</v>
      </c>
      <c r="O309" s="421">
        <f t="shared" si="37"/>
        <v>0.61</v>
      </c>
      <c r="P309" s="421">
        <v>0.34620000000000001</v>
      </c>
      <c r="Q309" s="421">
        <v>0.69640000000000002</v>
      </c>
      <c r="R309" s="421">
        <v>0.6</v>
      </c>
      <c r="S309" s="421">
        <v>0.61</v>
      </c>
    </row>
    <row r="310" spans="1:19" s="96" customFormat="1">
      <c r="A310" s="95">
        <f t="shared" si="32"/>
        <v>46873</v>
      </c>
      <c r="B310" s="95">
        <f t="shared" si="31"/>
        <v>47237</v>
      </c>
      <c r="C310" s="105">
        <f t="shared" si="38"/>
        <v>0.26800000000000002</v>
      </c>
      <c r="D310" s="105">
        <f t="shared" si="38"/>
        <v>0.28599999999999998</v>
      </c>
      <c r="E310" s="105">
        <f t="shared" si="38"/>
        <v>6.6000000000000003E-2</v>
      </c>
      <c r="F310" s="105">
        <f t="shared" si="38"/>
        <v>2.5999999999999999E-2</v>
      </c>
      <c r="G310" s="107">
        <v>0.26800000000000002</v>
      </c>
      <c r="H310" s="107">
        <v>0.28599999999999998</v>
      </c>
      <c r="I310" s="106">
        <v>6.6000000000000003E-2</v>
      </c>
      <c r="J310" s="107">
        <v>2.5999999999999999E-2</v>
      </c>
      <c r="K310" s="94">
        <f>((4/3)*L302)+((8/3)*L314)</f>
        <v>28704</v>
      </c>
      <c r="L310" s="114"/>
      <c r="M310" s="421">
        <f t="shared" si="36"/>
        <v>0.6</v>
      </c>
      <c r="N310" s="421">
        <v>0.26</v>
      </c>
      <c r="O310" s="421">
        <f t="shared" si="37"/>
        <v>0.61</v>
      </c>
      <c r="P310" s="421">
        <v>0.34620000000000001</v>
      </c>
      <c r="Q310" s="421">
        <v>0.69640000000000002</v>
      </c>
      <c r="R310" s="421">
        <v>0.6</v>
      </c>
      <c r="S310" s="421">
        <v>0.61</v>
      </c>
    </row>
    <row r="311" spans="1:19" s="96" customFormat="1">
      <c r="A311" s="95">
        <f t="shared" si="32"/>
        <v>46904</v>
      </c>
      <c r="B311" s="95">
        <f t="shared" si="31"/>
        <v>47268</v>
      </c>
      <c r="C311" s="105">
        <f t="shared" si="38"/>
        <v>0.26800000000000002</v>
      </c>
      <c r="D311" s="105">
        <f t="shared" si="38"/>
        <v>0.28599999999999998</v>
      </c>
      <c r="E311" s="105">
        <f t="shared" si="38"/>
        <v>6.6000000000000003E-2</v>
      </c>
      <c r="F311" s="105">
        <f t="shared" si="38"/>
        <v>2.5999999999999999E-2</v>
      </c>
      <c r="G311" s="107">
        <v>0.26800000000000002</v>
      </c>
      <c r="H311" s="107">
        <v>0.28599999999999998</v>
      </c>
      <c r="I311" s="106">
        <v>6.6000000000000003E-2</v>
      </c>
      <c r="J311" s="107">
        <v>2.5999999999999999E-2</v>
      </c>
      <c r="K311" s="94">
        <f>((3/3)*L302)+((9/3)*L314)</f>
        <v>28820</v>
      </c>
      <c r="L311" s="114"/>
      <c r="M311" s="421">
        <f t="shared" si="36"/>
        <v>0.6</v>
      </c>
      <c r="N311" s="421">
        <v>0.26</v>
      </c>
      <c r="O311" s="421">
        <f t="shared" si="37"/>
        <v>0.61</v>
      </c>
      <c r="P311" s="421">
        <v>0.34620000000000001</v>
      </c>
      <c r="Q311" s="421">
        <v>0.69640000000000002</v>
      </c>
      <c r="R311" s="421">
        <v>0.6</v>
      </c>
      <c r="S311" s="421">
        <v>0.61</v>
      </c>
    </row>
    <row r="312" spans="1:19" s="96" customFormat="1">
      <c r="A312" s="95">
        <f t="shared" si="32"/>
        <v>46934</v>
      </c>
      <c r="B312" s="95">
        <f t="shared" si="31"/>
        <v>47298</v>
      </c>
      <c r="C312" s="105">
        <f t="shared" si="38"/>
        <v>0.26800000000000002</v>
      </c>
      <c r="D312" s="105">
        <f t="shared" si="38"/>
        <v>0.28599999999999998</v>
      </c>
      <c r="E312" s="105">
        <f t="shared" si="38"/>
        <v>6.6000000000000003E-2</v>
      </c>
      <c r="F312" s="105">
        <f t="shared" si="38"/>
        <v>2.5999999999999999E-2</v>
      </c>
      <c r="G312" s="107">
        <v>0.26800000000000002</v>
      </c>
      <c r="H312" s="107">
        <v>0.28599999999999998</v>
      </c>
      <c r="I312" s="106">
        <v>6.6000000000000003E-2</v>
      </c>
      <c r="J312" s="107">
        <v>2.5999999999999999E-2</v>
      </c>
      <c r="K312" s="94">
        <f>((2/3)*L302)+((10/3)*L314)</f>
        <v>28936</v>
      </c>
      <c r="L312" s="114"/>
      <c r="M312" s="421">
        <f t="shared" si="36"/>
        <v>0.6</v>
      </c>
      <c r="N312" s="421">
        <v>0.26</v>
      </c>
      <c r="O312" s="421">
        <f t="shared" si="37"/>
        <v>0.61</v>
      </c>
      <c r="P312" s="421">
        <v>0.34620000000000001</v>
      </c>
      <c r="Q312" s="421">
        <v>0.69640000000000002</v>
      </c>
      <c r="R312" s="421">
        <v>0.6</v>
      </c>
      <c r="S312" s="421">
        <v>0.61</v>
      </c>
    </row>
    <row r="313" spans="1:19" s="96" customFormat="1">
      <c r="A313" s="95">
        <f t="shared" si="32"/>
        <v>46965</v>
      </c>
      <c r="B313" s="95">
        <f t="shared" si="31"/>
        <v>47329</v>
      </c>
      <c r="C313" s="105">
        <f t="shared" si="38"/>
        <v>0.26800000000000002</v>
      </c>
      <c r="D313" s="105">
        <f t="shared" si="38"/>
        <v>0.28599999999999998</v>
      </c>
      <c r="E313" s="105">
        <f t="shared" si="38"/>
        <v>6.6000000000000003E-2</v>
      </c>
      <c r="F313" s="105">
        <f t="shared" si="38"/>
        <v>2.5999999999999999E-2</v>
      </c>
      <c r="G313" s="107">
        <v>0.26800000000000002</v>
      </c>
      <c r="H313" s="107">
        <v>0.28599999999999998</v>
      </c>
      <c r="I313" s="106">
        <v>6.6000000000000003E-2</v>
      </c>
      <c r="J313" s="107">
        <v>2.5999999999999999E-2</v>
      </c>
      <c r="K313" s="94">
        <f>((1/3)*L302)+((11/3)*L314)</f>
        <v>29052</v>
      </c>
      <c r="L313" s="114"/>
      <c r="M313" s="421">
        <f t="shared" si="36"/>
        <v>0.6</v>
      </c>
      <c r="N313" s="421">
        <v>0.26</v>
      </c>
      <c r="O313" s="421">
        <f t="shared" si="37"/>
        <v>0.61</v>
      </c>
      <c r="P313" s="421">
        <v>0.34620000000000001</v>
      </c>
      <c r="Q313" s="421">
        <v>0.69640000000000002</v>
      </c>
      <c r="R313" s="421">
        <v>0.6</v>
      </c>
      <c r="S313" s="421">
        <v>0.61</v>
      </c>
    </row>
    <row r="314" spans="1:19" s="60" customFormat="1">
      <c r="A314" s="59">
        <f t="shared" si="32"/>
        <v>46996</v>
      </c>
      <c r="B314" s="59">
        <f t="shared" si="31"/>
        <v>47360</v>
      </c>
      <c r="C314" s="102">
        <f t="shared" si="38"/>
        <v>0.26800000000000002</v>
      </c>
      <c r="D314" s="102">
        <f t="shared" si="38"/>
        <v>0.28599999999999998</v>
      </c>
      <c r="E314" s="102">
        <f t="shared" si="38"/>
        <v>6.6000000000000003E-2</v>
      </c>
      <c r="F314" s="102">
        <f t="shared" si="38"/>
        <v>2.5999999999999999E-2</v>
      </c>
      <c r="G314" s="104">
        <v>0.26800000000000002</v>
      </c>
      <c r="H314" s="104">
        <v>0.28599999999999998</v>
      </c>
      <c r="I314" s="103">
        <v>6.6000000000000003E-2</v>
      </c>
      <c r="J314" s="104">
        <v>2.5999999999999999E-2</v>
      </c>
      <c r="K314" s="54">
        <f>(L314*4)</f>
        <v>29167</v>
      </c>
      <c r="L314" s="113">
        <f>L302*1.05</f>
        <v>7291.83</v>
      </c>
      <c r="M314" s="98">
        <f t="shared" si="36"/>
        <v>0.6</v>
      </c>
      <c r="N314" s="98">
        <v>0.26</v>
      </c>
      <c r="O314" s="98">
        <f t="shared" si="37"/>
        <v>0.61</v>
      </c>
      <c r="P314" s="98">
        <v>0.34620000000000001</v>
      </c>
      <c r="Q314" s="98">
        <v>0.69640000000000002</v>
      </c>
      <c r="R314" s="98">
        <v>0.6</v>
      </c>
      <c r="S314" s="98">
        <v>0.61</v>
      </c>
    </row>
    <row r="315" spans="1:19" s="60" customFormat="1">
      <c r="A315" s="59">
        <f t="shared" si="32"/>
        <v>47026</v>
      </c>
      <c r="B315" s="59">
        <f t="shared" si="31"/>
        <v>47390</v>
      </c>
      <c r="C315" s="102">
        <f t="shared" si="38"/>
        <v>0.26800000000000002</v>
      </c>
      <c r="D315" s="102">
        <f t="shared" si="38"/>
        <v>0.28599999999999998</v>
      </c>
      <c r="E315" s="102">
        <f t="shared" si="38"/>
        <v>6.6000000000000003E-2</v>
      </c>
      <c r="F315" s="102">
        <f t="shared" si="38"/>
        <v>2.5999999999999999E-2</v>
      </c>
      <c r="G315" s="104">
        <v>0.26800000000000002</v>
      </c>
      <c r="H315" s="104">
        <v>0.28599999999999998</v>
      </c>
      <c r="I315" s="103">
        <v>6.6000000000000003E-2</v>
      </c>
      <c r="J315" s="104">
        <v>2.5999999999999999E-2</v>
      </c>
      <c r="K315" s="54">
        <f>((11/3)*L314)+((1/3)*L326)</f>
        <v>29289</v>
      </c>
      <c r="L315" s="113"/>
      <c r="M315" s="98">
        <f t="shared" si="36"/>
        <v>0.6</v>
      </c>
      <c r="N315" s="98">
        <v>0.26</v>
      </c>
      <c r="O315" s="98">
        <f t="shared" si="37"/>
        <v>0.61</v>
      </c>
      <c r="P315" s="98">
        <v>0.34620000000000001</v>
      </c>
      <c r="Q315" s="98">
        <v>0.69640000000000002</v>
      </c>
      <c r="R315" s="98">
        <v>0.6</v>
      </c>
      <c r="S315" s="98">
        <v>0.61</v>
      </c>
    </row>
    <row r="316" spans="1:19" s="60" customFormat="1">
      <c r="A316" s="59">
        <f t="shared" si="32"/>
        <v>47057</v>
      </c>
      <c r="B316" s="59">
        <f t="shared" si="31"/>
        <v>47421</v>
      </c>
      <c r="C316" s="102">
        <f t="shared" si="38"/>
        <v>0.26800000000000002</v>
      </c>
      <c r="D316" s="102">
        <f t="shared" si="38"/>
        <v>0.28599999999999998</v>
      </c>
      <c r="E316" s="102">
        <f t="shared" si="38"/>
        <v>6.6000000000000003E-2</v>
      </c>
      <c r="F316" s="102">
        <f t="shared" si="38"/>
        <v>2.5999999999999999E-2</v>
      </c>
      <c r="G316" s="104">
        <v>0.26800000000000002</v>
      </c>
      <c r="H316" s="104">
        <v>0.28599999999999998</v>
      </c>
      <c r="I316" s="103">
        <v>6.6000000000000003E-2</v>
      </c>
      <c r="J316" s="104">
        <v>2.5999999999999999E-2</v>
      </c>
      <c r="K316" s="54">
        <f>((10/3)*L314)+((2/3)*L326)</f>
        <v>29410</v>
      </c>
      <c r="L316" s="113"/>
      <c r="M316" s="98">
        <f t="shared" si="36"/>
        <v>0.6</v>
      </c>
      <c r="N316" s="98">
        <v>0.26</v>
      </c>
      <c r="O316" s="98">
        <f t="shared" si="37"/>
        <v>0.61</v>
      </c>
      <c r="P316" s="98">
        <v>0.34620000000000001</v>
      </c>
      <c r="Q316" s="98">
        <v>0.69640000000000002</v>
      </c>
      <c r="R316" s="98">
        <v>0.6</v>
      </c>
      <c r="S316" s="98">
        <v>0.61</v>
      </c>
    </row>
    <row r="317" spans="1:19" s="60" customFormat="1">
      <c r="A317" s="59">
        <f t="shared" si="32"/>
        <v>47087</v>
      </c>
      <c r="B317" s="59">
        <f t="shared" si="31"/>
        <v>47451</v>
      </c>
      <c r="C317" s="102">
        <f t="shared" si="38"/>
        <v>0.26800000000000002</v>
      </c>
      <c r="D317" s="102">
        <f t="shared" si="38"/>
        <v>0.28599999999999998</v>
      </c>
      <c r="E317" s="102">
        <f t="shared" si="38"/>
        <v>6.6000000000000003E-2</v>
      </c>
      <c r="F317" s="102">
        <f t="shared" si="38"/>
        <v>2.5999999999999999E-2</v>
      </c>
      <c r="G317" s="104">
        <v>0.26800000000000002</v>
      </c>
      <c r="H317" s="104">
        <v>0.28599999999999998</v>
      </c>
      <c r="I317" s="103">
        <v>6.6000000000000003E-2</v>
      </c>
      <c r="J317" s="104">
        <v>2.5999999999999999E-2</v>
      </c>
      <c r="K317" s="54">
        <f>((9/3)*L314)+((3/3)*L326)</f>
        <v>29532</v>
      </c>
      <c r="L317" s="113"/>
      <c r="M317" s="98">
        <f t="shared" si="36"/>
        <v>0.6</v>
      </c>
      <c r="N317" s="98">
        <v>0.26</v>
      </c>
      <c r="O317" s="98">
        <f t="shared" si="37"/>
        <v>0.61</v>
      </c>
      <c r="P317" s="98">
        <v>0.34620000000000001</v>
      </c>
      <c r="Q317" s="98">
        <v>0.69640000000000002</v>
      </c>
      <c r="R317" s="98">
        <v>0.6</v>
      </c>
      <c r="S317" s="98">
        <v>0.61</v>
      </c>
    </row>
    <row r="318" spans="1:19" s="60" customFormat="1">
      <c r="A318" s="59">
        <f t="shared" si="32"/>
        <v>47118</v>
      </c>
      <c r="B318" s="59">
        <f t="shared" si="31"/>
        <v>47482</v>
      </c>
      <c r="C318" s="102">
        <f t="shared" si="38"/>
        <v>0.26800000000000002</v>
      </c>
      <c r="D318" s="102">
        <f t="shared" si="38"/>
        <v>0.28599999999999998</v>
      </c>
      <c r="E318" s="102">
        <f t="shared" si="38"/>
        <v>6.6000000000000003E-2</v>
      </c>
      <c r="F318" s="102">
        <f t="shared" si="38"/>
        <v>2.5999999999999999E-2</v>
      </c>
      <c r="G318" s="104">
        <v>0.26800000000000002</v>
      </c>
      <c r="H318" s="104">
        <v>0.28599999999999998</v>
      </c>
      <c r="I318" s="103">
        <v>6.6000000000000003E-2</v>
      </c>
      <c r="J318" s="104">
        <v>2.5999999999999999E-2</v>
      </c>
      <c r="K318" s="54">
        <f>((8/3)*L314)+((4/3)*L326)</f>
        <v>29653</v>
      </c>
      <c r="L318" s="113"/>
      <c r="M318" s="98">
        <f t="shared" si="36"/>
        <v>0.6</v>
      </c>
      <c r="N318" s="98">
        <v>0.26</v>
      </c>
      <c r="O318" s="98">
        <f t="shared" si="37"/>
        <v>0.61</v>
      </c>
      <c r="P318" s="98">
        <v>0.34620000000000001</v>
      </c>
      <c r="Q318" s="98">
        <v>0.69640000000000002</v>
      </c>
      <c r="R318" s="98">
        <v>0.6</v>
      </c>
      <c r="S318" s="98">
        <v>0.61</v>
      </c>
    </row>
    <row r="319" spans="1:19" s="60" customFormat="1">
      <c r="A319" s="59">
        <f t="shared" si="32"/>
        <v>47149</v>
      </c>
      <c r="B319" s="59">
        <f t="shared" si="31"/>
        <v>47513</v>
      </c>
      <c r="C319" s="102">
        <f t="shared" si="38"/>
        <v>0.26800000000000002</v>
      </c>
      <c r="D319" s="102">
        <f t="shared" si="38"/>
        <v>0.28599999999999998</v>
      </c>
      <c r="E319" s="102">
        <f t="shared" si="38"/>
        <v>6.6000000000000003E-2</v>
      </c>
      <c r="F319" s="102">
        <f t="shared" si="38"/>
        <v>2.5999999999999999E-2</v>
      </c>
      <c r="G319" s="104">
        <v>0.26800000000000002</v>
      </c>
      <c r="H319" s="104">
        <v>0.28599999999999998</v>
      </c>
      <c r="I319" s="103">
        <v>6.6000000000000003E-2</v>
      </c>
      <c r="J319" s="104">
        <v>2.5999999999999999E-2</v>
      </c>
      <c r="K319" s="54">
        <f>((7/3)*L314)+((5/3)*L326)</f>
        <v>29775</v>
      </c>
      <c r="L319" s="113"/>
      <c r="M319" s="98">
        <f t="shared" si="36"/>
        <v>0.6</v>
      </c>
      <c r="N319" s="98">
        <v>0.26</v>
      </c>
      <c r="O319" s="98">
        <f t="shared" si="37"/>
        <v>0.61</v>
      </c>
      <c r="P319" s="98">
        <v>0.34620000000000001</v>
      </c>
      <c r="Q319" s="98">
        <v>0.69640000000000002</v>
      </c>
      <c r="R319" s="98">
        <v>0.6</v>
      </c>
      <c r="S319" s="98">
        <v>0.61</v>
      </c>
    </row>
    <row r="320" spans="1:19" s="60" customFormat="1">
      <c r="A320" s="59">
        <f t="shared" si="32"/>
        <v>47177</v>
      </c>
      <c r="B320" s="59">
        <f t="shared" si="31"/>
        <v>47541</v>
      </c>
      <c r="C320" s="102">
        <f t="shared" si="38"/>
        <v>0.26800000000000002</v>
      </c>
      <c r="D320" s="102">
        <f t="shared" si="38"/>
        <v>0.28599999999999998</v>
      </c>
      <c r="E320" s="102">
        <f t="shared" si="38"/>
        <v>6.6000000000000003E-2</v>
      </c>
      <c r="F320" s="102">
        <f t="shared" si="38"/>
        <v>2.5999999999999999E-2</v>
      </c>
      <c r="G320" s="104">
        <v>0.26800000000000002</v>
      </c>
      <c r="H320" s="104">
        <v>0.28599999999999998</v>
      </c>
      <c r="I320" s="103">
        <v>6.6000000000000003E-2</v>
      </c>
      <c r="J320" s="104">
        <v>2.5999999999999999E-2</v>
      </c>
      <c r="K320" s="54">
        <f>((6/3)*L314)+((6/3)*L326)</f>
        <v>29897</v>
      </c>
      <c r="L320" s="113"/>
      <c r="M320" s="98">
        <f t="shared" si="36"/>
        <v>0.6</v>
      </c>
      <c r="N320" s="98">
        <v>0.26</v>
      </c>
      <c r="O320" s="98">
        <f t="shared" si="37"/>
        <v>0.61</v>
      </c>
      <c r="P320" s="98">
        <v>0.34620000000000001</v>
      </c>
      <c r="Q320" s="98">
        <v>0.69640000000000002</v>
      </c>
      <c r="R320" s="98">
        <v>0.6</v>
      </c>
      <c r="S320" s="98">
        <v>0.61</v>
      </c>
    </row>
    <row r="321" spans="1:19" s="60" customFormat="1">
      <c r="A321" s="59">
        <f t="shared" si="32"/>
        <v>47208</v>
      </c>
      <c r="B321" s="59">
        <f t="shared" si="31"/>
        <v>47572</v>
      </c>
      <c r="C321" s="102">
        <f t="shared" si="38"/>
        <v>0.26800000000000002</v>
      </c>
      <c r="D321" s="102">
        <f t="shared" si="38"/>
        <v>0.28599999999999998</v>
      </c>
      <c r="E321" s="102">
        <f t="shared" si="38"/>
        <v>6.6000000000000003E-2</v>
      </c>
      <c r="F321" s="102">
        <f t="shared" si="38"/>
        <v>2.5999999999999999E-2</v>
      </c>
      <c r="G321" s="104">
        <v>0.26800000000000002</v>
      </c>
      <c r="H321" s="104">
        <v>0.28599999999999998</v>
      </c>
      <c r="I321" s="103">
        <v>6.6000000000000003E-2</v>
      </c>
      <c r="J321" s="104">
        <v>2.5999999999999999E-2</v>
      </c>
      <c r="K321" s="54">
        <f>((5/3)*L314)+((7/3)*L326)</f>
        <v>30018</v>
      </c>
      <c r="L321" s="113"/>
      <c r="M321" s="98">
        <f t="shared" si="36"/>
        <v>0.6</v>
      </c>
      <c r="N321" s="98">
        <v>0.26</v>
      </c>
      <c r="O321" s="98">
        <f t="shared" si="37"/>
        <v>0.61</v>
      </c>
      <c r="P321" s="98">
        <v>0.34620000000000001</v>
      </c>
      <c r="Q321" s="98">
        <v>0.69640000000000002</v>
      </c>
      <c r="R321" s="98">
        <v>0.6</v>
      </c>
      <c r="S321" s="98">
        <v>0.61</v>
      </c>
    </row>
    <row r="322" spans="1:19" s="60" customFormat="1">
      <c r="A322" s="59">
        <f t="shared" si="32"/>
        <v>47238</v>
      </c>
      <c r="B322" s="59">
        <f t="shared" ref="B322:B385" si="39">EDATE(A322,12)-1</f>
        <v>47602</v>
      </c>
      <c r="C322" s="102">
        <f t="shared" si="38"/>
        <v>0.26800000000000002</v>
      </c>
      <c r="D322" s="102">
        <f t="shared" si="38"/>
        <v>0.28599999999999998</v>
      </c>
      <c r="E322" s="102">
        <f t="shared" si="38"/>
        <v>6.6000000000000003E-2</v>
      </c>
      <c r="F322" s="102">
        <f t="shared" si="38"/>
        <v>2.5999999999999999E-2</v>
      </c>
      <c r="G322" s="104">
        <v>0.26800000000000002</v>
      </c>
      <c r="H322" s="104">
        <v>0.28599999999999998</v>
      </c>
      <c r="I322" s="103">
        <v>6.6000000000000003E-2</v>
      </c>
      <c r="J322" s="104">
        <v>2.5999999999999999E-2</v>
      </c>
      <c r="K322" s="54">
        <f>((4/3)*L314)+((8/3)*L326)</f>
        <v>30140</v>
      </c>
      <c r="L322" s="113"/>
      <c r="M322" s="98">
        <f t="shared" si="36"/>
        <v>0.6</v>
      </c>
      <c r="N322" s="98">
        <v>0.26</v>
      </c>
      <c r="O322" s="98">
        <f t="shared" si="37"/>
        <v>0.61</v>
      </c>
      <c r="P322" s="98">
        <v>0.34620000000000001</v>
      </c>
      <c r="Q322" s="98">
        <v>0.69640000000000002</v>
      </c>
      <c r="R322" s="98">
        <v>0.6</v>
      </c>
      <c r="S322" s="98">
        <v>0.61</v>
      </c>
    </row>
    <row r="323" spans="1:19" s="60" customFormat="1">
      <c r="A323" s="59">
        <f t="shared" ref="A323:A386" si="40">EDATE(A322,1)</f>
        <v>47269</v>
      </c>
      <c r="B323" s="59">
        <f t="shared" si="39"/>
        <v>47633</v>
      </c>
      <c r="C323" s="102">
        <f t="shared" ref="C323:F338" si="41">AVERAGE(G323:G334)</f>
        <v>0.26800000000000002</v>
      </c>
      <c r="D323" s="102">
        <f t="shared" si="41"/>
        <v>0.28599999999999998</v>
      </c>
      <c r="E323" s="102">
        <f t="shared" si="41"/>
        <v>6.6000000000000003E-2</v>
      </c>
      <c r="F323" s="102">
        <f t="shared" si="41"/>
        <v>2.5999999999999999E-2</v>
      </c>
      <c r="G323" s="104">
        <v>0.26800000000000002</v>
      </c>
      <c r="H323" s="104">
        <v>0.28599999999999998</v>
      </c>
      <c r="I323" s="103">
        <v>6.6000000000000003E-2</v>
      </c>
      <c r="J323" s="104">
        <v>2.5999999999999999E-2</v>
      </c>
      <c r="K323" s="54">
        <f>((3/3)*L314)+((9/3)*L326)</f>
        <v>30261</v>
      </c>
      <c r="L323" s="113"/>
      <c r="M323" s="98">
        <f t="shared" si="36"/>
        <v>0.6</v>
      </c>
      <c r="N323" s="98">
        <v>0.26</v>
      </c>
      <c r="O323" s="98">
        <f t="shared" si="37"/>
        <v>0.61</v>
      </c>
      <c r="P323" s="98">
        <v>0.34620000000000001</v>
      </c>
      <c r="Q323" s="98">
        <v>0.69640000000000002</v>
      </c>
      <c r="R323" s="98">
        <v>0.6</v>
      </c>
      <c r="S323" s="98">
        <v>0.61</v>
      </c>
    </row>
    <row r="324" spans="1:19" s="60" customFormat="1">
      <c r="A324" s="59">
        <f t="shared" si="40"/>
        <v>47299</v>
      </c>
      <c r="B324" s="59">
        <f t="shared" si="39"/>
        <v>47663</v>
      </c>
      <c r="C324" s="102">
        <f t="shared" si="41"/>
        <v>0.26800000000000002</v>
      </c>
      <c r="D324" s="102">
        <f t="shared" si="41"/>
        <v>0.28599999999999998</v>
      </c>
      <c r="E324" s="102">
        <f t="shared" si="41"/>
        <v>6.6000000000000003E-2</v>
      </c>
      <c r="F324" s="102">
        <f t="shared" si="41"/>
        <v>2.5999999999999999E-2</v>
      </c>
      <c r="G324" s="104">
        <v>0.26800000000000002</v>
      </c>
      <c r="H324" s="104">
        <v>0.28599999999999998</v>
      </c>
      <c r="I324" s="103">
        <v>6.6000000000000003E-2</v>
      </c>
      <c r="J324" s="104">
        <v>2.5999999999999999E-2</v>
      </c>
      <c r="K324" s="54">
        <f>((2/3)*L314)+((10/3)*L326)</f>
        <v>30383</v>
      </c>
      <c r="L324" s="113"/>
      <c r="M324" s="98">
        <f t="shared" si="36"/>
        <v>0.6</v>
      </c>
      <c r="N324" s="98">
        <v>0.26</v>
      </c>
      <c r="O324" s="98">
        <f t="shared" si="37"/>
        <v>0.61</v>
      </c>
      <c r="P324" s="98">
        <v>0.34620000000000001</v>
      </c>
      <c r="Q324" s="98">
        <v>0.69640000000000002</v>
      </c>
      <c r="R324" s="98">
        <v>0.6</v>
      </c>
      <c r="S324" s="98">
        <v>0.61</v>
      </c>
    </row>
    <row r="325" spans="1:19" s="60" customFormat="1">
      <c r="A325" s="59">
        <f t="shared" si="40"/>
        <v>47330</v>
      </c>
      <c r="B325" s="59">
        <f t="shared" si="39"/>
        <v>47694</v>
      </c>
      <c r="C325" s="99">
        <f t="shared" si="41"/>
        <v>0.26800000000000002</v>
      </c>
      <c r="D325" s="99">
        <f t="shared" si="41"/>
        <v>0.28599999999999998</v>
      </c>
      <c r="E325" s="99">
        <f t="shared" si="41"/>
        <v>6.6000000000000003E-2</v>
      </c>
      <c r="F325" s="99">
        <f t="shared" si="41"/>
        <v>2.5999999999999999E-2</v>
      </c>
      <c r="G325" s="104">
        <v>0.26800000000000002</v>
      </c>
      <c r="H325" s="104">
        <v>0.28599999999999998</v>
      </c>
      <c r="I325" s="103">
        <v>6.6000000000000003E-2</v>
      </c>
      <c r="J325" s="104">
        <v>2.5999999999999999E-2</v>
      </c>
      <c r="K325" s="54">
        <f>((1/3)*L314)+((11/3)*L326)</f>
        <v>30504</v>
      </c>
      <c r="L325" s="113"/>
      <c r="M325" s="98">
        <f t="shared" si="36"/>
        <v>0.6</v>
      </c>
      <c r="N325" s="98">
        <v>0.26</v>
      </c>
      <c r="O325" s="98">
        <f t="shared" si="37"/>
        <v>0.61</v>
      </c>
      <c r="P325" s="98">
        <v>0.34620000000000001</v>
      </c>
      <c r="Q325" s="98">
        <v>0.69640000000000002</v>
      </c>
      <c r="R325" s="98">
        <v>0.6</v>
      </c>
      <c r="S325" s="98">
        <v>0.61</v>
      </c>
    </row>
    <row r="326" spans="1:19" s="96" customFormat="1">
      <c r="A326" s="95">
        <f t="shared" si="40"/>
        <v>47361</v>
      </c>
      <c r="B326" s="95">
        <f t="shared" si="39"/>
        <v>47725</v>
      </c>
      <c r="C326" s="105">
        <f t="shared" si="41"/>
        <v>0.26800000000000002</v>
      </c>
      <c r="D326" s="105">
        <f t="shared" si="41"/>
        <v>0.28599999999999998</v>
      </c>
      <c r="E326" s="105">
        <f t="shared" si="41"/>
        <v>6.6000000000000003E-2</v>
      </c>
      <c r="F326" s="105">
        <f t="shared" si="41"/>
        <v>2.5999999999999999E-2</v>
      </c>
      <c r="G326" s="107">
        <v>0.26800000000000002</v>
      </c>
      <c r="H326" s="107">
        <v>0.28599999999999998</v>
      </c>
      <c r="I326" s="106">
        <v>6.6000000000000003E-2</v>
      </c>
      <c r="J326" s="107">
        <v>2.5999999999999999E-2</v>
      </c>
      <c r="K326" s="94">
        <f>(L326*4)</f>
        <v>30626</v>
      </c>
      <c r="L326" s="114">
        <f>L314*1.05</f>
        <v>7656.42</v>
      </c>
      <c r="M326" s="421">
        <f t="shared" si="36"/>
        <v>0.6</v>
      </c>
      <c r="N326" s="421">
        <v>0.26</v>
      </c>
      <c r="O326" s="421">
        <f t="shared" si="37"/>
        <v>0.61</v>
      </c>
      <c r="P326" s="421">
        <v>0.34620000000000001</v>
      </c>
      <c r="Q326" s="421">
        <v>0.69640000000000002</v>
      </c>
      <c r="R326" s="421">
        <v>0.6</v>
      </c>
      <c r="S326" s="421">
        <v>0.61</v>
      </c>
    </row>
    <row r="327" spans="1:19" s="96" customFormat="1">
      <c r="A327" s="95">
        <f t="shared" si="40"/>
        <v>47391</v>
      </c>
      <c r="B327" s="95">
        <f t="shared" si="39"/>
        <v>47755</v>
      </c>
      <c r="C327" s="105">
        <f t="shared" si="41"/>
        <v>0.26800000000000002</v>
      </c>
      <c r="D327" s="105">
        <f t="shared" si="41"/>
        <v>0.28599999999999998</v>
      </c>
      <c r="E327" s="105">
        <f t="shared" si="41"/>
        <v>6.6000000000000003E-2</v>
      </c>
      <c r="F327" s="105">
        <f t="shared" si="41"/>
        <v>2.5999999999999999E-2</v>
      </c>
      <c r="G327" s="107">
        <v>0.26800000000000002</v>
      </c>
      <c r="H327" s="107">
        <v>0.28599999999999998</v>
      </c>
      <c r="I327" s="106">
        <v>6.6000000000000003E-2</v>
      </c>
      <c r="J327" s="107">
        <v>2.5999999999999999E-2</v>
      </c>
      <c r="K327" s="94">
        <f>((11/3)*L326)+((1/3)*L338)</f>
        <v>30753</v>
      </c>
      <c r="L327" s="114"/>
      <c r="M327" s="421">
        <f t="shared" si="36"/>
        <v>0.6</v>
      </c>
      <c r="N327" s="421">
        <v>0.26</v>
      </c>
      <c r="O327" s="421">
        <f t="shared" si="37"/>
        <v>0.61</v>
      </c>
      <c r="P327" s="421">
        <v>0.34620000000000001</v>
      </c>
      <c r="Q327" s="421">
        <v>0.69640000000000002</v>
      </c>
      <c r="R327" s="421">
        <v>0.6</v>
      </c>
      <c r="S327" s="421">
        <v>0.61</v>
      </c>
    </row>
    <row r="328" spans="1:19" s="96" customFormat="1">
      <c r="A328" s="95">
        <f t="shared" si="40"/>
        <v>47422</v>
      </c>
      <c r="B328" s="95">
        <f t="shared" si="39"/>
        <v>47786</v>
      </c>
      <c r="C328" s="105">
        <f t="shared" si="41"/>
        <v>0.26800000000000002</v>
      </c>
      <c r="D328" s="105">
        <f t="shared" si="41"/>
        <v>0.28599999999999998</v>
      </c>
      <c r="E328" s="105">
        <f t="shared" si="41"/>
        <v>6.6000000000000003E-2</v>
      </c>
      <c r="F328" s="105">
        <f t="shared" si="41"/>
        <v>2.5999999999999999E-2</v>
      </c>
      <c r="G328" s="107">
        <v>0.26800000000000002</v>
      </c>
      <c r="H328" s="107">
        <v>0.28599999999999998</v>
      </c>
      <c r="I328" s="106">
        <v>6.6000000000000003E-2</v>
      </c>
      <c r="J328" s="107">
        <v>2.5999999999999999E-2</v>
      </c>
      <c r="K328" s="94">
        <f>((10/3)*L326)+((2/3)*L338)</f>
        <v>30881</v>
      </c>
      <c r="L328" s="114"/>
      <c r="M328" s="421">
        <f t="shared" si="36"/>
        <v>0.6</v>
      </c>
      <c r="N328" s="421">
        <v>0.26</v>
      </c>
      <c r="O328" s="421">
        <f t="shared" si="37"/>
        <v>0.61</v>
      </c>
      <c r="P328" s="421">
        <v>0.34620000000000001</v>
      </c>
      <c r="Q328" s="421">
        <v>0.69640000000000002</v>
      </c>
      <c r="R328" s="421">
        <v>0.6</v>
      </c>
      <c r="S328" s="421">
        <v>0.61</v>
      </c>
    </row>
    <row r="329" spans="1:19" s="96" customFormat="1">
      <c r="A329" s="95">
        <f t="shared" si="40"/>
        <v>47452</v>
      </c>
      <c r="B329" s="95">
        <f t="shared" si="39"/>
        <v>47816</v>
      </c>
      <c r="C329" s="105">
        <f t="shared" si="41"/>
        <v>0.26800000000000002</v>
      </c>
      <c r="D329" s="105">
        <f t="shared" si="41"/>
        <v>0.28599999999999998</v>
      </c>
      <c r="E329" s="105">
        <f t="shared" si="41"/>
        <v>6.6000000000000003E-2</v>
      </c>
      <c r="F329" s="105">
        <f t="shared" si="41"/>
        <v>2.5999999999999999E-2</v>
      </c>
      <c r="G329" s="107">
        <v>0.26800000000000002</v>
      </c>
      <c r="H329" s="107">
        <v>0.28599999999999998</v>
      </c>
      <c r="I329" s="106">
        <v>6.6000000000000003E-2</v>
      </c>
      <c r="J329" s="107">
        <v>2.5999999999999999E-2</v>
      </c>
      <c r="K329" s="94">
        <f>((9/3)*L326)+((3/3)*L338)</f>
        <v>31009</v>
      </c>
      <c r="L329" s="114"/>
      <c r="M329" s="421">
        <f t="shared" si="36"/>
        <v>0.6</v>
      </c>
      <c r="N329" s="421">
        <v>0.26</v>
      </c>
      <c r="O329" s="421">
        <f t="shared" si="37"/>
        <v>0.61</v>
      </c>
      <c r="P329" s="421">
        <v>0.34620000000000001</v>
      </c>
      <c r="Q329" s="421">
        <v>0.69640000000000002</v>
      </c>
      <c r="R329" s="421">
        <v>0.6</v>
      </c>
      <c r="S329" s="421">
        <v>0.61</v>
      </c>
    </row>
    <row r="330" spans="1:19" s="96" customFormat="1">
      <c r="A330" s="95">
        <f t="shared" si="40"/>
        <v>47483</v>
      </c>
      <c r="B330" s="95">
        <f t="shared" si="39"/>
        <v>47847</v>
      </c>
      <c r="C330" s="105">
        <f t="shared" si="41"/>
        <v>0.26800000000000002</v>
      </c>
      <c r="D330" s="105">
        <f t="shared" si="41"/>
        <v>0.28599999999999998</v>
      </c>
      <c r="E330" s="105">
        <f t="shared" si="41"/>
        <v>6.6000000000000003E-2</v>
      </c>
      <c r="F330" s="105">
        <f t="shared" si="41"/>
        <v>2.5999999999999999E-2</v>
      </c>
      <c r="G330" s="107">
        <v>0.26800000000000002</v>
      </c>
      <c r="H330" s="107">
        <v>0.28599999999999998</v>
      </c>
      <c r="I330" s="106">
        <v>6.6000000000000003E-2</v>
      </c>
      <c r="J330" s="107">
        <v>2.5999999999999999E-2</v>
      </c>
      <c r="K330" s="94">
        <f>((8/3)*L326)+((4/3)*L338)</f>
        <v>31136</v>
      </c>
      <c r="L330" s="114"/>
      <c r="M330" s="421">
        <f t="shared" si="36"/>
        <v>0.6</v>
      </c>
      <c r="N330" s="421">
        <v>0.26</v>
      </c>
      <c r="O330" s="421">
        <f t="shared" si="37"/>
        <v>0.61</v>
      </c>
      <c r="P330" s="421">
        <v>0.34620000000000001</v>
      </c>
      <c r="Q330" s="421">
        <v>0.69640000000000002</v>
      </c>
      <c r="R330" s="421">
        <v>0.6</v>
      </c>
      <c r="S330" s="421">
        <v>0.61</v>
      </c>
    </row>
    <row r="331" spans="1:19" s="96" customFormat="1">
      <c r="A331" s="95">
        <f t="shared" si="40"/>
        <v>47514</v>
      </c>
      <c r="B331" s="95">
        <f t="shared" si="39"/>
        <v>47878</v>
      </c>
      <c r="C331" s="105">
        <f t="shared" si="41"/>
        <v>0.26800000000000002</v>
      </c>
      <c r="D331" s="105">
        <f t="shared" si="41"/>
        <v>0.28599999999999998</v>
      </c>
      <c r="E331" s="105">
        <f t="shared" si="41"/>
        <v>6.6000000000000003E-2</v>
      </c>
      <c r="F331" s="105">
        <f t="shared" si="41"/>
        <v>2.5999999999999999E-2</v>
      </c>
      <c r="G331" s="107">
        <v>0.26800000000000002</v>
      </c>
      <c r="H331" s="107">
        <v>0.28599999999999998</v>
      </c>
      <c r="I331" s="106">
        <v>6.6000000000000003E-2</v>
      </c>
      <c r="J331" s="107">
        <v>2.5999999999999999E-2</v>
      </c>
      <c r="K331" s="94">
        <f>((7/3)*L326)+((5/3)*L338)</f>
        <v>31264</v>
      </c>
      <c r="L331" s="114"/>
      <c r="M331" s="421">
        <f t="shared" si="36"/>
        <v>0.6</v>
      </c>
      <c r="N331" s="421">
        <v>0.26</v>
      </c>
      <c r="O331" s="421">
        <f t="shared" si="37"/>
        <v>0.61</v>
      </c>
      <c r="P331" s="421">
        <v>0.34620000000000001</v>
      </c>
      <c r="Q331" s="421">
        <v>0.69640000000000002</v>
      </c>
      <c r="R331" s="421">
        <v>0.6</v>
      </c>
      <c r="S331" s="421">
        <v>0.61</v>
      </c>
    </row>
    <row r="332" spans="1:19" s="96" customFormat="1">
      <c r="A332" s="95">
        <f t="shared" si="40"/>
        <v>47542</v>
      </c>
      <c r="B332" s="95">
        <f t="shared" si="39"/>
        <v>47906</v>
      </c>
      <c r="C332" s="105">
        <f t="shared" si="41"/>
        <v>0.26800000000000002</v>
      </c>
      <c r="D332" s="105">
        <f t="shared" si="41"/>
        <v>0.28599999999999998</v>
      </c>
      <c r="E332" s="105">
        <f t="shared" si="41"/>
        <v>6.6000000000000003E-2</v>
      </c>
      <c r="F332" s="105">
        <f t="shared" si="41"/>
        <v>2.5999999999999999E-2</v>
      </c>
      <c r="G332" s="107">
        <v>0.26800000000000002</v>
      </c>
      <c r="H332" s="107">
        <v>0.28599999999999998</v>
      </c>
      <c r="I332" s="106">
        <v>6.6000000000000003E-2</v>
      </c>
      <c r="J332" s="107">
        <v>2.5999999999999999E-2</v>
      </c>
      <c r="K332" s="94">
        <f>((6/3)*L326)+((6/3)*L338)</f>
        <v>31391</v>
      </c>
      <c r="L332" s="114"/>
      <c r="M332" s="421">
        <f t="shared" si="36"/>
        <v>0.6</v>
      </c>
      <c r="N332" s="421">
        <v>0.26</v>
      </c>
      <c r="O332" s="421">
        <f t="shared" si="37"/>
        <v>0.61</v>
      </c>
      <c r="P332" s="421">
        <v>0.34620000000000001</v>
      </c>
      <c r="Q332" s="421">
        <v>0.69640000000000002</v>
      </c>
      <c r="R332" s="421">
        <v>0.6</v>
      </c>
      <c r="S332" s="421">
        <v>0.61</v>
      </c>
    </row>
    <row r="333" spans="1:19" s="96" customFormat="1">
      <c r="A333" s="95">
        <f t="shared" si="40"/>
        <v>47573</v>
      </c>
      <c r="B333" s="95">
        <f t="shared" si="39"/>
        <v>47937</v>
      </c>
      <c r="C333" s="105">
        <f t="shared" si="41"/>
        <v>0.26800000000000002</v>
      </c>
      <c r="D333" s="105">
        <f t="shared" si="41"/>
        <v>0.28599999999999998</v>
      </c>
      <c r="E333" s="105">
        <f t="shared" si="41"/>
        <v>6.6000000000000003E-2</v>
      </c>
      <c r="F333" s="105">
        <f t="shared" si="41"/>
        <v>2.5999999999999999E-2</v>
      </c>
      <c r="G333" s="107">
        <v>0.26800000000000002</v>
      </c>
      <c r="H333" s="107">
        <v>0.28599999999999998</v>
      </c>
      <c r="I333" s="106">
        <v>6.6000000000000003E-2</v>
      </c>
      <c r="J333" s="107">
        <v>2.5999999999999999E-2</v>
      </c>
      <c r="K333" s="94">
        <f>((5/3)*L326)+((7/3)*L338)</f>
        <v>31519</v>
      </c>
      <c r="L333" s="114"/>
      <c r="M333" s="421">
        <f t="shared" si="36"/>
        <v>0.6</v>
      </c>
      <c r="N333" s="421">
        <v>0.26</v>
      </c>
      <c r="O333" s="421">
        <f t="shared" si="37"/>
        <v>0.61</v>
      </c>
      <c r="P333" s="421">
        <v>0.34620000000000001</v>
      </c>
      <c r="Q333" s="421">
        <v>0.69640000000000002</v>
      </c>
      <c r="R333" s="421">
        <v>0.6</v>
      </c>
      <c r="S333" s="421">
        <v>0.61</v>
      </c>
    </row>
    <row r="334" spans="1:19" s="96" customFormat="1">
      <c r="A334" s="95">
        <f t="shared" si="40"/>
        <v>47603</v>
      </c>
      <c r="B334" s="95">
        <f t="shared" si="39"/>
        <v>47967</v>
      </c>
      <c r="C334" s="105">
        <f t="shared" si="41"/>
        <v>0.26800000000000002</v>
      </c>
      <c r="D334" s="105">
        <f t="shared" si="41"/>
        <v>0.28599999999999998</v>
      </c>
      <c r="E334" s="105">
        <f t="shared" si="41"/>
        <v>6.6000000000000003E-2</v>
      </c>
      <c r="F334" s="105">
        <f t="shared" si="41"/>
        <v>2.5999999999999999E-2</v>
      </c>
      <c r="G334" s="107">
        <v>0.26800000000000002</v>
      </c>
      <c r="H334" s="107">
        <v>0.28599999999999998</v>
      </c>
      <c r="I334" s="106">
        <v>6.6000000000000003E-2</v>
      </c>
      <c r="J334" s="107">
        <v>2.5999999999999999E-2</v>
      </c>
      <c r="K334" s="94">
        <f>((4/3)*L326)+((8/3)*L338)</f>
        <v>31647</v>
      </c>
      <c r="L334" s="114"/>
      <c r="M334" s="421">
        <f t="shared" si="36"/>
        <v>0.6</v>
      </c>
      <c r="N334" s="421">
        <v>0.26</v>
      </c>
      <c r="O334" s="421">
        <f t="shared" si="37"/>
        <v>0.61</v>
      </c>
      <c r="P334" s="421">
        <v>0.34620000000000001</v>
      </c>
      <c r="Q334" s="421">
        <v>0.69640000000000002</v>
      </c>
      <c r="R334" s="421">
        <v>0.6</v>
      </c>
      <c r="S334" s="421">
        <v>0.61</v>
      </c>
    </row>
    <row r="335" spans="1:19" s="96" customFormat="1">
      <c r="A335" s="95">
        <f t="shared" si="40"/>
        <v>47634</v>
      </c>
      <c r="B335" s="95">
        <f t="shared" si="39"/>
        <v>47998</v>
      </c>
      <c r="C335" s="105">
        <f t="shared" si="41"/>
        <v>0.26800000000000002</v>
      </c>
      <c r="D335" s="105">
        <f t="shared" si="41"/>
        <v>0.28599999999999998</v>
      </c>
      <c r="E335" s="105">
        <f t="shared" si="41"/>
        <v>6.6000000000000003E-2</v>
      </c>
      <c r="F335" s="105">
        <f t="shared" si="41"/>
        <v>2.5999999999999999E-2</v>
      </c>
      <c r="G335" s="107">
        <v>0.26800000000000002</v>
      </c>
      <c r="H335" s="107">
        <v>0.28599999999999998</v>
      </c>
      <c r="I335" s="106">
        <v>6.6000000000000003E-2</v>
      </c>
      <c r="J335" s="107">
        <v>2.5999999999999999E-2</v>
      </c>
      <c r="K335" s="94">
        <f>((3/3)*L326)+((9/3)*L338)</f>
        <v>31774</v>
      </c>
      <c r="L335" s="114"/>
      <c r="M335" s="421">
        <f t="shared" si="36"/>
        <v>0.6</v>
      </c>
      <c r="N335" s="421">
        <v>0.26</v>
      </c>
      <c r="O335" s="421">
        <f t="shared" si="37"/>
        <v>0.61</v>
      </c>
      <c r="P335" s="421">
        <v>0.34620000000000001</v>
      </c>
      <c r="Q335" s="421">
        <v>0.69640000000000002</v>
      </c>
      <c r="R335" s="421">
        <v>0.6</v>
      </c>
      <c r="S335" s="421">
        <v>0.61</v>
      </c>
    </row>
    <row r="336" spans="1:19" s="96" customFormat="1">
      <c r="A336" s="95">
        <f t="shared" si="40"/>
        <v>47664</v>
      </c>
      <c r="B336" s="95">
        <f t="shared" si="39"/>
        <v>48028</v>
      </c>
      <c r="C336" s="105">
        <f t="shared" si="41"/>
        <v>0.26800000000000002</v>
      </c>
      <c r="D336" s="105">
        <f t="shared" si="41"/>
        <v>0.28599999999999998</v>
      </c>
      <c r="E336" s="105">
        <f t="shared" si="41"/>
        <v>6.6000000000000003E-2</v>
      </c>
      <c r="F336" s="105">
        <f t="shared" si="41"/>
        <v>2.5999999999999999E-2</v>
      </c>
      <c r="G336" s="107">
        <v>0.26800000000000002</v>
      </c>
      <c r="H336" s="107">
        <v>0.28599999999999998</v>
      </c>
      <c r="I336" s="106">
        <v>6.6000000000000003E-2</v>
      </c>
      <c r="J336" s="107">
        <v>2.5999999999999999E-2</v>
      </c>
      <c r="K336" s="94">
        <f>((2/3)*L326)+((10/3)*L338)</f>
        <v>31902</v>
      </c>
      <c r="L336" s="114"/>
      <c r="M336" s="421">
        <f t="shared" si="36"/>
        <v>0.6</v>
      </c>
      <c r="N336" s="421">
        <v>0.26</v>
      </c>
      <c r="O336" s="421">
        <f t="shared" si="37"/>
        <v>0.61</v>
      </c>
      <c r="P336" s="421">
        <v>0.34620000000000001</v>
      </c>
      <c r="Q336" s="421">
        <v>0.69640000000000002</v>
      </c>
      <c r="R336" s="421">
        <v>0.6</v>
      </c>
      <c r="S336" s="421">
        <v>0.61</v>
      </c>
    </row>
    <row r="337" spans="1:19" s="96" customFormat="1">
      <c r="A337" s="95">
        <f t="shared" si="40"/>
        <v>47695</v>
      </c>
      <c r="B337" s="95">
        <f t="shared" si="39"/>
        <v>48059</v>
      </c>
      <c r="C337" s="105">
        <f t="shared" si="41"/>
        <v>0.26800000000000002</v>
      </c>
      <c r="D337" s="105">
        <f t="shared" si="41"/>
        <v>0.28599999999999998</v>
      </c>
      <c r="E337" s="105">
        <f t="shared" si="41"/>
        <v>6.6000000000000003E-2</v>
      </c>
      <c r="F337" s="105">
        <f t="shared" si="41"/>
        <v>2.5999999999999999E-2</v>
      </c>
      <c r="G337" s="107">
        <v>0.26800000000000002</v>
      </c>
      <c r="H337" s="107">
        <v>0.28599999999999998</v>
      </c>
      <c r="I337" s="106">
        <v>6.6000000000000003E-2</v>
      </c>
      <c r="J337" s="107">
        <v>2.5999999999999999E-2</v>
      </c>
      <c r="K337" s="94">
        <f>((1/3)*L326)+((11/3)*L338)</f>
        <v>32029</v>
      </c>
      <c r="L337" s="114"/>
      <c r="M337" s="421">
        <f t="shared" si="36"/>
        <v>0.6</v>
      </c>
      <c r="N337" s="421">
        <v>0.26</v>
      </c>
      <c r="O337" s="421">
        <f t="shared" si="37"/>
        <v>0.61</v>
      </c>
      <c r="P337" s="421">
        <v>0.34620000000000001</v>
      </c>
      <c r="Q337" s="421">
        <v>0.69640000000000002</v>
      </c>
      <c r="R337" s="421">
        <v>0.6</v>
      </c>
      <c r="S337" s="421">
        <v>0.61</v>
      </c>
    </row>
    <row r="338" spans="1:19" s="60" customFormat="1">
      <c r="A338" s="59">
        <f t="shared" si="40"/>
        <v>47726</v>
      </c>
      <c r="B338" s="59">
        <f t="shared" si="39"/>
        <v>48090</v>
      </c>
      <c r="C338" s="102">
        <f t="shared" si="41"/>
        <v>0.26800000000000002</v>
      </c>
      <c r="D338" s="102">
        <f t="shared" si="41"/>
        <v>0.28599999999999998</v>
      </c>
      <c r="E338" s="102">
        <f t="shared" si="41"/>
        <v>6.6000000000000003E-2</v>
      </c>
      <c r="F338" s="102">
        <f t="shared" si="41"/>
        <v>2.5999999999999999E-2</v>
      </c>
      <c r="G338" s="104">
        <v>0.26800000000000002</v>
      </c>
      <c r="H338" s="104">
        <v>0.28599999999999998</v>
      </c>
      <c r="I338" s="103">
        <v>6.6000000000000003E-2</v>
      </c>
      <c r="J338" s="104">
        <v>2.5999999999999999E-2</v>
      </c>
      <c r="K338" s="54">
        <f>(L338*4)</f>
        <v>32157</v>
      </c>
      <c r="L338" s="113">
        <f>L326*1.05</f>
        <v>8039.24</v>
      </c>
      <c r="M338" s="98">
        <f t="shared" si="36"/>
        <v>0.6</v>
      </c>
      <c r="N338" s="98">
        <v>0.26</v>
      </c>
      <c r="O338" s="98">
        <f t="shared" si="37"/>
        <v>0.61</v>
      </c>
      <c r="P338" s="98">
        <v>0.34620000000000001</v>
      </c>
      <c r="Q338" s="98">
        <v>0.69640000000000002</v>
      </c>
      <c r="R338" s="98">
        <v>0.6</v>
      </c>
      <c r="S338" s="98">
        <v>0.61</v>
      </c>
    </row>
    <row r="339" spans="1:19" s="60" customFormat="1">
      <c r="A339" s="59">
        <f t="shared" si="40"/>
        <v>47756</v>
      </c>
      <c r="B339" s="59">
        <f t="shared" si="39"/>
        <v>48120</v>
      </c>
      <c r="C339" s="102">
        <f t="shared" ref="C339:F354" si="42">AVERAGE(G339:G350)</f>
        <v>0.26800000000000002</v>
      </c>
      <c r="D339" s="102">
        <f t="shared" si="42"/>
        <v>0.28599999999999998</v>
      </c>
      <c r="E339" s="102">
        <f t="shared" si="42"/>
        <v>6.6000000000000003E-2</v>
      </c>
      <c r="F339" s="102">
        <f t="shared" si="42"/>
        <v>2.5999999999999999E-2</v>
      </c>
      <c r="G339" s="104">
        <v>0.26800000000000002</v>
      </c>
      <c r="H339" s="104">
        <v>0.28599999999999998</v>
      </c>
      <c r="I339" s="103">
        <v>6.6000000000000003E-2</v>
      </c>
      <c r="J339" s="104">
        <v>2.5999999999999999E-2</v>
      </c>
      <c r="K339" s="54">
        <f>((11/3)*L338)+((1/3)*L350)</f>
        <v>32291</v>
      </c>
      <c r="L339" s="113"/>
      <c r="M339" s="98">
        <f t="shared" si="36"/>
        <v>0.6</v>
      </c>
      <c r="N339" s="98">
        <v>0.26</v>
      </c>
      <c r="O339" s="98">
        <f t="shared" si="37"/>
        <v>0.61</v>
      </c>
      <c r="P339" s="98">
        <v>0.34620000000000001</v>
      </c>
      <c r="Q339" s="98">
        <v>0.69640000000000002</v>
      </c>
      <c r="R339" s="98">
        <v>0.6</v>
      </c>
      <c r="S339" s="98">
        <v>0.61</v>
      </c>
    </row>
    <row r="340" spans="1:19" s="60" customFormat="1">
      <c r="A340" s="59">
        <f t="shared" si="40"/>
        <v>47787</v>
      </c>
      <c r="B340" s="59">
        <f t="shared" si="39"/>
        <v>48151</v>
      </c>
      <c r="C340" s="102">
        <f t="shared" si="42"/>
        <v>0.26800000000000002</v>
      </c>
      <c r="D340" s="102">
        <f t="shared" si="42"/>
        <v>0.28599999999999998</v>
      </c>
      <c r="E340" s="102">
        <f t="shared" si="42"/>
        <v>6.6000000000000003E-2</v>
      </c>
      <c r="F340" s="102">
        <f t="shared" si="42"/>
        <v>2.5999999999999999E-2</v>
      </c>
      <c r="G340" s="104">
        <v>0.26800000000000002</v>
      </c>
      <c r="H340" s="104">
        <v>0.28599999999999998</v>
      </c>
      <c r="I340" s="103">
        <v>6.6000000000000003E-2</v>
      </c>
      <c r="J340" s="104">
        <v>2.5999999999999999E-2</v>
      </c>
      <c r="K340" s="54">
        <f>((10/3)*L338)+((2/3)*L350)</f>
        <v>32425</v>
      </c>
      <c r="L340" s="113"/>
      <c r="M340" s="98">
        <f t="shared" si="36"/>
        <v>0.6</v>
      </c>
      <c r="N340" s="98">
        <v>0.26</v>
      </c>
      <c r="O340" s="98">
        <f t="shared" si="37"/>
        <v>0.61</v>
      </c>
      <c r="P340" s="98">
        <v>0.34620000000000001</v>
      </c>
      <c r="Q340" s="98">
        <v>0.69640000000000002</v>
      </c>
      <c r="R340" s="98">
        <v>0.6</v>
      </c>
      <c r="S340" s="98">
        <v>0.61</v>
      </c>
    </row>
    <row r="341" spans="1:19" s="60" customFormat="1">
      <c r="A341" s="59">
        <f t="shared" si="40"/>
        <v>47817</v>
      </c>
      <c r="B341" s="59">
        <f t="shared" si="39"/>
        <v>48181</v>
      </c>
      <c r="C341" s="102">
        <f t="shared" si="42"/>
        <v>0.26800000000000002</v>
      </c>
      <c r="D341" s="102">
        <f t="shared" si="42"/>
        <v>0.28599999999999998</v>
      </c>
      <c r="E341" s="102">
        <f t="shared" si="42"/>
        <v>6.6000000000000003E-2</v>
      </c>
      <c r="F341" s="102">
        <f t="shared" si="42"/>
        <v>2.5999999999999999E-2</v>
      </c>
      <c r="G341" s="104">
        <v>0.26800000000000002</v>
      </c>
      <c r="H341" s="104">
        <v>0.28599999999999998</v>
      </c>
      <c r="I341" s="103">
        <v>6.6000000000000003E-2</v>
      </c>
      <c r="J341" s="104">
        <v>2.5999999999999999E-2</v>
      </c>
      <c r="K341" s="54">
        <f>((9/3)*L338)+((3/3)*L350)</f>
        <v>32559</v>
      </c>
      <c r="L341" s="113"/>
      <c r="M341" s="98">
        <f t="shared" si="36"/>
        <v>0.6</v>
      </c>
      <c r="N341" s="98">
        <v>0.26</v>
      </c>
      <c r="O341" s="98">
        <f t="shared" si="37"/>
        <v>0.61</v>
      </c>
      <c r="P341" s="98">
        <v>0.34620000000000001</v>
      </c>
      <c r="Q341" s="98">
        <v>0.69640000000000002</v>
      </c>
      <c r="R341" s="98">
        <v>0.6</v>
      </c>
      <c r="S341" s="98">
        <v>0.61</v>
      </c>
    </row>
    <row r="342" spans="1:19" s="60" customFormat="1">
      <c r="A342" s="59">
        <f t="shared" si="40"/>
        <v>47848</v>
      </c>
      <c r="B342" s="59">
        <f t="shared" si="39"/>
        <v>48212</v>
      </c>
      <c r="C342" s="102">
        <f t="shared" si="42"/>
        <v>0.26800000000000002</v>
      </c>
      <c r="D342" s="102">
        <f t="shared" si="42"/>
        <v>0.28599999999999998</v>
      </c>
      <c r="E342" s="102">
        <f t="shared" si="42"/>
        <v>6.6000000000000003E-2</v>
      </c>
      <c r="F342" s="102">
        <f t="shared" si="42"/>
        <v>2.5999999999999999E-2</v>
      </c>
      <c r="G342" s="104">
        <v>0.26800000000000002</v>
      </c>
      <c r="H342" s="104">
        <v>0.28599999999999998</v>
      </c>
      <c r="I342" s="103">
        <v>6.6000000000000003E-2</v>
      </c>
      <c r="J342" s="104">
        <v>2.5999999999999999E-2</v>
      </c>
      <c r="K342" s="54">
        <f>((8/3)*L338)+((4/3)*L350)</f>
        <v>32693</v>
      </c>
      <c r="L342" s="113"/>
      <c r="M342" s="98">
        <f t="shared" si="36"/>
        <v>0.6</v>
      </c>
      <c r="N342" s="98">
        <v>0.26</v>
      </c>
      <c r="O342" s="98">
        <f t="shared" si="37"/>
        <v>0.61</v>
      </c>
      <c r="P342" s="98">
        <v>0.34620000000000001</v>
      </c>
      <c r="Q342" s="98">
        <v>0.69640000000000002</v>
      </c>
      <c r="R342" s="98">
        <v>0.6</v>
      </c>
      <c r="S342" s="98">
        <v>0.61</v>
      </c>
    </row>
    <row r="343" spans="1:19" s="60" customFormat="1">
      <c r="A343" s="59">
        <f t="shared" si="40"/>
        <v>47879</v>
      </c>
      <c r="B343" s="59">
        <f t="shared" si="39"/>
        <v>48243</v>
      </c>
      <c r="C343" s="102">
        <f t="shared" si="42"/>
        <v>0.26800000000000002</v>
      </c>
      <c r="D343" s="102">
        <f t="shared" si="42"/>
        <v>0.28599999999999998</v>
      </c>
      <c r="E343" s="102">
        <f t="shared" si="42"/>
        <v>6.6000000000000003E-2</v>
      </c>
      <c r="F343" s="102">
        <f t="shared" si="42"/>
        <v>2.5999999999999999E-2</v>
      </c>
      <c r="G343" s="104">
        <v>0.26800000000000002</v>
      </c>
      <c r="H343" s="104">
        <v>0.28599999999999998</v>
      </c>
      <c r="I343" s="103">
        <v>6.6000000000000003E-2</v>
      </c>
      <c r="J343" s="104">
        <v>2.5999999999999999E-2</v>
      </c>
      <c r="K343" s="54">
        <f>((7/3)*L338)+((5/3)*L350)</f>
        <v>32827</v>
      </c>
      <c r="L343" s="113"/>
      <c r="M343" s="98">
        <f t="shared" si="36"/>
        <v>0.6</v>
      </c>
      <c r="N343" s="98">
        <v>0.26</v>
      </c>
      <c r="O343" s="98">
        <f t="shared" si="37"/>
        <v>0.61</v>
      </c>
      <c r="P343" s="98">
        <v>0.34620000000000001</v>
      </c>
      <c r="Q343" s="98">
        <v>0.69640000000000002</v>
      </c>
      <c r="R343" s="98">
        <v>0.6</v>
      </c>
      <c r="S343" s="98">
        <v>0.61</v>
      </c>
    </row>
    <row r="344" spans="1:19" s="60" customFormat="1">
      <c r="A344" s="59">
        <f t="shared" si="40"/>
        <v>47907</v>
      </c>
      <c r="B344" s="59">
        <f t="shared" si="39"/>
        <v>48272</v>
      </c>
      <c r="C344" s="102">
        <f t="shared" si="42"/>
        <v>0.26800000000000002</v>
      </c>
      <c r="D344" s="102">
        <f t="shared" si="42"/>
        <v>0.28599999999999998</v>
      </c>
      <c r="E344" s="102">
        <f t="shared" si="42"/>
        <v>6.6000000000000003E-2</v>
      </c>
      <c r="F344" s="102">
        <f t="shared" si="42"/>
        <v>2.5999999999999999E-2</v>
      </c>
      <c r="G344" s="104">
        <v>0.26800000000000002</v>
      </c>
      <c r="H344" s="104">
        <v>0.28599999999999998</v>
      </c>
      <c r="I344" s="103">
        <v>6.6000000000000003E-2</v>
      </c>
      <c r="J344" s="104">
        <v>2.5999999999999999E-2</v>
      </c>
      <c r="K344" s="54">
        <f>((6/3)*L338)+((6/3)*L350)</f>
        <v>32961</v>
      </c>
      <c r="L344" s="113"/>
      <c r="M344" s="98">
        <f t="shared" si="36"/>
        <v>0.6</v>
      </c>
      <c r="N344" s="98">
        <v>0.26</v>
      </c>
      <c r="O344" s="98">
        <f t="shared" si="37"/>
        <v>0.61</v>
      </c>
      <c r="P344" s="98">
        <v>0.34620000000000001</v>
      </c>
      <c r="Q344" s="98">
        <v>0.69640000000000002</v>
      </c>
      <c r="R344" s="98">
        <v>0.6</v>
      </c>
      <c r="S344" s="98">
        <v>0.61</v>
      </c>
    </row>
    <row r="345" spans="1:19" s="60" customFormat="1">
      <c r="A345" s="59">
        <f t="shared" si="40"/>
        <v>47938</v>
      </c>
      <c r="B345" s="59">
        <f t="shared" si="39"/>
        <v>48303</v>
      </c>
      <c r="C345" s="102">
        <f t="shared" si="42"/>
        <v>0.26800000000000002</v>
      </c>
      <c r="D345" s="102">
        <f t="shared" si="42"/>
        <v>0.28599999999999998</v>
      </c>
      <c r="E345" s="102">
        <f t="shared" si="42"/>
        <v>6.6000000000000003E-2</v>
      </c>
      <c r="F345" s="102">
        <f t="shared" si="42"/>
        <v>2.5999999999999999E-2</v>
      </c>
      <c r="G345" s="104">
        <v>0.26800000000000002</v>
      </c>
      <c r="H345" s="104">
        <v>0.28599999999999998</v>
      </c>
      <c r="I345" s="103">
        <v>6.6000000000000003E-2</v>
      </c>
      <c r="J345" s="104">
        <v>2.5999999999999999E-2</v>
      </c>
      <c r="K345" s="54">
        <f>((5/3)*L338)+((7/3)*L350)</f>
        <v>33095</v>
      </c>
      <c r="L345" s="113"/>
      <c r="M345" s="98">
        <f t="shared" si="36"/>
        <v>0.6</v>
      </c>
      <c r="N345" s="98">
        <v>0.26</v>
      </c>
      <c r="O345" s="98">
        <f t="shared" si="37"/>
        <v>0.61</v>
      </c>
      <c r="P345" s="98">
        <v>0.34620000000000001</v>
      </c>
      <c r="Q345" s="98">
        <v>0.69640000000000002</v>
      </c>
      <c r="R345" s="98">
        <v>0.6</v>
      </c>
      <c r="S345" s="98">
        <v>0.61</v>
      </c>
    </row>
    <row r="346" spans="1:19" s="60" customFormat="1">
      <c r="A346" s="59">
        <f t="shared" si="40"/>
        <v>47968</v>
      </c>
      <c r="B346" s="59">
        <f t="shared" si="39"/>
        <v>48333</v>
      </c>
      <c r="C346" s="102">
        <f t="shared" si="42"/>
        <v>0.26800000000000002</v>
      </c>
      <c r="D346" s="102">
        <f t="shared" si="42"/>
        <v>0.28599999999999998</v>
      </c>
      <c r="E346" s="102">
        <f t="shared" si="42"/>
        <v>6.6000000000000003E-2</v>
      </c>
      <c r="F346" s="102">
        <f t="shared" si="42"/>
        <v>2.5999999999999999E-2</v>
      </c>
      <c r="G346" s="104">
        <v>0.26800000000000002</v>
      </c>
      <c r="H346" s="104">
        <v>0.28599999999999998</v>
      </c>
      <c r="I346" s="103">
        <v>6.6000000000000003E-2</v>
      </c>
      <c r="J346" s="104">
        <v>2.5999999999999999E-2</v>
      </c>
      <c r="K346" s="54">
        <f>((4/3)*L338)+((8/3)*L350)</f>
        <v>33229</v>
      </c>
      <c r="L346" s="113"/>
      <c r="M346" s="98">
        <f t="shared" si="36"/>
        <v>0.6</v>
      </c>
      <c r="N346" s="98">
        <v>0.26</v>
      </c>
      <c r="O346" s="98">
        <f t="shared" si="37"/>
        <v>0.61</v>
      </c>
      <c r="P346" s="98">
        <v>0.34620000000000001</v>
      </c>
      <c r="Q346" s="98">
        <v>0.69640000000000002</v>
      </c>
      <c r="R346" s="98">
        <v>0.6</v>
      </c>
      <c r="S346" s="98">
        <v>0.61</v>
      </c>
    </row>
    <row r="347" spans="1:19" s="60" customFormat="1">
      <c r="A347" s="59">
        <f t="shared" si="40"/>
        <v>47999</v>
      </c>
      <c r="B347" s="59">
        <f t="shared" si="39"/>
        <v>48364</v>
      </c>
      <c r="C347" s="102">
        <f t="shared" si="42"/>
        <v>0.26800000000000002</v>
      </c>
      <c r="D347" s="102">
        <f t="shared" si="42"/>
        <v>0.28599999999999998</v>
      </c>
      <c r="E347" s="102">
        <f t="shared" si="42"/>
        <v>6.6000000000000003E-2</v>
      </c>
      <c r="F347" s="102">
        <f t="shared" si="42"/>
        <v>2.5999999999999999E-2</v>
      </c>
      <c r="G347" s="104">
        <v>0.26800000000000002</v>
      </c>
      <c r="H347" s="104">
        <v>0.28599999999999998</v>
      </c>
      <c r="I347" s="103">
        <v>6.6000000000000003E-2</v>
      </c>
      <c r="J347" s="104">
        <v>2.5999999999999999E-2</v>
      </c>
      <c r="K347" s="54">
        <f>((3/3)*L338)+((9/3)*L350)</f>
        <v>33363</v>
      </c>
      <c r="L347" s="113"/>
      <c r="M347" s="98">
        <f t="shared" si="36"/>
        <v>0.6</v>
      </c>
      <c r="N347" s="98">
        <v>0.26</v>
      </c>
      <c r="O347" s="98">
        <f t="shared" si="37"/>
        <v>0.61</v>
      </c>
      <c r="P347" s="98">
        <v>0.34620000000000001</v>
      </c>
      <c r="Q347" s="98">
        <v>0.69640000000000002</v>
      </c>
      <c r="R347" s="98">
        <v>0.6</v>
      </c>
      <c r="S347" s="98">
        <v>0.61</v>
      </c>
    </row>
    <row r="348" spans="1:19" s="60" customFormat="1">
      <c r="A348" s="59">
        <f t="shared" si="40"/>
        <v>48029</v>
      </c>
      <c r="B348" s="59">
        <f t="shared" si="39"/>
        <v>48394</v>
      </c>
      <c r="C348" s="102">
        <f t="shared" si="42"/>
        <v>0.26800000000000002</v>
      </c>
      <c r="D348" s="102">
        <f t="shared" si="42"/>
        <v>0.28599999999999998</v>
      </c>
      <c r="E348" s="102">
        <f t="shared" si="42"/>
        <v>6.6000000000000003E-2</v>
      </c>
      <c r="F348" s="102">
        <f t="shared" si="42"/>
        <v>2.5999999999999999E-2</v>
      </c>
      <c r="G348" s="104">
        <v>0.26800000000000002</v>
      </c>
      <c r="H348" s="104">
        <v>0.28599999999999998</v>
      </c>
      <c r="I348" s="103">
        <v>6.6000000000000003E-2</v>
      </c>
      <c r="J348" s="104">
        <v>2.5999999999999999E-2</v>
      </c>
      <c r="K348" s="54">
        <f>((2/3)*L338)+((10/3)*L350)</f>
        <v>33497</v>
      </c>
      <c r="L348" s="113"/>
      <c r="M348" s="98">
        <f t="shared" si="36"/>
        <v>0.6</v>
      </c>
      <c r="N348" s="98">
        <v>0.26</v>
      </c>
      <c r="O348" s="98">
        <f t="shared" si="37"/>
        <v>0.61</v>
      </c>
      <c r="P348" s="98">
        <v>0.34620000000000001</v>
      </c>
      <c r="Q348" s="98">
        <v>0.69640000000000002</v>
      </c>
      <c r="R348" s="98">
        <v>0.6</v>
      </c>
      <c r="S348" s="98">
        <v>0.61</v>
      </c>
    </row>
    <row r="349" spans="1:19" s="60" customFormat="1">
      <c r="A349" s="59">
        <f t="shared" si="40"/>
        <v>48060</v>
      </c>
      <c r="B349" s="59">
        <f t="shared" si="39"/>
        <v>48425</v>
      </c>
      <c r="C349" s="99">
        <f t="shared" si="42"/>
        <v>0.26800000000000002</v>
      </c>
      <c r="D349" s="99">
        <f t="shared" si="42"/>
        <v>0.28599999999999998</v>
      </c>
      <c r="E349" s="99">
        <f t="shared" si="42"/>
        <v>6.6000000000000003E-2</v>
      </c>
      <c r="F349" s="99">
        <f t="shared" si="42"/>
        <v>2.5999999999999999E-2</v>
      </c>
      <c r="G349" s="104">
        <v>0.26800000000000002</v>
      </c>
      <c r="H349" s="104">
        <v>0.28599999999999998</v>
      </c>
      <c r="I349" s="103">
        <v>6.6000000000000003E-2</v>
      </c>
      <c r="J349" s="104">
        <v>2.5999999999999999E-2</v>
      </c>
      <c r="K349" s="54">
        <f>((1/3)*L338)+((11/3)*L350)</f>
        <v>33631</v>
      </c>
      <c r="L349" s="113"/>
      <c r="M349" s="98">
        <f t="shared" si="36"/>
        <v>0.6</v>
      </c>
      <c r="N349" s="98">
        <v>0.26</v>
      </c>
      <c r="O349" s="98">
        <f t="shared" si="37"/>
        <v>0.61</v>
      </c>
      <c r="P349" s="98">
        <v>0.34620000000000001</v>
      </c>
      <c r="Q349" s="98">
        <v>0.69640000000000002</v>
      </c>
      <c r="R349" s="98">
        <v>0.6</v>
      </c>
      <c r="S349" s="98">
        <v>0.61</v>
      </c>
    </row>
    <row r="350" spans="1:19" s="96" customFormat="1">
      <c r="A350" s="95">
        <f t="shared" si="40"/>
        <v>48091</v>
      </c>
      <c r="B350" s="95">
        <f t="shared" si="39"/>
        <v>48456</v>
      </c>
      <c r="C350" s="105">
        <f t="shared" si="42"/>
        <v>0.26800000000000002</v>
      </c>
      <c r="D350" s="105">
        <f t="shared" si="42"/>
        <v>0.28599999999999998</v>
      </c>
      <c r="E350" s="105">
        <f t="shared" si="42"/>
        <v>6.6000000000000003E-2</v>
      </c>
      <c r="F350" s="105">
        <f t="shared" si="42"/>
        <v>2.5999999999999999E-2</v>
      </c>
      <c r="G350" s="107">
        <v>0.26800000000000002</v>
      </c>
      <c r="H350" s="107">
        <v>0.28599999999999998</v>
      </c>
      <c r="I350" s="106">
        <v>6.6000000000000003E-2</v>
      </c>
      <c r="J350" s="107">
        <v>2.5999999999999999E-2</v>
      </c>
      <c r="K350" s="94">
        <f>(L350*4)</f>
        <v>33765</v>
      </c>
      <c r="L350" s="114">
        <f>L338*1.05</f>
        <v>8441.2000000000007</v>
      </c>
      <c r="M350" s="421">
        <f t="shared" si="36"/>
        <v>0.6</v>
      </c>
      <c r="N350" s="421">
        <v>0.26</v>
      </c>
      <c r="O350" s="421">
        <f t="shared" si="37"/>
        <v>0.61</v>
      </c>
      <c r="P350" s="421">
        <v>0.34620000000000001</v>
      </c>
      <c r="Q350" s="421">
        <v>0.69640000000000002</v>
      </c>
      <c r="R350" s="421">
        <v>0.6</v>
      </c>
      <c r="S350" s="421">
        <v>0.61</v>
      </c>
    </row>
    <row r="351" spans="1:19" s="96" customFormat="1">
      <c r="A351" s="95">
        <f t="shared" si="40"/>
        <v>48121</v>
      </c>
      <c r="B351" s="95">
        <f t="shared" si="39"/>
        <v>48486</v>
      </c>
      <c r="C351" s="105">
        <f t="shared" si="42"/>
        <v>0.26800000000000002</v>
      </c>
      <c r="D351" s="105">
        <f t="shared" si="42"/>
        <v>0.28599999999999998</v>
      </c>
      <c r="E351" s="105">
        <f t="shared" si="42"/>
        <v>6.6000000000000003E-2</v>
      </c>
      <c r="F351" s="105">
        <f t="shared" si="42"/>
        <v>2.5999999999999999E-2</v>
      </c>
      <c r="G351" s="107">
        <v>0.26800000000000002</v>
      </c>
      <c r="H351" s="107">
        <v>0.28599999999999998</v>
      </c>
      <c r="I351" s="106">
        <v>6.6000000000000003E-2</v>
      </c>
      <c r="J351" s="107">
        <v>2.5999999999999999E-2</v>
      </c>
      <c r="K351" s="94">
        <f>((11/3)*L350)+((1/3)*L362)</f>
        <v>33905</v>
      </c>
      <c r="L351" s="114"/>
      <c r="M351" s="421">
        <f t="shared" si="36"/>
        <v>0.6</v>
      </c>
      <c r="N351" s="421">
        <v>0.26</v>
      </c>
      <c r="O351" s="421">
        <f t="shared" si="37"/>
        <v>0.61</v>
      </c>
      <c r="P351" s="421">
        <v>0.34620000000000001</v>
      </c>
      <c r="Q351" s="421">
        <v>0.69640000000000002</v>
      </c>
      <c r="R351" s="421">
        <v>0.6</v>
      </c>
      <c r="S351" s="421">
        <v>0.61</v>
      </c>
    </row>
    <row r="352" spans="1:19" s="96" customFormat="1">
      <c r="A352" s="95">
        <f t="shared" si="40"/>
        <v>48152</v>
      </c>
      <c r="B352" s="95">
        <f t="shared" si="39"/>
        <v>48517</v>
      </c>
      <c r="C352" s="105">
        <f t="shared" si="42"/>
        <v>0.26800000000000002</v>
      </c>
      <c r="D352" s="105">
        <f t="shared" si="42"/>
        <v>0.28599999999999998</v>
      </c>
      <c r="E352" s="105">
        <f t="shared" si="42"/>
        <v>6.6000000000000003E-2</v>
      </c>
      <c r="F352" s="105">
        <f t="shared" si="42"/>
        <v>2.5999999999999999E-2</v>
      </c>
      <c r="G352" s="107">
        <v>0.26800000000000002</v>
      </c>
      <c r="H352" s="107">
        <v>0.28599999999999998</v>
      </c>
      <c r="I352" s="106">
        <v>6.6000000000000003E-2</v>
      </c>
      <c r="J352" s="107">
        <v>2.5999999999999999E-2</v>
      </c>
      <c r="K352" s="94">
        <f>((10/3)*L350)+((2/3)*L362)</f>
        <v>34046</v>
      </c>
      <c r="L352" s="114"/>
      <c r="M352" s="421">
        <f t="shared" si="36"/>
        <v>0.6</v>
      </c>
      <c r="N352" s="421">
        <v>0.26</v>
      </c>
      <c r="O352" s="421">
        <f t="shared" si="37"/>
        <v>0.61</v>
      </c>
      <c r="P352" s="421">
        <v>0.34620000000000001</v>
      </c>
      <c r="Q352" s="421">
        <v>0.69640000000000002</v>
      </c>
      <c r="R352" s="421">
        <v>0.6</v>
      </c>
      <c r="S352" s="421">
        <v>0.61</v>
      </c>
    </row>
    <row r="353" spans="1:19" s="96" customFormat="1">
      <c r="A353" s="95">
        <f t="shared" si="40"/>
        <v>48182</v>
      </c>
      <c r="B353" s="95">
        <f t="shared" si="39"/>
        <v>48547</v>
      </c>
      <c r="C353" s="105">
        <f t="shared" si="42"/>
        <v>0.26800000000000002</v>
      </c>
      <c r="D353" s="105">
        <f t="shared" si="42"/>
        <v>0.28599999999999998</v>
      </c>
      <c r="E353" s="105">
        <f t="shared" si="42"/>
        <v>6.6000000000000003E-2</v>
      </c>
      <c r="F353" s="105">
        <f t="shared" si="42"/>
        <v>2.5999999999999999E-2</v>
      </c>
      <c r="G353" s="107">
        <v>0.26800000000000002</v>
      </c>
      <c r="H353" s="107">
        <v>0.28599999999999998</v>
      </c>
      <c r="I353" s="106">
        <v>6.6000000000000003E-2</v>
      </c>
      <c r="J353" s="107">
        <v>2.5999999999999999E-2</v>
      </c>
      <c r="K353" s="94">
        <f>((9/3)*L350)+((3/3)*L362)</f>
        <v>34187</v>
      </c>
      <c r="L353" s="114"/>
      <c r="M353" s="421">
        <f t="shared" si="36"/>
        <v>0.6</v>
      </c>
      <c r="N353" s="421">
        <v>0.26</v>
      </c>
      <c r="O353" s="421">
        <f t="shared" si="37"/>
        <v>0.61</v>
      </c>
      <c r="P353" s="421">
        <v>0.34620000000000001</v>
      </c>
      <c r="Q353" s="421">
        <v>0.69640000000000002</v>
      </c>
      <c r="R353" s="421">
        <v>0.6</v>
      </c>
      <c r="S353" s="421">
        <v>0.61</v>
      </c>
    </row>
    <row r="354" spans="1:19" s="96" customFormat="1">
      <c r="A354" s="95">
        <f t="shared" si="40"/>
        <v>48213</v>
      </c>
      <c r="B354" s="95">
        <f t="shared" si="39"/>
        <v>48578</v>
      </c>
      <c r="C354" s="105">
        <f t="shared" si="42"/>
        <v>0.26800000000000002</v>
      </c>
      <c r="D354" s="105">
        <f t="shared" si="42"/>
        <v>0.28599999999999998</v>
      </c>
      <c r="E354" s="105">
        <f t="shared" si="42"/>
        <v>6.6000000000000003E-2</v>
      </c>
      <c r="F354" s="105">
        <f t="shared" si="42"/>
        <v>2.5999999999999999E-2</v>
      </c>
      <c r="G354" s="107">
        <v>0.26800000000000002</v>
      </c>
      <c r="H354" s="107">
        <v>0.28599999999999998</v>
      </c>
      <c r="I354" s="106">
        <v>6.6000000000000003E-2</v>
      </c>
      <c r="J354" s="107">
        <v>2.5999999999999999E-2</v>
      </c>
      <c r="K354" s="94">
        <f>((8/3)*L350)+((4/3)*L362)</f>
        <v>34328</v>
      </c>
      <c r="L354" s="114"/>
      <c r="M354" s="421">
        <f t="shared" si="36"/>
        <v>0.6</v>
      </c>
      <c r="N354" s="421">
        <v>0.26</v>
      </c>
      <c r="O354" s="421">
        <f t="shared" si="37"/>
        <v>0.61</v>
      </c>
      <c r="P354" s="421">
        <v>0.34620000000000001</v>
      </c>
      <c r="Q354" s="421">
        <v>0.69640000000000002</v>
      </c>
      <c r="R354" s="421">
        <v>0.6</v>
      </c>
      <c r="S354" s="421">
        <v>0.61</v>
      </c>
    </row>
    <row r="355" spans="1:19" s="96" customFormat="1">
      <c r="A355" s="95">
        <f t="shared" si="40"/>
        <v>48244</v>
      </c>
      <c r="B355" s="95">
        <f t="shared" si="39"/>
        <v>48609</v>
      </c>
      <c r="C355" s="105">
        <f t="shared" ref="C355:F370" si="43">AVERAGE(G355:G366)</f>
        <v>0.26800000000000002</v>
      </c>
      <c r="D355" s="105">
        <f t="shared" si="43"/>
        <v>0.28599999999999998</v>
      </c>
      <c r="E355" s="105">
        <f t="shared" si="43"/>
        <v>6.6000000000000003E-2</v>
      </c>
      <c r="F355" s="105">
        <f t="shared" si="43"/>
        <v>2.5999999999999999E-2</v>
      </c>
      <c r="G355" s="107">
        <v>0.26800000000000002</v>
      </c>
      <c r="H355" s="107">
        <v>0.28599999999999998</v>
      </c>
      <c r="I355" s="106">
        <v>6.6000000000000003E-2</v>
      </c>
      <c r="J355" s="107">
        <v>2.5999999999999999E-2</v>
      </c>
      <c r="K355" s="94">
        <f>((7/3)*L350)+((5/3)*L362)</f>
        <v>34468</v>
      </c>
      <c r="L355" s="114"/>
      <c r="M355" s="421">
        <f t="shared" si="36"/>
        <v>0.6</v>
      </c>
      <c r="N355" s="421">
        <v>0.26</v>
      </c>
      <c r="O355" s="421">
        <f t="shared" si="37"/>
        <v>0.61</v>
      </c>
      <c r="P355" s="421">
        <v>0.34620000000000001</v>
      </c>
      <c r="Q355" s="421">
        <v>0.69640000000000002</v>
      </c>
      <c r="R355" s="421">
        <v>0.6</v>
      </c>
      <c r="S355" s="421">
        <v>0.61</v>
      </c>
    </row>
    <row r="356" spans="1:19" s="96" customFormat="1">
      <c r="A356" s="95">
        <f t="shared" si="40"/>
        <v>48273</v>
      </c>
      <c r="B356" s="95">
        <f t="shared" si="39"/>
        <v>48637</v>
      </c>
      <c r="C356" s="105">
        <f t="shared" si="43"/>
        <v>0.26800000000000002</v>
      </c>
      <c r="D356" s="105">
        <f t="shared" si="43"/>
        <v>0.28599999999999998</v>
      </c>
      <c r="E356" s="105">
        <f t="shared" si="43"/>
        <v>6.6000000000000003E-2</v>
      </c>
      <c r="F356" s="105">
        <f t="shared" si="43"/>
        <v>2.5999999999999999E-2</v>
      </c>
      <c r="G356" s="107">
        <v>0.26800000000000002</v>
      </c>
      <c r="H356" s="107">
        <v>0.28599999999999998</v>
      </c>
      <c r="I356" s="106">
        <v>6.6000000000000003E-2</v>
      </c>
      <c r="J356" s="107">
        <v>2.5999999999999999E-2</v>
      </c>
      <c r="K356" s="94">
        <f>((6/3)*L350)+((6/3)*L362)</f>
        <v>34609</v>
      </c>
      <c r="L356" s="114"/>
      <c r="M356" s="421">
        <f t="shared" si="36"/>
        <v>0.6</v>
      </c>
      <c r="N356" s="421">
        <v>0.26</v>
      </c>
      <c r="O356" s="421">
        <f t="shared" si="37"/>
        <v>0.61</v>
      </c>
      <c r="P356" s="421">
        <v>0.34620000000000001</v>
      </c>
      <c r="Q356" s="421">
        <v>0.69640000000000002</v>
      </c>
      <c r="R356" s="421">
        <v>0.6</v>
      </c>
      <c r="S356" s="421">
        <v>0.61</v>
      </c>
    </row>
    <row r="357" spans="1:19" s="96" customFormat="1">
      <c r="A357" s="95">
        <f t="shared" si="40"/>
        <v>48304</v>
      </c>
      <c r="B357" s="95">
        <f t="shared" si="39"/>
        <v>48668</v>
      </c>
      <c r="C357" s="105">
        <f t="shared" si="43"/>
        <v>0.26800000000000002</v>
      </c>
      <c r="D357" s="105">
        <f t="shared" si="43"/>
        <v>0.28599999999999998</v>
      </c>
      <c r="E357" s="105">
        <f t="shared" si="43"/>
        <v>6.6000000000000003E-2</v>
      </c>
      <c r="F357" s="105">
        <f t="shared" si="43"/>
        <v>2.5999999999999999E-2</v>
      </c>
      <c r="G357" s="107">
        <v>0.26800000000000002</v>
      </c>
      <c r="H357" s="107">
        <v>0.28599999999999998</v>
      </c>
      <c r="I357" s="106">
        <v>6.6000000000000003E-2</v>
      </c>
      <c r="J357" s="107">
        <v>2.5999999999999999E-2</v>
      </c>
      <c r="K357" s="94">
        <f>((5/3)*L350)+((7/3)*L362)</f>
        <v>34750</v>
      </c>
      <c r="L357" s="114"/>
      <c r="M357" s="421">
        <f t="shared" si="36"/>
        <v>0.6</v>
      </c>
      <c r="N357" s="421">
        <v>0.26</v>
      </c>
      <c r="O357" s="421">
        <f t="shared" si="37"/>
        <v>0.61</v>
      </c>
      <c r="P357" s="421">
        <v>0.34620000000000001</v>
      </c>
      <c r="Q357" s="421">
        <v>0.69640000000000002</v>
      </c>
      <c r="R357" s="421">
        <v>0.6</v>
      </c>
      <c r="S357" s="421">
        <v>0.61</v>
      </c>
    </row>
    <row r="358" spans="1:19" s="96" customFormat="1">
      <c r="A358" s="95">
        <f t="shared" si="40"/>
        <v>48334</v>
      </c>
      <c r="B358" s="95">
        <f t="shared" si="39"/>
        <v>48698</v>
      </c>
      <c r="C358" s="105">
        <f t="shared" si="43"/>
        <v>0.26800000000000002</v>
      </c>
      <c r="D358" s="105">
        <f t="shared" si="43"/>
        <v>0.28599999999999998</v>
      </c>
      <c r="E358" s="105">
        <f t="shared" si="43"/>
        <v>6.6000000000000003E-2</v>
      </c>
      <c r="F358" s="105">
        <f t="shared" si="43"/>
        <v>2.5999999999999999E-2</v>
      </c>
      <c r="G358" s="107">
        <v>0.26800000000000002</v>
      </c>
      <c r="H358" s="107">
        <v>0.28599999999999998</v>
      </c>
      <c r="I358" s="106">
        <v>6.6000000000000003E-2</v>
      </c>
      <c r="J358" s="107">
        <v>2.5999999999999999E-2</v>
      </c>
      <c r="K358" s="94">
        <f>((4/3)*L350)+((8/3)*L362)</f>
        <v>34890</v>
      </c>
      <c r="L358" s="114"/>
      <c r="M358" s="421">
        <f t="shared" si="36"/>
        <v>0.6</v>
      </c>
      <c r="N358" s="421">
        <v>0.26</v>
      </c>
      <c r="O358" s="421">
        <f t="shared" si="37"/>
        <v>0.61</v>
      </c>
      <c r="P358" s="421">
        <v>0.34620000000000001</v>
      </c>
      <c r="Q358" s="421">
        <v>0.69640000000000002</v>
      </c>
      <c r="R358" s="421">
        <v>0.6</v>
      </c>
      <c r="S358" s="421">
        <v>0.61</v>
      </c>
    </row>
    <row r="359" spans="1:19" s="96" customFormat="1">
      <c r="A359" s="95">
        <f t="shared" si="40"/>
        <v>48365</v>
      </c>
      <c r="B359" s="95">
        <f t="shared" si="39"/>
        <v>48729</v>
      </c>
      <c r="C359" s="105">
        <f t="shared" si="43"/>
        <v>0.26800000000000002</v>
      </c>
      <c r="D359" s="105">
        <f t="shared" si="43"/>
        <v>0.28599999999999998</v>
      </c>
      <c r="E359" s="105">
        <f t="shared" si="43"/>
        <v>6.6000000000000003E-2</v>
      </c>
      <c r="F359" s="105">
        <f t="shared" si="43"/>
        <v>2.5999999999999999E-2</v>
      </c>
      <c r="G359" s="107">
        <v>0.26800000000000002</v>
      </c>
      <c r="H359" s="107">
        <v>0.28599999999999998</v>
      </c>
      <c r="I359" s="106">
        <v>6.6000000000000003E-2</v>
      </c>
      <c r="J359" s="107">
        <v>2.5999999999999999E-2</v>
      </c>
      <c r="K359" s="94">
        <f>((3/3)*L350)+((9/3)*L362)</f>
        <v>35031</v>
      </c>
      <c r="L359" s="114"/>
      <c r="M359" s="421">
        <f t="shared" si="36"/>
        <v>0.6</v>
      </c>
      <c r="N359" s="421">
        <v>0.26</v>
      </c>
      <c r="O359" s="421">
        <f t="shared" si="37"/>
        <v>0.61</v>
      </c>
      <c r="P359" s="421">
        <v>0.34620000000000001</v>
      </c>
      <c r="Q359" s="421">
        <v>0.69640000000000002</v>
      </c>
      <c r="R359" s="421">
        <v>0.6</v>
      </c>
      <c r="S359" s="421">
        <v>0.61</v>
      </c>
    </row>
    <row r="360" spans="1:19" s="96" customFormat="1">
      <c r="A360" s="95">
        <f t="shared" si="40"/>
        <v>48395</v>
      </c>
      <c r="B360" s="95">
        <f t="shared" si="39"/>
        <v>48759</v>
      </c>
      <c r="C360" s="105">
        <f t="shared" si="43"/>
        <v>0.26800000000000002</v>
      </c>
      <c r="D360" s="105">
        <f t="shared" si="43"/>
        <v>0.28599999999999998</v>
      </c>
      <c r="E360" s="105">
        <f t="shared" si="43"/>
        <v>6.6000000000000003E-2</v>
      </c>
      <c r="F360" s="105">
        <f t="shared" si="43"/>
        <v>2.5999999999999999E-2</v>
      </c>
      <c r="G360" s="107">
        <v>0.26800000000000002</v>
      </c>
      <c r="H360" s="107">
        <v>0.28599999999999998</v>
      </c>
      <c r="I360" s="106">
        <v>6.6000000000000003E-2</v>
      </c>
      <c r="J360" s="107">
        <v>2.5999999999999999E-2</v>
      </c>
      <c r="K360" s="94">
        <f>((2/3)*L350)+((10/3)*L362)</f>
        <v>35172</v>
      </c>
      <c r="L360" s="114"/>
      <c r="M360" s="421">
        <f t="shared" si="36"/>
        <v>0.6</v>
      </c>
      <c r="N360" s="421">
        <v>0.26</v>
      </c>
      <c r="O360" s="421">
        <f t="shared" si="37"/>
        <v>0.61</v>
      </c>
      <c r="P360" s="421">
        <v>0.34620000000000001</v>
      </c>
      <c r="Q360" s="421">
        <v>0.69640000000000002</v>
      </c>
      <c r="R360" s="421">
        <v>0.6</v>
      </c>
      <c r="S360" s="421">
        <v>0.61</v>
      </c>
    </row>
    <row r="361" spans="1:19" s="96" customFormat="1">
      <c r="A361" s="95">
        <f t="shared" si="40"/>
        <v>48426</v>
      </c>
      <c r="B361" s="95">
        <f t="shared" si="39"/>
        <v>48790</v>
      </c>
      <c r="C361" s="105">
        <f t="shared" si="43"/>
        <v>0.26800000000000002</v>
      </c>
      <c r="D361" s="105">
        <f t="shared" si="43"/>
        <v>0.28599999999999998</v>
      </c>
      <c r="E361" s="105">
        <f t="shared" si="43"/>
        <v>6.6000000000000003E-2</v>
      </c>
      <c r="F361" s="105">
        <f t="shared" si="43"/>
        <v>2.5999999999999999E-2</v>
      </c>
      <c r="G361" s="107">
        <v>0.26800000000000002</v>
      </c>
      <c r="H361" s="107">
        <v>0.28599999999999998</v>
      </c>
      <c r="I361" s="106">
        <v>6.6000000000000003E-2</v>
      </c>
      <c r="J361" s="107">
        <v>2.5999999999999999E-2</v>
      </c>
      <c r="K361" s="94">
        <f>((1/3)*L350)+((11/3)*L362)</f>
        <v>35312</v>
      </c>
      <c r="L361" s="114"/>
      <c r="M361" s="421">
        <f t="shared" si="36"/>
        <v>0.6</v>
      </c>
      <c r="N361" s="421">
        <v>0.26</v>
      </c>
      <c r="O361" s="421">
        <f t="shared" si="37"/>
        <v>0.61</v>
      </c>
      <c r="P361" s="421">
        <v>0.34620000000000001</v>
      </c>
      <c r="Q361" s="421">
        <v>0.69640000000000002</v>
      </c>
      <c r="R361" s="421">
        <v>0.6</v>
      </c>
      <c r="S361" s="421">
        <v>0.61</v>
      </c>
    </row>
    <row r="362" spans="1:19" s="60" customFormat="1">
      <c r="A362" s="59">
        <f t="shared" si="40"/>
        <v>48457</v>
      </c>
      <c r="B362" s="59">
        <f t="shared" si="39"/>
        <v>48821</v>
      </c>
      <c r="C362" s="102">
        <f t="shared" si="43"/>
        <v>0.26800000000000002</v>
      </c>
      <c r="D362" s="102">
        <f t="shared" si="43"/>
        <v>0.28599999999999998</v>
      </c>
      <c r="E362" s="102">
        <f t="shared" si="43"/>
        <v>6.6000000000000003E-2</v>
      </c>
      <c r="F362" s="102">
        <f t="shared" si="43"/>
        <v>2.5999999999999999E-2</v>
      </c>
      <c r="G362" s="104">
        <v>0.26800000000000002</v>
      </c>
      <c r="H362" s="104">
        <v>0.28599999999999998</v>
      </c>
      <c r="I362" s="103">
        <v>6.6000000000000003E-2</v>
      </c>
      <c r="J362" s="104">
        <v>2.5999999999999999E-2</v>
      </c>
      <c r="K362" s="54">
        <f>(L362*4)</f>
        <v>35453</v>
      </c>
      <c r="L362" s="113">
        <f>L350*1.05</f>
        <v>8863.26</v>
      </c>
      <c r="M362" s="98">
        <f t="shared" si="36"/>
        <v>0.6</v>
      </c>
      <c r="N362" s="98">
        <v>0.26</v>
      </c>
      <c r="O362" s="98">
        <f t="shared" si="37"/>
        <v>0.61</v>
      </c>
      <c r="P362" s="98">
        <v>0.34620000000000001</v>
      </c>
      <c r="Q362" s="98">
        <v>0.69640000000000002</v>
      </c>
      <c r="R362" s="98">
        <v>0.6</v>
      </c>
      <c r="S362" s="98">
        <v>0.61</v>
      </c>
    </row>
    <row r="363" spans="1:19" s="60" customFormat="1">
      <c r="A363" s="59">
        <f t="shared" si="40"/>
        <v>48487</v>
      </c>
      <c r="B363" s="59">
        <f t="shared" si="39"/>
        <v>48851</v>
      </c>
      <c r="C363" s="102">
        <f t="shared" si="43"/>
        <v>0.26800000000000002</v>
      </c>
      <c r="D363" s="102">
        <f t="shared" si="43"/>
        <v>0.28599999999999998</v>
      </c>
      <c r="E363" s="102">
        <f t="shared" si="43"/>
        <v>6.6000000000000003E-2</v>
      </c>
      <c r="F363" s="102">
        <f t="shared" si="43"/>
        <v>2.5999999999999999E-2</v>
      </c>
      <c r="G363" s="104">
        <v>0.26800000000000002</v>
      </c>
      <c r="H363" s="104">
        <v>0.28599999999999998</v>
      </c>
      <c r="I363" s="103">
        <v>6.6000000000000003E-2</v>
      </c>
      <c r="J363" s="104">
        <v>2.5999999999999999E-2</v>
      </c>
      <c r="K363" s="54">
        <f>((11/3)*L362)+((1/3)*L374)</f>
        <v>35601</v>
      </c>
      <c r="L363" s="113"/>
      <c r="M363" s="98">
        <f t="shared" si="36"/>
        <v>0.6</v>
      </c>
      <c r="N363" s="98">
        <v>0.26</v>
      </c>
      <c r="O363" s="98">
        <f t="shared" si="37"/>
        <v>0.61</v>
      </c>
      <c r="P363" s="98">
        <v>0.34620000000000001</v>
      </c>
      <c r="Q363" s="98">
        <v>0.69640000000000002</v>
      </c>
      <c r="R363" s="98">
        <v>0.6</v>
      </c>
      <c r="S363" s="98">
        <v>0.61</v>
      </c>
    </row>
    <row r="364" spans="1:19" s="60" customFormat="1">
      <c r="A364" s="59">
        <f t="shared" si="40"/>
        <v>48518</v>
      </c>
      <c r="B364" s="59">
        <f t="shared" si="39"/>
        <v>48882</v>
      </c>
      <c r="C364" s="102">
        <f t="shared" si="43"/>
        <v>0.26800000000000002</v>
      </c>
      <c r="D364" s="102">
        <f t="shared" si="43"/>
        <v>0.28599999999999998</v>
      </c>
      <c r="E364" s="102">
        <f t="shared" si="43"/>
        <v>6.6000000000000003E-2</v>
      </c>
      <c r="F364" s="102">
        <f t="shared" si="43"/>
        <v>2.5999999999999999E-2</v>
      </c>
      <c r="G364" s="104">
        <v>0.26800000000000002</v>
      </c>
      <c r="H364" s="104">
        <v>0.28599999999999998</v>
      </c>
      <c r="I364" s="103">
        <v>6.6000000000000003E-2</v>
      </c>
      <c r="J364" s="104">
        <v>2.5999999999999999E-2</v>
      </c>
      <c r="K364" s="54">
        <f>((10/3)*L362)+((2/3)*L374)</f>
        <v>35748</v>
      </c>
      <c r="L364" s="113"/>
      <c r="M364" s="98">
        <f t="shared" si="36"/>
        <v>0.6</v>
      </c>
      <c r="N364" s="98">
        <v>0.26</v>
      </c>
      <c r="O364" s="98">
        <f t="shared" si="37"/>
        <v>0.61</v>
      </c>
      <c r="P364" s="98">
        <v>0.34620000000000001</v>
      </c>
      <c r="Q364" s="98">
        <v>0.69640000000000002</v>
      </c>
      <c r="R364" s="98">
        <v>0.6</v>
      </c>
      <c r="S364" s="98">
        <v>0.61</v>
      </c>
    </row>
    <row r="365" spans="1:19" s="60" customFormat="1">
      <c r="A365" s="59">
        <f t="shared" si="40"/>
        <v>48548</v>
      </c>
      <c r="B365" s="59">
        <f t="shared" si="39"/>
        <v>48912</v>
      </c>
      <c r="C365" s="102">
        <f t="shared" si="43"/>
        <v>0.26800000000000002</v>
      </c>
      <c r="D365" s="102">
        <f t="shared" si="43"/>
        <v>0.28599999999999998</v>
      </c>
      <c r="E365" s="102">
        <f t="shared" si="43"/>
        <v>6.6000000000000003E-2</v>
      </c>
      <c r="F365" s="102">
        <f t="shared" si="43"/>
        <v>2.5999999999999999E-2</v>
      </c>
      <c r="G365" s="104">
        <v>0.26800000000000002</v>
      </c>
      <c r="H365" s="104">
        <v>0.28599999999999998</v>
      </c>
      <c r="I365" s="103">
        <v>6.6000000000000003E-2</v>
      </c>
      <c r="J365" s="104">
        <v>2.5999999999999999E-2</v>
      </c>
      <c r="K365" s="54">
        <f>((9/3)*L362)+((3/3)*L374)</f>
        <v>35896</v>
      </c>
      <c r="L365" s="113"/>
      <c r="M365" s="98">
        <f t="shared" si="36"/>
        <v>0.6</v>
      </c>
      <c r="N365" s="98">
        <v>0.26</v>
      </c>
      <c r="O365" s="98">
        <f t="shared" si="37"/>
        <v>0.61</v>
      </c>
      <c r="P365" s="98">
        <v>0.34620000000000001</v>
      </c>
      <c r="Q365" s="98">
        <v>0.69640000000000002</v>
      </c>
      <c r="R365" s="98">
        <v>0.6</v>
      </c>
      <c r="S365" s="98">
        <v>0.61</v>
      </c>
    </row>
    <row r="366" spans="1:19" s="60" customFormat="1">
      <c r="A366" s="59">
        <f t="shared" si="40"/>
        <v>48579</v>
      </c>
      <c r="B366" s="59">
        <f t="shared" si="39"/>
        <v>48943</v>
      </c>
      <c r="C366" s="102">
        <f t="shared" si="43"/>
        <v>0.26800000000000002</v>
      </c>
      <c r="D366" s="102">
        <f t="shared" si="43"/>
        <v>0.28599999999999998</v>
      </c>
      <c r="E366" s="102">
        <f t="shared" si="43"/>
        <v>6.6000000000000003E-2</v>
      </c>
      <c r="F366" s="102">
        <f t="shared" si="43"/>
        <v>2.5999999999999999E-2</v>
      </c>
      <c r="G366" s="104">
        <v>0.26800000000000002</v>
      </c>
      <c r="H366" s="104">
        <v>0.28599999999999998</v>
      </c>
      <c r="I366" s="103">
        <v>6.6000000000000003E-2</v>
      </c>
      <c r="J366" s="104">
        <v>2.5999999999999999E-2</v>
      </c>
      <c r="K366" s="54">
        <f>((8/3)*L362)+((4/3)*L374)</f>
        <v>36044</v>
      </c>
      <c r="L366" s="113"/>
      <c r="M366" s="98">
        <f t="shared" si="36"/>
        <v>0.6</v>
      </c>
      <c r="N366" s="98">
        <v>0.26</v>
      </c>
      <c r="O366" s="98">
        <f t="shared" si="37"/>
        <v>0.61</v>
      </c>
      <c r="P366" s="98">
        <v>0.34620000000000001</v>
      </c>
      <c r="Q366" s="98">
        <v>0.69640000000000002</v>
      </c>
      <c r="R366" s="98">
        <v>0.6</v>
      </c>
      <c r="S366" s="98">
        <v>0.61</v>
      </c>
    </row>
    <row r="367" spans="1:19" s="60" customFormat="1">
      <c r="A367" s="59">
        <f t="shared" si="40"/>
        <v>48610</v>
      </c>
      <c r="B367" s="59">
        <f t="shared" si="39"/>
        <v>48974</v>
      </c>
      <c r="C367" s="102">
        <f t="shared" si="43"/>
        <v>0.26800000000000002</v>
      </c>
      <c r="D367" s="102">
        <f t="shared" si="43"/>
        <v>0.28599999999999998</v>
      </c>
      <c r="E367" s="102">
        <f t="shared" si="43"/>
        <v>6.6000000000000003E-2</v>
      </c>
      <c r="F367" s="102">
        <f t="shared" si="43"/>
        <v>2.5999999999999999E-2</v>
      </c>
      <c r="G367" s="104">
        <v>0.26800000000000002</v>
      </c>
      <c r="H367" s="104">
        <v>0.28599999999999998</v>
      </c>
      <c r="I367" s="103">
        <v>6.6000000000000003E-2</v>
      </c>
      <c r="J367" s="104">
        <v>2.5999999999999999E-2</v>
      </c>
      <c r="K367" s="54">
        <f>((7/3)*L362)+((5/3)*L374)</f>
        <v>36192</v>
      </c>
      <c r="L367" s="113"/>
      <c r="M367" s="98">
        <f t="shared" ref="M367:M430" si="44">AVERAGE(R367:R378)</f>
        <v>0.6</v>
      </c>
      <c r="N367" s="98">
        <v>0.26</v>
      </c>
      <c r="O367" s="98">
        <f t="shared" ref="O367:O430" si="45">AVERAGE(S367:S378)</f>
        <v>0.61</v>
      </c>
      <c r="P367" s="98">
        <v>0.34620000000000001</v>
      </c>
      <c r="Q367" s="98">
        <v>0.69640000000000002</v>
      </c>
      <c r="R367" s="98">
        <v>0.6</v>
      </c>
      <c r="S367" s="98">
        <v>0.61</v>
      </c>
    </row>
    <row r="368" spans="1:19" s="60" customFormat="1">
      <c r="A368" s="59">
        <f t="shared" si="40"/>
        <v>48638</v>
      </c>
      <c r="B368" s="59">
        <f t="shared" si="39"/>
        <v>49002</v>
      </c>
      <c r="C368" s="102">
        <f t="shared" si="43"/>
        <v>0.26800000000000002</v>
      </c>
      <c r="D368" s="102">
        <f t="shared" si="43"/>
        <v>0.28599999999999998</v>
      </c>
      <c r="E368" s="102">
        <f t="shared" si="43"/>
        <v>6.6000000000000003E-2</v>
      </c>
      <c r="F368" s="102">
        <f t="shared" si="43"/>
        <v>2.5999999999999999E-2</v>
      </c>
      <c r="G368" s="104">
        <v>0.26800000000000002</v>
      </c>
      <c r="H368" s="104">
        <v>0.28599999999999998</v>
      </c>
      <c r="I368" s="103">
        <v>6.6000000000000003E-2</v>
      </c>
      <c r="J368" s="104">
        <v>2.5999999999999999E-2</v>
      </c>
      <c r="K368" s="54">
        <f>((6/3)*L362)+((6/3)*L374)</f>
        <v>36339</v>
      </c>
      <c r="L368" s="113"/>
      <c r="M368" s="98">
        <f t="shared" si="44"/>
        <v>0.6</v>
      </c>
      <c r="N368" s="98">
        <v>0.26</v>
      </c>
      <c r="O368" s="98">
        <f t="shared" si="45"/>
        <v>0.61</v>
      </c>
      <c r="P368" s="98">
        <v>0.34620000000000001</v>
      </c>
      <c r="Q368" s="98">
        <v>0.69640000000000002</v>
      </c>
      <c r="R368" s="98">
        <v>0.6</v>
      </c>
      <c r="S368" s="98">
        <v>0.61</v>
      </c>
    </row>
    <row r="369" spans="1:19" s="60" customFormat="1">
      <c r="A369" s="59">
        <f t="shared" si="40"/>
        <v>48669</v>
      </c>
      <c r="B369" s="59">
        <f t="shared" si="39"/>
        <v>49033</v>
      </c>
      <c r="C369" s="102">
        <f t="shared" si="43"/>
        <v>0.26800000000000002</v>
      </c>
      <c r="D369" s="102">
        <f t="shared" si="43"/>
        <v>0.28599999999999998</v>
      </c>
      <c r="E369" s="102">
        <f t="shared" si="43"/>
        <v>6.6000000000000003E-2</v>
      </c>
      <c r="F369" s="102">
        <f t="shared" si="43"/>
        <v>2.5999999999999999E-2</v>
      </c>
      <c r="G369" s="104">
        <v>0.26800000000000002</v>
      </c>
      <c r="H369" s="104">
        <v>0.28599999999999998</v>
      </c>
      <c r="I369" s="103">
        <v>6.6000000000000003E-2</v>
      </c>
      <c r="J369" s="104">
        <v>2.5999999999999999E-2</v>
      </c>
      <c r="K369" s="54">
        <f>((5/3)*L362)+((7/3)*L374)</f>
        <v>36487</v>
      </c>
      <c r="L369" s="113"/>
      <c r="M369" s="98">
        <f t="shared" si="44"/>
        <v>0.6</v>
      </c>
      <c r="N369" s="98">
        <v>0.26</v>
      </c>
      <c r="O369" s="98">
        <f t="shared" si="45"/>
        <v>0.61</v>
      </c>
      <c r="P369" s="98">
        <v>0.34620000000000001</v>
      </c>
      <c r="Q369" s="98">
        <v>0.69640000000000002</v>
      </c>
      <c r="R369" s="98">
        <v>0.6</v>
      </c>
      <c r="S369" s="98">
        <v>0.61</v>
      </c>
    </row>
    <row r="370" spans="1:19" s="60" customFormat="1">
      <c r="A370" s="59">
        <f t="shared" si="40"/>
        <v>48699</v>
      </c>
      <c r="B370" s="59">
        <f t="shared" si="39"/>
        <v>49063</v>
      </c>
      <c r="C370" s="102">
        <f t="shared" si="43"/>
        <v>0.26800000000000002</v>
      </c>
      <c r="D370" s="102">
        <f t="shared" si="43"/>
        <v>0.28599999999999998</v>
      </c>
      <c r="E370" s="102">
        <f t="shared" si="43"/>
        <v>6.6000000000000003E-2</v>
      </c>
      <c r="F370" s="102">
        <f t="shared" si="43"/>
        <v>2.5999999999999999E-2</v>
      </c>
      <c r="G370" s="104">
        <v>0.26800000000000002</v>
      </c>
      <c r="H370" s="104">
        <v>0.28599999999999998</v>
      </c>
      <c r="I370" s="103">
        <v>6.6000000000000003E-2</v>
      </c>
      <c r="J370" s="104">
        <v>2.5999999999999999E-2</v>
      </c>
      <c r="K370" s="54">
        <f>((4/3)*L362)+((8/3)*L374)</f>
        <v>36635</v>
      </c>
      <c r="L370" s="113"/>
      <c r="M370" s="98">
        <f t="shared" si="44"/>
        <v>0.6</v>
      </c>
      <c r="N370" s="98">
        <v>0.26</v>
      </c>
      <c r="O370" s="98">
        <f t="shared" si="45"/>
        <v>0.61</v>
      </c>
      <c r="P370" s="98">
        <v>0.34620000000000001</v>
      </c>
      <c r="Q370" s="98">
        <v>0.69640000000000002</v>
      </c>
      <c r="R370" s="98">
        <v>0.6</v>
      </c>
      <c r="S370" s="98">
        <v>0.61</v>
      </c>
    </row>
    <row r="371" spans="1:19" s="60" customFormat="1">
      <c r="A371" s="59">
        <f t="shared" si="40"/>
        <v>48730</v>
      </c>
      <c r="B371" s="59">
        <f t="shared" si="39"/>
        <v>49094</v>
      </c>
      <c r="C371" s="102">
        <f t="shared" ref="C371:F386" si="46">AVERAGE(G371:G382)</f>
        <v>0.26800000000000002</v>
      </c>
      <c r="D371" s="102">
        <f t="shared" si="46"/>
        <v>0.28599999999999998</v>
      </c>
      <c r="E371" s="102">
        <f t="shared" si="46"/>
        <v>6.6000000000000003E-2</v>
      </c>
      <c r="F371" s="102">
        <f t="shared" si="46"/>
        <v>2.5999999999999999E-2</v>
      </c>
      <c r="G371" s="104">
        <v>0.26800000000000002</v>
      </c>
      <c r="H371" s="104">
        <v>0.28599999999999998</v>
      </c>
      <c r="I371" s="103">
        <v>6.6000000000000003E-2</v>
      </c>
      <c r="J371" s="104">
        <v>2.5999999999999999E-2</v>
      </c>
      <c r="K371" s="54">
        <f>((3/3)*L362)+((9/3)*L374)</f>
        <v>36783</v>
      </c>
      <c r="L371" s="113"/>
      <c r="M371" s="98">
        <f t="shared" si="44"/>
        <v>0.6</v>
      </c>
      <c r="N371" s="98">
        <v>0.26</v>
      </c>
      <c r="O371" s="98">
        <f t="shared" si="45"/>
        <v>0.61</v>
      </c>
      <c r="P371" s="98">
        <v>0.34620000000000001</v>
      </c>
      <c r="Q371" s="98">
        <v>0.69640000000000002</v>
      </c>
      <c r="R371" s="98">
        <v>0.6</v>
      </c>
      <c r="S371" s="98">
        <v>0.61</v>
      </c>
    </row>
    <row r="372" spans="1:19" s="60" customFormat="1">
      <c r="A372" s="59">
        <f t="shared" si="40"/>
        <v>48760</v>
      </c>
      <c r="B372" s="59">
        <f t="shared" si="39"/>
        <v>49124</v>
      </c>
      <c r="C372" s="102">
        <f t="shared" si="46"/>
        <v>0.26800000000000002</v>
      </c>
      <c r="D372" s="102">
        <f t="shared" si="46"/>
        <v>0.28599999999999998</v>
      </c>
      <c r="E372" s="102">
        <f t="shared" si="46"/>
        <v>6.6000000000000003E-2</v>
      </c>
      <c r="F372" s="102">
        <f t="shared" si="46"/>
        <v>2.5999999999999999E-2</v>
      </c>
      <c r="G372" s="104">
        <v>0.26800000000000002</v>
      </c>
      <c r="H372" s="104">
        <v>0.28599999999999998</v>
      </c>
      <c r="I372" s="103">
        <v>6.6000000000000003E-2</v>
      </c>
      <c r="J372" s="104">
        <v>2.5999999999999999E-2</v>
      </c>
      <c r="K372" s="54">
        <f>((2/3)*L362)+((10/3)*L374)</f>
        <v>36930</v>
      </c>
      <c r="L372" s="113"/>
      <c r="M372" s="98">
        <f t="shared" si="44"/>
        <v>0.6</v>
      </c>
      <c r="N372" s="98">
        <v>0.26</v>
      </c>
      <c r="O372" s="98">
        <f t="shared" si="45"/>
        <v>0.61</v>
      </c>
      <c r="P372" s="98">
        <v>0.34620000000000001</v>
      </c>
      <c r="Q372" s="98">
        <v>0.69640000000000002</v>
      </c>
      <c r="R372" s="98">
        <v>0.6</v>
      </c>
      <c r="S372" s="98">
        <v>0.61</v>
      </c>
    </row>
    <row r="373" spans="1:19" s="60" customFormat="1">
      <c r="A373" s="59">
        <f t="shared" si="40"/>
        <v>48791</v>
      </c>
      <c r="B373" s="59">
        <f t="shared" si="39"/>
        <v>49155</v>
      </c>
      <c r="C373" s="99">
        <f t="shared" si="46"/>
        <v>0.26800000000000002</v>
      </c>
      <c r="D373" s="99">
        <f t="shared" si="46"/>
        <v>0.28599999999999998</v>
      </c>
      <c r="E373" s="99">
        <f t="shared" si="46"/>
        <v>6.6000000000000003E-2</v>
      </c>
      <c r="F373" s="99">
        <f t="shared" si="46"/>
        <v>2.5999999999999999E-2</v>
      </c>
      <c r="G373" s="104">
        <v>0.26800000000000002</v>
      </c>
      <c r="H373" s="104">
        <v>0.28599999999999998</v>
      </c>
      <c r="I373" s="103">
        <v>6.6000000000000003E-2</v>
      </c>
      <c r="J373" s="104">
        <v>2.5999999999999999E-2</v>
      </c>
      <c r="K373" s="54">
        <f>((1/3)*L362)+((11/3)*L374)</f>
        <v>37078</v>
      </c>
      <c r="L373" s="113"/>
      <c r="M373" s="98">
        <f t="shared" si="44"/>
        <v>0.6</v>
      </c>
      <c r="N373" s="98">
        <v>0.26</v>
      </c>
      <c r="O373" s="98">
        <f t="shared" si="45"/>
        <v>0.61</v>
      </c>
      <c r="P373" s="98">
        <v>0.34620000000000001</v>
      </c>
      <c r="Q373" s="98">
        <v>0.69640000000000002</v>
      </c>
      <c r="R373" s="98">
        <v>0.6</v>
      </c>
      <c r="S373" s="98">
        <v>0.61</v>
      </c>
    </row>
    <row r="374" spans="1:19" s="96" customFormat="1">
      <c r="A374" s="95">
        <f t="shared" si="40"/>
        <v>48822</v>
      </c>
      <c r="B374" s="95">
        <f t="shared" si="39"/>
        <v>49186</v>
      </c>
      <c r="C374" s="105">
        <f t="shared" si="46"/>
        <v>0.26800000000000002</v>
      </c>
      <c r="D374" s="105">
        <f t="shared" si="46"/>
        <v>0.28599999999999998</v>
      </c>
      <c r="E374" s="105">
        <f t="shared" si="46"/>
        <v>6.6000000000000003E-2</v>
      </c>
      <c r="F374" s="105">
        <f t="shared" si="46"/>
        <v>2.5999999999999999E-2</v>
      </c>
      <c r="G374" s="107">
        <v>0.26800000000000002</v>
      </c>
      <c r="H374" s="107">
        <v>0.28599999999999998</v>
      </c>
      <c r="I374" s="106">
        <v>6.6000000000000003E-2</v>
      </c>
      <c r="J374" s="107">
        <v>2.5999999999999999E-2</v>
      </c>
      <c r="K374" s="94">
        <f>(L374*4)</f>
        <v>37226</v>
      </c>
      <c r="L374" s="114">
        <f>L362*1.05</f>
        <v>9306.42</v>
      </c>
      <c r="M374" s="421">
        <f t="shared" si="44"/>
        <v>0.6</v>
      </c>
      <c r="N374" s="421">
        <v>0.26</v>
      </c>
      <c r="O374" s="421">
        <f t="shared" si="45"/>
        <v>0.61</v>
      </c>
      <c r="P374" s="421">
        <v>0.34620000000000001</v>
      </c>
      <c r="Q374" s="421">
        <v>0.69640000000000002</v>
      </c>
      <c r="R374" s="421">
        <v>0.6</v>
      </c>
      <c r="S374" s="421">
        <v>0.61</v>
      </c>
    </row>
    <row r="375" spans="1:19" s="96" customFormat="1">
      <c r="A375" s="95">
        <f t="shared" si="40"/>
        <v>48852</v>
      </c>
      <c r="B375" s="95">
        <f t="shared" si="39"/>
        <v>49216</v>
      </c>
      <c r="C375" s="105">
        <f t="shared" si="46"/>
        <v>0.26800000000000002</v>
      </c>
      <c r="D375" s="105">
        <f t="shared" si="46"/>
        <v>0.28599999999999998</v>
      </c>
      <c r="E375" s="105">
        <f t="shared" si="46"/>
        <v>6.6000000000000003E-2</v>
      </c>
      <c r="F375" s="105">
        <f t="shared" si="46"/>
        <v>2.5999999999999999E-2</v>
      </c>
      <c r="G375" s="107">
        <v>0.26800000000000002</v>
      </c>
      <c r="H375" s="107">
        <v>0.28599999999999998</v>
      </c>
      <c r="I375" s="106">
        <v>6.6000000000000003E-2</v>
      </c>
      <c r="J375" s="107">
        <v>2.5999999999999999E-2</v>
      </c>
      <c r="K375" s="94">
        <f>((11/3)*L374)+((1/3)*L386)</f>
        <v>37381</v>
      </c>
      <c r="L375" s="114"/>
      <c r="M375" s="421">
        <f t="shared" si="44"/>
        <v>0.6</v>
      </c>
      <c r="N375" s="421">
        <v>0.26</v>
      </c>
      <c r="O375" s="421">
        <f t="shared" si="45"/>
        <v>0.61</v>
      </c>
      <c r="P375" s="421">
        <v>0.34620000000000001</v>
      </c>
      <c r="Q375" s="421">
        <v>0.69640000000000002</v>
      </c>
      <c r="R375" s="421">
        <v>0.6</v>
      </c>
      <c r="S375" s="421">
        <v>0.61</v>
      </c>
    </row>
    <row r="376" spans="1:19" s="96" customFormat="1">
      <c r="A376" s="95">
        <f t="shared" si="40"/>
        <v>48883</v>
      </c>
      <c r="B376" s="95">
        <f t="shared" si="39"/>
        <v>49247</v>
      </c>
      <c r="C376" s="105">
        <f t="shared" si="46"/>
        <v>0.26800000000000002</v>
      </c>
      <c r="D376" s="105">
        <f t="shared" si="46"/>
        <v>0.28599999999999998</v>
      </c>
      <c r="E376" s="105">
        <f t="shared" si="46"/>
        <v>6.6000000000000003E-2</v>
      </c>
      <c r="F376" s="105">
        <f t="shared" si="46"/>
        <v>2.5999999999999999E-2</v>
      </c>
      <c r="G376" s="107">
        <v>0.26800000000000002</v>
      </c>
      <c r="H376" s="107">
        <v>0.28599999999999998</v>
      </c>
      <c r="I376" s="106">
        <v>6.6000000000000003E-2</v>
      </c>
      <c r="J376" s="107">
        <v>2.5999999999999999E-2</v>
      </c>
      <c r="K376" s="94">
        <f>((10/3)*L374)+((2/3)*L386)</f>
        <v>37536</v>
      </c>
      <c r="L376" s="114"/>
      <c r="M376" s="421">
        <f t="shared" si="44"/>
        <v>0.6</v>
      </c>
      <c r="N376" s="421">
        <v>0.26</v>
      </c>
      <c r="O376" s="421">
        <f t="shared" si="45"/>
        <v>0.61</v>
      </c>
      <c r="P376" s="421">
        <v>0.34620000000000001</v>
      </c>
      <c r="Q376" s="421">
        <v>0.69640000000000002</v>
      </c>
      <c r="R376" s="421">
        <v>0.6</v>
      </c>
      <c r="S376" s="421">
        <v>0.61</v>
      </c>
    </row>
    <row r="377" spans="1:19" s="96" customFormat="1">
      <c r="A377" s="95">
        <f t="shared" si="40"/>
        <v>48913</v>
      </c>
      <c r="B377" s="95">
        <f t="shared" si="39"/>
        <v>49277</v>
      </c>
      <c r="C377" s="105">
        <f t="shared" si="46"/>
        <v>0.26800000000000002</v>
      </c>
      <c r="D377" s="105">
        <f t="shared" si="46"/>
        <v>0.28599999999999998</v>
      </c>
      <c r="E377" s="105">
        <f t="shared" si="46"/>
        <v>6.6000000000000003E-2</v>
      </c>
      <c r="F377" s="105">
        <f t="shared" si="46"/>
        <v>2.5999999999999999E-2</v>
      </c>
      <c r="G377" s="107">
        <v>0.26800000000000002</v>
      </c>
      <c r="H377" s="107">
        <v>0.28599999999999998</v>
      </c>
      <c r="I377" s="106">
        <v>6.6000000000000003E-2</v>
      </c>
      <c r="J377" s="107">
        <v>2.5999999999999999E-2</v>
      </c>
      <c r="K377" s="94">
        <f>((9/3)*L374)+((3/3)*L386)</f>
        <v>37691</v>
      </c>
      <c r="L377" s="114"/>
      <c r="M377" s="421">
        <f t="shared" si="44"/>
        <v>0.6</v>
      </c>
      <c r="N377" s="421">
        <v>0.26</v>
      </c>
      <c r="O377" s="421">
        <f t="shared" si="45"/>
        <v>0.61</v>
      </c>
      <c r="P377" s="421">
        <v>0.34620000000000001</v>
      </c>
      <c r="Q377" s="421">
        <v>0.69640000000000002</v>
      </c>
      <c r="R377" s="421">
        <v>0.6</v>
      </c>
      <c r="S377" s="421">
        <v>0.61</v>
      </c>
    </row>
    <row r="378" spans="1:19" s="96" customFormat="1">
      <c r="A378" s="95">
        <f t="shared" si="40"/>
        <v>48944</v>
      </c>
      <c r="B378" s="95">
        <f t="shared" si="39"/>
        <v>49308</v>
      </c>
      <c r="C378" s="105">
        <f t="shared" si="46"/>
        <v>0.26800000000000002</v>
      </c>
      <c r="D378" s="105">
        <f t="shared" si="46"/>
        <v>0.28599999999999998</v>
      </c>
      <c r="E378" s="105">
        <f t="shared" si="46"/>
        <v>6.6000000000000003E-2</v>
      </c>
      <c r="F378" s="105">
        <f t="shared" si="46"/>
        <v>2.5999999999999999E-2</v>
      </c>
      <c r="G378" s="107">
        <v>0.26800000000000002</v>
      </c>
      <c r="H378" s="107">
        <v>0.28599999999999998</v>
      </c>
      <c r="I378" s="106">
        <v>6.6000000000000003E-2</v>
      </c>
      <c r="J378" s="107">
        <v>2.5999999999999999E-2</v>
      </c>
      <c r="K378" s="94">
        <f>((8/3)*L374)+((4/3)*L386)</f>
        <v>37846</v>
      </c>
      <c r="L378" s="114"/>
      <c r="M378" s="421">
        <f t="shared" si="44"/>
        <v>0.6</v>
      </c>
      <c r="N378" s="421">
        <v>0.26</v>
      </c>
      <c r="O378" s="421">
        <f t="shared" si="45"/>
        <v>0.61</v>
      </c>
      <c r="P378" s="421">
        <v>0.34620000000000001</v>
      </c>
      <c r="Q378" s="421">
        <v>0.69640000000000002</v>
      </c>
      <c r="R378" s="421">
        <v>0.6</v>
      </c>
      <c r="S378" s="421">
        <v>0.61</v>
      </c>
    </row>
    <row r="379" spans="1:19" s="96" customFormat="1">
      <c r="A379" s="95">
        <f t="shared" si="40"/>
        <v>48975</v>
      </c>
      <c r="B379" s="95">
        <f t="shared" si="39"/>
        <v>49339</v>
      </c>
      <c r="C379" s="105">
        <f t="shared" si="46"/>
        <v>0.26800000000000002</v>
      </c>
      <c r="D379" s="105">
        <f t="shared" si="46"/>
        <v>0.28599999999999998</v>
      </c>
      <c r="E379" s="105">
        <f t="shared" si="46"/>
        <v>6.6000000000000003E-2</v>
      </c>
      <c r="F379" s="105">
        <f t="shared" si="46"/>
        <v>2.5999999999999999E-2</v>
      </c>
      <c r="G379" s="107">
        <v>0.26800000000000002</v>
      </c>
      <c r="H379" s="107">
        <v>0.28599999999999998</v>
      </c>
      <c r="I379" s="106">
        <v>6.6000000000000003E-2</v>
      </c>
      <c r="J379" s="107">
        <v>2.5999999999999999E-2</v>
      </c>
      <c r="K379" s="94">
        <f>((7/3)*L374)+((5/3)*L386)</f>
        <v>38001</v>
      </c>
      <c r="L379" s="114"/>
      <c r="M379" s="421">
        <f t="shared" si="44"/>
        <v>0.6</v>
      </c>
      <c r="N379" s="421">
        <v>0.26</v>
      </c>
      <c r="O379" s="421">
        <f t="shared" si="45"/>
        <v>0.61</v>
      </c>
      <c r="P379" s="421">
        <v>0.34620000000000001</v>
      </c>
      <c r="Q379" s="421">
        <v>0.69640000000000002</v>
      </c>
      <c r="R379" s="421">
        <v>0.6</v>
      </c>
      <c r="S379" s="421">
        <v>0.61</v>
      </c>
    </row>
    <row r="380" spans="1:19" s="96" customFormat="1">
      <c r="A380" s="95">
        <f t="shared" si="40"/>
        <v>49003</v>
      </c>
      <c r="B380" s="95">
        <f t="shared" si="39"/>
        <v>49367</v>
      </c>
      <c r="C380" s="105">
        <f t="shared" si="46"/>
        <v>0.26800000000000002</v>
      </c>
      <c r="D380" s="105">
        <f t="shared" si="46"/>
        <v>0.28599999999999998</v>
      </c>
      <c r="E380" s="105">
        <f t="shared" si="46"/>
        <v>6.6000000000000003E-2</v>
      </c>
      <c r="F380" s="105">
        <f t="shared" si="46"/>
        <v>2.5999999999999999E-2</v>
      </c>
      <c r="G380" s="107">
        <v>0.26800000000000002</v>
      </c>
      <c r="H380" s="107">
        <v>0.28599999999999998</v>
      </c>
      <c r="I380" s="106">
        <v>6.6000000000000003E-2</v>
      </c>
      <c r="J380" s="107">
        <v>2.5999999999999999E-2</v>
      </c>
      <c r="K380" s="94">
        <f>((6/3)*L374)+((6/3)*L386)</f>
        <v>38156</v>
      </c>
      <c r="L380" s="114"/>
      <c r="M380" s="421">
        <f t="shared" si="44"/>
        <v>0.6</v>
      </c>
      <c r="N380" s="421">
        <v>0.26</v>
      </c>
      <c r="O380" s="421">
        <f t="shared" si="45"/>
        <v>0.61</v>
      </c>
      <c r="P380" s="421">
        <v>0.34620000000000001</v>
      </c>
      <c r="Q380" s="421">
        <v>0.69640000000000002</v>
      </c>
      <c r="R380" s="421">
        <v>0.6</v>
      </c>
      <c r="S380" s="421">
        <v>0.61</v>
      </c>
    </row>
    <row r="381" spans="1:19" s="96" customFormat="1">
      <c r="A381" s="95">
        <f t="shared" si="40"/>
        <v>49034</v>
      </c>
      <c r="B381" s="95">
        <f t="shared" si="39"/>
        <v>49398</v>
      </c>
      <c r="C381" s="105">
        <f t="shared" si="46"/>
        <v>0.26800000000000002</v>
      </c>
      <c r="D381" s="105">
        <f t="shared" si="46"/>
        <v>0.28599999999999998</v>
      </c>
      <c r="E381" s="105">
        <f t="shared" si="46"/>
        <v>6.6000000000000003E-2</v>
      </c>
      <c r="F381" s="105">
        <f t="shared" si="46"/>
        <v>2.5999999999999999E-2</v>
      </c>
      <c r="G381" s="107">
        <v>0.26800000000000002</v>
      </c>
      <c r="H381" s="107">
        <v>0.28599999999999998</v>
      </c>
      <c r="I381" s="106">
        <v>6.6000000000000003E-2</v>
      </c>
      <c r="J381" s="107">
        <v>2.5999999999999999E-2</v>
      </c>
      <c r="K381" s="94">
        <f>((5/3)*L374)+((7/3)*L386)</f>
        <v>38311</v>
      </c>
      <c r="L381" s="114"/>
      <c r="M381" s="421">
        <f t="shared" si="44"/>
        <v>0.6</v>
      </c>
      <c r="N381" s="421">
        <v>0.26</v>
      </c>
      <c r="O381" s="421">
        <f t="shared" si="45"/>
        <v>0.61</v>
      </c>
      <c r="P381" s="421">
        <v>0.34620000000000001</v>
      </c>
      <c r="Q381" s="421">
        <v>0.69640000000000002</v>
      </c>
      <c r="R381" s="421">
        <v>0.6</v>
      </c>
      <c r="S381" s="421">
        <v>0.61</v>
      </c>
    </row>
    <row r="382" spans="1:19" s="96" customFormat="1">
      <c r="A382" s="95">
        <f t="shared" si="40"/>
        <v>49064</v>
      </c>
      <c r="B382" s="95">
        <f t="shared" si="39"/>
        <v>49428</v>
      </c>
      <c r="C382" s="105">
        <f t="shared" si="46"/>
        <v>0.26800000000000002</v>
      </c>
      <c r="D382" s="105">
        <f t="shared" si="46"/>
        <v>0.28599999999999998</v>
      </c>
      <c r="E382" s="105">
        <f t="shared" si="46"/>
        <v>6.6000000000000003E-2</v>
      </c>
      <c r="F382" s="105">
        <f t="shared" si="46"/>
        <v>2.5999999999999999E-2</v>
      </c>
      <c r="G382" s="107">
        <v>0.26800000000000002</v>
      </c>
      <c r="H382" s="107">
        <v>0.28599999999999998</v>
      </c>
      <c r="I382" s="106">
        <v>6.6000000000000003E-2</v>
      </c>
      <c r="J382" s="107">
        <v>2.5999999999999999E-2</v>
      </c>
      <c r="K382" s="94">
        <f>((4/3)*L374)+((8/3)*L386)</f>
        <v>38467</v>
      </c>
      <c r="L382" s="114"/>
      <c r="M382" s="421">
        <f t="shared" si="44"/>
        <v>0.6</v>
      </c>
      <c r="N382" s="421">
        <v>0.26</v>
      </c>
      <c r="O382" s="421">
        <f t="shared" si="45"/>
        <v>0.61</v>
      </c>
      <c r="P382" s="421">
        <v>0.34620000000000001</v>
      </c>
      <c r="Q382" s="421">
        <v>0.69640000000000002</v>
      </c>
      <c r="R382" s="421">
        <v>0.6</v>
      </c>
      <c r="S382" s="421">
        <v>0.61</v>
      </c>
    </row>
    <row r="383" spans="1:19" s="96" customFormat="1">
      <c r="A383" s="95">
        <f t="shared" si="40"/>
        <v>49095</v>
      </c>
      <c r="B383" s="95">
        <f t="shared" si="39"/>
        <v>49459</v>
      </c>
      <c r="C383" s="105">
        <f t="shared" si="46"/>
        <v>0.26800000000000002</v>
      </c>
      <c r="D383" s="105">
        <f t="shared" si="46"/>
        <v>0.28599999999999998</v>
      </c>
      <c r="E383" s="105">
        <f t="shared" si="46"/>
        <v>6.6000000000000003E-2</v>
      </c>
      <c r="F383" s="105">
        <f t="shared" si="46"/>
        <v>2.5999999999999999E-2</v>
      </c>
      <c r="G383" s="107">
        <v>0.26800000000000002</v>
      </c>
      <c r="H383" s="107">
        <v>0.28599999999999998</v>
      </c>
      <c r="I383" s="106">
        <v>6.6000000000000003E-2</v>
      </c>
      <c r="J383" s="107">
        <v>2.5999999999999999E-2</v>
      </c>
      <c r="K383" s="94">
        <f>((3/3)*L374)+((9/3)*L386)</f>
        <v>38622</v>
      </c>
      <c r="L383" s="114"/>
      <c r="M383" s="421">
        <f t="shared" si="44"/>
        <v>0.6</v>
      </c>
      <c r="N383" s="421">
        <v>0.26</v>
      </c>
      <c r="O383" s="421">
        <f t="shared" si="45"/>
        <v>0.61</v>
      </c>
      <c r="P383" s="421">
        <v>0.34620000000000001</v>
      </c>
      <c r="Q383" s="421">
        <v>0.69640000000000002</v>
      </c>
      <c r="R383" s="421">
        <v>0.6</v>
      </c>
      <c r="S383" s="421">
        <v>0.61</v>
      </c>
    </row>
    <row r="384" spans="1:19" s="96" customFormat="1">
      <c r="A384" s="95">
        <f t="shared" si="40"/>
        <v>49125</v>
      </c>
      <c r="B384" s="95">
        <f t="shared" si="39"/>
        <v>49489</v>
      </c>
      <c r="C384" s="105">
        <f t="shared" si="46"/>
        <v>0.26800000000000002</v>
      </c>
      <c r="D384" s="105">
        <f t="shared" si="46"/>
        <v>0.28599999999999998</v>
      </c>
      <c r="E384" s="105">
        <f t="shared" si="46"/>
        <v>6.6000000000000003E-2</v>
      </c>
      <c r="F384" s="105">
        <f t="shared" si="46"/>
        <v>2.5999999999999999E-2</v>
      </c>
      <c r="G384" s="107">
        <v>0.26800000000000002</v>
      </c>
      <c r="H384" s="107">
        <v>0.28599999999999998</v>
      </c>
      <c r="I384" s="106">
        <v>6.6000000000000003E-2</v>
      </c>
      <c r="J384" s="107">
        <v>2.5999999999999999E-2</v>
      </c>
      <c r="K384" s="94">
        <f>((2/3)*L374)+((10/3)*L386)</f>
        <v>38777</v>
      </c>
      <c r="L384" s="114"/>
      <c r="M384" s="421">
        <f t="shared" si="44"/>
        <v>0.6</v>
      </c>
      <c r="N384" s="421">
        <v>0.26</v>
      </c>
      <c r="O384" s="421">
        <f t="shared" si="45"/>
        <v>0.61</v>
      </c>
      <c r="P384" s="421">
        <v>0.34620000000000001</v>
      </c>
      <c r="Q384" s="421">
        <v>0.69640000000000002</v>
      </c>
      <c r="R384" s="421">
        <v>0.6</v>
      </c>
      <c r="S384" s="421">
        <v>0.61</v>
      </c>
    </row>
    <row r="385" spans="1:19" s="96" customFormat="1">
      <c r="A385" s="95">
        <f t="shared" si="40"/>
        <v>49156</v>
      </c>
      <c r="B385" s="95">
        <f t="shared" si="39"/>
        <v>49520</v>
      </c>
      <c r="C385" s="105">
        <f t="shared" si="46"/>
        <v>0.26800000000000002</v>
      </c>
      <c r="D385" s="105">
        <f t="shared" si="46"/>
        <v>0.28599999999999998</v>
      </c>
      <c r="E385" s="105">
        <f t="shared" si="46"/>
        <v>6.6000000000000003E-2</v>
      </c>
      <c r="F385" s="105">
        <f t="shared" si="46"/>
        <v>2.5999999999999999E-2</v>
      </c>
      <c r="G385" s="107">
        <v>0.26800000000000002</v>
      </c>
      <c r="H385" s="107">
        <v>0.28599999999999998</v>
      </c>
      <c r="I385" s="106">
        <v>6.6000000000000003E-2</v>
      </c>
      <c r="J385" s="107">
        <v>2.5999999999999999E-2</v>
      </c>
      <c r="K385" s="94">
        <f>((1/3)*L374)+((11/3)*L386)</f>
        <v>38932</v>
      </c>
      <c r="L385" s="114"/>
      <c r="M385" s="421">
        <f t="shared" si="44"/>
        <v>0.6</v>
      </c>
      <c r="N385" s="421">
        <v>0.26</v>
      </c>
      <c r="O385" s="421">
        <f t="shared" si="45"/>
        <v>0.61</v>
      </c>
      <c r="P385" s="421">
        <v>0.34620000000000001</v>
      </c>
      <c r="Q385" s="421">
        <v>0.69640000000000002</v>
      </c>
      <c r="R385" s="421">
        <v>0.6</v>
      </c>
      <c r="S385" s="421">
        <v>0.61</v>
      </c>
    </row>
    <row r="386" spans="1:19" s="60" customFormat="1">
      <c r="A386" s="59">
        <f t="shared" si="40"/>
        <v>49187</v>
      </c>
      <c r="B386" s="59">
        <f t="shared" ref="B386:B449" si="47">EDATE(A386,12)-1</f>
        <v>49551</v>
      </c>
      <c r="C386" s="102">
        <f t="shared" si="46"/>
        <v>0.26800000000000002</v>
      </c>
      <c r="D386" s="102">
        <f t="shared" si="46"/>
        <v>0.28599999999999998</v>
      </c>
      <c r="E386" s="102">
        <f t="shared" si="46"/>
        <v>6.6000000000000003E-2</v>
      </c>
      <c r="F386" s="102">
        <f t="shared" si="46"/>
        <v>2.5999999999999999E-2</v>
      </c>
      <c r="G386" s="104">
        <v>0.26800000000000002</v>
      </c>
      <c r="H386" s="104">
        <v>0.28599999999999998</v>
      </c>
      <c r="I386" s="103">
        <v>6.6000000000000003E-2</v>
      </c>
      <c r="J386" s="104">
        <v>2.5999999999999999E-2</v>
      </c>
      <c r="K386" s="54">
        <f>(L386*4)</f>
        <v>39087</v>
      </c>
      <c r="L386" s="113">
        <f>L374*1.05</f>
        <v>9771.74</v>
      </c>
      <c r="M386" s="98">
        <f t="shared" si="44"/>
        <v>0.6</v>
      </c>
      <c r="N386" s="98">
        <v>0.26</v>
      </c>
      <c r="O386" s="98">
        <f t="shared" si="45"/>
        <v>0.61</v>
      </c>
      <c r="P386" s="98">
        <v>0.34620000000000001</v>
      </c>
      <c r="Q386" s="98">
        <v>0.69640000000000002</v>
      </c>
      <c r="R386" s="98">
        <v>0.6</v>
      </c>
      <c r="S386" s="98">
        <v>0.61</v>
      </c>
    </row>
    <row r="387" spans="1:19" s="60" customFormat="1">
      <c r="A387" s="59">
        <f t="shared" ref="A387:A450" si="48">EDATE(A386,1)</f>
        <v>49217</v>
      </c>
      <c r="B387" s="59">
        <f t="shared" si="47"/>
        <v>49581</v>
      </c>
      <c r="C387" s="102">
        <f t="shared" ref="C387:F402" si="49">AVERAGE(G387:G398)</f>
        <v>0.26800000000000002</v>
      </c>
      <c r="D387" s="102">
        <f t="shared" si="49"/>
        <v>0.28599999999999998</v>
      </c>
      <c r="E387" s="102">
        <f t="shared" si="49"/>
        <v>6.6000000000000003E-2</v>
      </c>
      <c r="F387" s="102">
        <f t="shared" si="49"/>
        <v>2.5999999999999999E-2</v>
      </c>
      <c r="G387" s="104">
        <v>0.26800000000000002</v>
      </c>
      <c r="H387" s="104">
        <v>0.28599999999999998</v>
      </c>
      <c r="I387" s="103">
        <v>6.6000000000000003E-2</v>
      </c>
      <c r="J387" s="104">
        <v>2.5999999999999999E-2</v>
      </c>
      <c r="K387" s="54">
        <f>((11/3)*L386)+((1/3)*L398)</f>
        <v>39250</v>
      </c>
      <c r="L387" s="113"/>
      <c r="M387" s="98">
        <f t="shared" si="44"/>
        <v>0.6</v>
      </c>
      <c r="N387" s="98">
        <v>0.26</v>
      </c>
      <c r="O387" s="98">
        <f t="shared" si="45"/>
        <v>0.61</v>
      </c>
      <c r="P387" s="98">
        <v>0.34620000000000001</v>
      </c>
      <c r="Q387" s="98">
        <v>0.69640000000000002</v>
      </c>
      <c r="R387" s="98">
        <v>0.6</v>
      </c>
      <c r="S387" s="98">
        <v>0.61</v>
      </c>
    </row>
    <row r="388" spans="1:19" s="60" customFormat="1">
      <c r="A388" s="59">
        <f t="shared" si="48"/>
        <v>49248</v>
      </c>
      <c r="B388" s="59">
        <f t="shared" si="47"/>
        <v>49612</v>
      </c>
      <c r="C388" s="102">
        <f t="shared" si="49"/>
        <v>0.26800000000000002</v>
      </c>
      <c r="D388" s="102">
        <f t="shared" si="49"/>
        <v>0.28599999999999998</v>
      </c>
      <c r="E388" s="102">
        <f t="shared" si="49"/>
        <v>6.6000000000000003E-2</v>
      </c>
      <c r="F388" s="102">
        <f t="shared" si="49"/>
        <v>2.5999999999999999E-2</v>
      </c>
      <c r="G388" s="104">
        <v>0.26800000000000002</v>
      </c>
      <c r="H388" s="104">
        <v>0.28599999999999998</v>
      </c>
      <c r="I388" s="103">
        <v>6.6000000000000003E-2</v>
      </c>
      <c r="J388" s="104">
        <v>2.5999999999999999E-2</v>
      </c>
      <c r="K388" s="54">
        <f>((10/3)*L386)+((2/3)*L398)</f>
        <v>39413</v>
      </c>
      <c r="L388" s="113"/>
      <c r="M388" s="98">
        <f t="shared" si="44"/>
        <v>0.6</v>
      </c>
      <c r="N388" s="98">
        <v>0.26</v>
      </c>
      <c r="O388" s="98">
        <f t="shared" si="45"/>
        <v>0.61</v>
      </c>
      <c r="P388" s="98">
        <v>0.34620000000000001</v>
      </c>
      <c r="Q388" s="98">
        <v>0.69640000000000002</v>
      </c>
      <c r="R388" s="98">
        <v>0.6</v>
      </c>
      <c r="S388" s="98">
        <v>0.61</v>
      </c>
    </row>
    <row r="389" spans="1:19" s="60" customFormat="1">
      <c r="A389" s="59">
        <f t="shared" si="48"/>
        <v>49278</v>
      </c>
      <c r="B389" s="59">
        <f t="shared" si="47"/>
        <v>49642</v>
      </c>
      <c r="C389" s="102">
        <f t="shared" si="49"/>
        <v>0.26800000000000002</v>
      </c>
      <c r="D389" s="102">
        <f t="shared" si="49"/>
        <v>0.28599999999999998</v>
      </c>
      <c r="E389" s="102">
        <f t="shared" si="49"/>
        <v>6.6000000000000003E-2</v>
      </c>
      <c r="F389" s="102">
        <f t="shared" si="49"/>
        <v>2.5999999999999999E-2</v>
      </c>
      <c r="G389" s="104">
        <v>0.26800000000000002</v>
      </c>
      <c r="H389" s="104">
        <v>0.28599999999999998</v>
      </c>
      <c r="I389" s="103">
        <v>6.6000000000000003E-2</v>
      </c>
      <c r="J389" s="104">
        <v>2.5999999999999999E-2</v>
      </c>
      <c r="K389" s="54">
        <f>((9/3)*L386)+((3/3)*L398)</f>
        <v>39576</v>
      </c>
      <c r="L389" s="113"/>
      <c r="M389" s="98">
        <f t="shared" si="44"/>
        <v>0.6</v>
      </c>
      <c r="N389" s="98">
        <v>0.26</v>
      </c>
      <c r="O389" s="98">
        <f t="shared" si="45"/>
        <v>0.61</v>
      </c>
      <c r="P389" s="98">
        <v>0.34620000000000001</v>
      </c>
      <c r="Q389" s="98">
        <v>0.69640000000000002</v>
      </c>
      <c r="R389" s="98">
        <v>0.6</v>
      </c>
      <c r="S389" s="98">
        <v>0.61</v>
      </c>
    </row>
    <row r="390" spans="1:19" s="60" customFormat="1">
      <c r="A390" s="59">
        <f t="shared" si="48"/>
        <v>49309</v>
      </c>
      <c r="B390" s="59">
        <f t="shared" si="47"/>
        <v>49673</v>
      </c>
      <c r="C390" s="102">
        <f t="shared" si="49"/>
        <v>0.26800000000000002</v>
      </c>
      <c r="D390" s="102">
        <f t="shared" si="49"/>
        <v>0.28599999999999998</v>
      </c>
      <c r="E390" s="102">
        <f t="shared" si="49"/>
        <v>6.6000000000000003E-2</v>
      </c>
      <c r="F390" s="102">
        <f t="shared" si="49"/>
        <v>2.5999999999999999E-2</v>
      </c>
      <c r="G390" s="104">
        <v>0.26800000000000002</v>
      </c>
      <c r="H390" s="104">
        <v>0.28599999999999998</v>
      </c>
      <c r="I390" s="103">
        <v>6.6000000000000003E-2</v>
      </c>
      <c r="J390" s="104">
        <v>2.5999999999999999E-2</v>
      </c>
      <c r="K390" s="54">
        <f>((8/3)*L386)+((4/3)*L398)</f>
        <v>39738</v>
      </c>
      <c r="L390" s="113"/>
      <c r="M390" s="98">
        <f t="shared" si="44"/>
        <v>0.6</v>
      </c>
      <c r="N390" s="98">
        <v>0.26</v>
      </c>
      <c r="O390" s="98">
        <f t="shared" si="45"/>
        <v>0.61</v>
      </c>
      <c r="P390" s="98">
        <v>0.34620000000000001</v>
      </c>
      <c r="Q390" s="98">
        <v>0.69640000000000002</v>
      </c>
      <c r="R390" s="98">
        <v>0.6</v>
      </c>
      <c r="S390" s="98">
        <v>0.61</v>
      </c>
    </row>
    <row r="391" spans="1:19" s="60" customFormat="1">
      <c r="A391" s="59">
        <f t="shared" si="48"/>
        <v>49340</v>
      </c>
      <c r="B391" s="59">
        <f t="shared" si="47"/>
        <v>49704</v>
      </c>
      <c r="C391" s="102">
        <f t="shared" si="49"/>
        <v>0.26800000000000002</v>
      </c>
      <c r="D391" s="102">
        <f t="shared" si="49"/>
        <v>0.28599999999999998</v>
      </c>
      <c r="E391" s="102">
        <f t="shared" si="49"/>
        <v>6.6000000000000003E-2</v>
      </c>
      <c r="F391" s="102">
        <f t="shared" si="49"/>
        <v>2.5999999999999999E-2</v>
      </c>
      <c r="G391" s="104">
        <v>0.26800000000000002</v>
      </c>
      <c r="H391" s="104">
        <v>0.28599999999999998</v>
      </c>
      <c r="I391" s="103">
        <v>6.6000000000000003E-2</v>
      </c>
      <c r="J391" s="104">
        <v>2.5999999999999999E-2</v>
      </c>
      <c r="K391" s="54">
        <f>((7/3)*L386)+((5/3)*L398)</f>
        <v>39901</v>
      </c>
      <c r="L391" s="113"/>
      <c r="M391" s="98">
        <f t="shared" si="44"/>
        <v>0.6</v>
      </c>
      <c r="N391" s="98">
        <v>0.26</v>
      </c>
      <c r="O391" s="98">
        <f t="shared" si="45"/>
        <v>0.61</v>
      </c>
      <c r="P391" s="98">
        <v>0.34620000000000001</v>
      </c>
      <c r="Q391" s="98">
        <v>0.69640000000000002</v>
      </c>
      <c r="R391" s="98">
        <v>0.6</v>
      </c>
      <c r="S391" s="98">
        <v>0.61</v>
      </c>
    </row>
    <row r="392" spans="1:19" s="60" customFormat="1">
      <c r="A392" s="59">
        <f t="shared" si="48"/>
        <v>49368</v>
      </c>
      <c r="B392" s="59">
        <f t="shared" si="47"/>
        <v>49733</v>
      </c>
      <c r="C392" s="102">
        <f t="shared" si="49"/>
        <v>0.26800000000000002</v>
      </c>
      <c r="D392" s="102">
        <f t="shared" si="49"/>
        <v>0.28599999999999998</v>
      </c>
      <c r="E392" s="102">
        <f t="shared" si="49"/>
        <v>6.6000000000000003E-2</v>
      </c>
      <c r="F392" s="102">
        <f t="shared" si="49"/>
        <v>2.5999999999999999E-2</v>
      </c>
      <c r="G392" s="104">
        <v>0.26800000000000002</v>
      </c>
      <c r="H392" s="104">
        <v>0.28599999999999998</v>
      </c>
      <c r="I392" s="103">
        <v>6.6000000000000003E-2</v>
      </c>
      <c r="J392" s="104">
        <v>2.5999999999999999E-2</v>
      </c>
      <c r="K392" s="54">
        <f>((6/3)*L386)+((6/3)*L398)</f>
        <v>40064</v>
      </c>
      <c r="L392" s="113"/>
      <c r="M392" s="98">
        <f t="shared" si="44"/>
        <v>0.6</v>
      </c>
      <c r="N392" s="98">
        <v>0.26</v>
      </c>
      <c r="O392" s="98">
        <f t="shared" si="45"/>
        <v>0.61</v>
      </c>
      <c r="P392" s="98">
        <v>0.34620000000000001</v>
      </c>
      <c r="Q392" s="98">
        <v>0.69640000000000002</v>
      </c>
      <c r="R392" s="98">
        <v>0.6</v>
      </c>
      <c r="S392" s="98">
        <v>0.61</v>
      </c>
    </row>
    <row r="393" spans="1:19" s="60" customFormat="1">
      <c r="A393" s="59">
        <f t="shared" si="48"/>
        <v>49399</v>
      </c>
      <c r="B393" s="59">
        <f t="shared" si="47"/>
        <v>49764</v>
      </c>
      <c r="C393" s="102">
        <f t="shared" si="49"/>
        <v>0.26800000000000002</v>
      </c>
      <c r="D393" s="102">
        <f t="shared" si="49"/>
        <v>0.28599999999999998</v>
      </c>
      <c r="E393" s="102">
        <f t="shared" si="49"/>
        <v>6.6000000000000003E-2</v>
      </c>
      <c r="F393" s="102">
        <f t="shared" si="49"/>
        <v>2.5999999999999999E-2</v>
      </c>
      <c r="G393" s="104">
        <v>0.26800000000000002</v>
      </c>
      <c r="H393" s="104">
        <v>0.28599999999999998</v>
      </c>
      <c r="I393" s="103">
        <v>6.6000000000000003E-2</v>
      </c>
      <c r="J393" s="104">
        <v>2.5999999999999999E-2</v>
      </c>
      <c r="K393" s="54">
        <f>((5/3)*L386)+((7/3)*L398)</f>
        <v>40227</v>
      </c>
      <c r="L393" s="113"/>
      <c r="M393" s="98">
        <f t="shared" si="44"/>
        <v>0.6</v>
      </c>
      <c r="N393" s="98">
        <v>0.26</v>
      </c>
      <c r="O393" s="98">
        <f t="shared" si="45"/>
        <v>0.61</v>
      </c>
      <c r="P393" s="98">
        <v>0.34620000000000001</v>
      </c>
      <c r="Q393" s="98">
        <v>0.69640000000000002</v>
      </c>
      <c r="R393" s="98">
        <v>0.6</v>
      </c>
      <c r="S393" s="98">
        <v>0.61</v>
      </c>
    </row>
    <row r="394" spans="1:19" s="60" customFormat="1">
      <c r="A394" s="59">
        <f t="shared" si="48"/>
        <v>49429</v>
      </c>
      <c r="B394" s="59">
        <f t="shared" si="47"/>
        <v>49794</v>
      </c>
      <c r="C394" s="102">
        <f t="shared" si="49"/>
        <v>0.26800000000000002</v>
      </c>
      <c r="D394" s="102">
        <f t="shared" si="49"/>
        <v>0.28599999999999998</v>
      </c>
      <c r="E394" s="102">
        <f t="shared" si="49"/>
        <v>6.6000000000000003E-2</v>
      </c>
      <c r="F394" s="102">
        <f t="shared" si="49"/>
        <v>2.5999999999999999E-2</v>
      </c>
      <c r="G394" s="104">
        <v>0.26800000000000002</v>
      </c>
      <c r="H394" s="104">
        <v>0.28599999999999998</v>
      </c>
      <c r="I394" s="103">
        <v>6.6000000000000003E-2</v>
      </c>
      <c r="J394" s="104">
        <v>2.5999999999999999E-2</v>
      </c>
      <c r="K394" s="54">
        <f>((4/3)*L386)+((8/3)*L398)</f>
        <v>40390</v>
      </c>
      <c r="L394" s="113"/>
      <c r="M394" s="98">
        <f t="shared" si="44"/>
        <v>0.6</v>
      </c>
      <c r="N394" s="98">
        <v>0.26</v>
      </c>
      <c r="O394" s="98">
        <f t="shared" si="45"/>
        <v>0.61</v>
      </c>
      <c r="P394" s="98">
        <v>0.34620000000000001</v>
      </c>
      <c r="Q394" s="98">
        <v>0.69640000000000002</v>
      </c>
      <c r="R394" s="98">
        <v>0.6</v>
      </c>
      <c r="S394" s="98">
        <v>0.61</v>
      </c>
    </row>
    <row r="395" spans="1:19" s="60" customFormat="1">
      <c r="A395" s="59">
        <f t="shared" si="48"/>
        <v>49460</v>
      </c>
      <c r="B395" s="59">
        <f t="shared" si="47"/>
        <v>49825</v>
      </c>
      <c r="C395" s="102">
        <f t="shared" si="49"/>
        <v>0.26800000000000002</v>
      </c>
      <c r="D395" s="102">
        <f t="shared" si="49"/>
        <v>0.28599999999999998</v>
      </c>
      <c r="E395" s="102">
        <f t="shared" si="49"/>
        <v>6.6000000000000003E-2</v>
      </c>
      <c r="F395" s="102">
        <f t="shared" si="49"/>
        <v>2.5999999999999999E-2</v>
      </c>
      <c r="G395" s="104">
        <v>0.26800000000000002</v>
      </c>
      <c r="H395" s="104">
        <v>0.28599999999999998</v>
      </c>
      <c r="I395" s="103">
        <v>6.6000000000000003E-2</v>
      </c>
      <c r="J395" s="104">
        <v>2.5999999999999999E-2</v>
      </c>
      <c r="K395" s="54">
        <f>((3/3)*L386)+((9/3)*L398)</f>
        <v>40553</v>
      </c>
      <c r="L395" s="113"/>
      <c r="M395" s="98">
        <f t="shared" si="44"/>
        <v>0.6</v>
      </c>
      <c r="N395" s="98">
        <v>0.26</v>
      </c>
      <c r="O395" s="98">
        <f t="shared" si="45"/>
        <v>0.61</v>
      </c>
      <c r="P395" s="98">
        <v>0.34620000000000001</v>
      </c>
      <c r="Q395" s="98">
        <v>0.69640000000000002</v>
      </c>
      <c r="R395" s="98">
        <v>0.6</v>
      </c>
      <c r="S395" s="98">
        <v>0.61</v>
      </c>
    </row>
    <row r="396" spans="1:19" s="60" customFormat="1">
      <c r="A396" s="59">
        <f t="shared" si="48"/>
        <v>49490</v>
      </c>
      <c r="B396" s="59">
        <f t="shared" si="47"/>
        <v>49855</v>
      </c>
      <c r="C396" s="102">
        <f t="shared" si="49"/>
        <v>0.26800000000000002</v>
      </c>
      <c r="D396" s="102">
        <f t="shared" si="49"/>
        <v>0.28599999999999998</v>
      </c>
      <c r="E396" s="102">
        <f t="shared" si="49"/>
        <v>6.6000000000000003E-2</v>
      </c>
      <c r="F396" s="102">
        <f t="shared" si="49"/>
        <v>2.5999999999999999E-2</v>
      </c>
      <c r="G396" s="104">
        <v>0.26800000000000002</v>
      </c>
      <c r="H396" s="104">
        <v>0.28599999999999998</v>
      </c>
      <c r="I396" s="103">
        <v>6.6000000000000003E-2</v>
      </c>
      <c r="J396" s="104">
        <v>2.5999999999999999E-2</v>
      </c>
      <c r="K396" s="54">
        <f>((2/3)*L386)+((10/3)*L398)</f>
        <v>40716</v>
      </c>
      <c r="L396" s="113"/>
      <c r="M396" s="98">
        <f t="shared" si="44"/>
        <v>0.6</v>
      </c>
      <c r="N396" s="98">
        <v>0.26</v>
      </c>
      <c r="O396" s="98">
        <f t="shared" si="45"/>
        <v>0.61</v>
      </c>
      <c r="P396" s="98">
        <v>0.34620000000000001</v>
      </c>
      <c r="Q396" s="98">
        <v>0.69640000000000002</v>
      </c>
      <c r="R396" s="98">
        <v>0.6</v>
      </c>
      <c r="S396" s="98">
        <v>0.61</v>
      </c>
    </row>
    <row r="397" spans="1:19" s="60" customFormat="1">
      <c r="A397" s="59">
        <f t="shared" si="48"/>
        <v>49521</v>
      </c>
      <c r="B397" s="59">
        <f t="shared" si="47"/>
        <v>49886</v>
      </c>
      <c r="C397" s="99">
        <f t="shared" si="49"/>
        <v>0.26800000000000002</v>
      </c>
      <c r="D397" s="99">
        <f t="shared" si="49"/>
        <v>0.28599999999999998</v>
      </c>
      <c r="E397" s="99">
        <f t="shared" si="49"/>
        <v>6.6000000000000003E-2</v>
      </c>
      <c r="F397" s="99">
        <f t="shared" si="49"/>
        <v>2.5999999999999999E-2</v>
      </c>
      <c r="G397" s="104">
        <v>0.26800000000000002</v>
      </c>
      <c r="H397" s="104">
        <v>0.28599999999999998</v>
      </c>
      <c r="I397" s="103">
        <v>6.6000000000000003E-2</v>
      </c>
      <c r="J397" s="104">
        <v>2.5999999999999999E-2</v>
      </c>
      <c r="K397" s="54">
        <f>((1/3)*L386)+((11/3)*L398)</f>
        <v>40878</v>
      </c>
      <c r="L397" s="113"/>
      <c r="M397" s="98">
        <f t="shared" si="44"/>
        <v>0.6</v>
      </c>
      <c r="N397" s="98">
        <v>0.26</v>
      </c>
      <c r="O397" s="98">
        <f t="shared" si="45"/>
        <v>0.61</v>
      </c>
      <c r="P397" s="98">
        <v>0.34620000000000001</v>
      </c>
      <c r="Q397" s="98">
        <v>0.69640000000000002</v>
      </c>
      <c r="R397" s="98">
        <v>0.6</v>
      </c>
      <c r="S397" s="98">
        <v>0.61</v>
      </c>
    </row>
    <row r="398" spans="1:19" s="96" customFormat="1">
      <c r="A398" s="95">
        <f t="shared" si="48"/>
        <v>49552</v>
      </c>
      <c r="B398" s="95">
        <f t="shared" si="47"/>
        <v>49917</v>
      </c>
      <c r="C398" s="105">
        <f t="shared" si="49"/>
        <v>0.26800000000000002</v>
      </c>
      <c r="D398" s="105">
        <f t="shared" si="49"/>
        <v>0.28599999999999998</v>
      </c>
      <c r="E398" s="105">
        <f t="shared" si="49"/>
        <v>6.6000000000000003E-2</v>
      </c>
      <c r="F398" s="105">
        <f t="shared" si="49"/>
        <v>2.5999999999999999E-2</v>
      </c>
      <c r="G398" s="107">
        <v>0.26800000000000002</v>
      </c>
      <c r="H398" s="107">
        <v>0.28599999999999998</v>
      </c>
      <c r="I398" s="106">
        <v>6.6000000000000003E-2</v>
      </c>
      <c r="J398" s="107">
        <v>2.5999999999999999E-2</v>
      </c>
      <c r="K398" s="94">
        <f>(L398*4)</f>
        <v>41041</v>
      </c>
      <c r="L398" s="114">
        <f>L386*1.05</f>
        <v>10260.33</v>
      </c>
      <c r="M398" s="421">
        <f t="shared" si="44"/>
        <v>0.6</v>
      </c>
      <c r="N398" s="421">
        <v>0.26</v>
      </c>
      <c r="O398" s="421">
        <f t="shared" si="45"/>
        <v>0.61</v>
      </c>
      <c r="P398" s="421">
        <v>0.34620000000000001</v>
      </c>
      <c r="Q398" s="421">
        <v>0.69640000000000002</v>
      </c>
      <c r="R398" s="421">
        <v>0.6</v>
      </c>
      <c r="S398" s="421">
        <v>0.61</v>
      </c>
    </row>
    <row r="399" spans="1:19" s="96" customFormat="1">
      <c r="A399" s="95">
        <f t="shared" si="48"/>
        <v>49582</v>
      </c>
      <c r="B399" s="95">
        <f t="shared" si="47"/>
        <v>49947</v>
      </c>
      <c r="C399" s="105">
        <f t="shared" si="49"/>
        <v>0.26800000000000002</v>
      </c>
      <c r="D399" s="105">
        <f t="shared" si="49"/>
        <v>0.28599999999999998</v>
      </c>
      <c r="E399" s="105">
        <f t="shared" si="49"/>
        <v>6.6000000000000003E-2</v>
      </c>
      <c r="F399" s="105">
        <f t="shared" si="49"/>
        <v>2.5999999999999999E-2</v>
      </c>
      <c r="G399" s="107">
        <v>0.26800000000000002</v>
      </c>
      <c r="H399" s="107">
        <v>0.28599999999999998</v>
      </c>
      <c r="I399" s="106">
        <v>6.6000000000000003E-2</v>
      </c>
      <c r="J399" s="107">
        <v>2.5999999999999999E-2</v>
      </c>
      <c r="K399" s="94">
        <f>((11/3)*L398)+((1/3)*L410)</f>
        <v>41212</v>
      </c>
      <c r="L399" s="114"/>
      <c r="M399" s="421">
        <f t="shared" si="44"/>
        <v>0.6</v>
      </c>
      <c r="N399" s="421">
        <v>0.26</v>
      </c>
      <c r="O399" s="421">
        <f t="shared" si="45"/>
        <v>0.61</v>
      </c>
      <c r="P399" s="421">
        <v>0.34620000000000001</v>
      </c>
      <c r="Q399" s="421">
        <v>0.69640000000000002</v>
      </c>
      <c r="R399" s="421">
        <v>0.6</v>
      </c>
      <c r="S399" s="421">
        <v>0.61</v>
      </c>
    </row>
    <row r="400" spans="1:19" s="96" customFormat="1">
      <c r="A400" s="95">
        <f t="shared" si="48"/>
        <v>49613</v>
      </c>
      <c r="B400" s="95">
        <f t="shared" si="47"/>
        <v>49978</v>
      </c>
      <c r="C400" s="105">
        <f t="shared" si="49"/>
        <v>0.26800000000000002</v>
      </c>
      <c r="D400" s="105">
        <f t="shared" si="49"/>
        <v>0.28599999999999998</v>
      </c>
      <c r="E400" s="105">
        <f t="shared" si="49"/>
        <v>6.6000000000000003E-2</v>
      </c>
      <c r="F400" s="105">
        <f t="shared" si="49"/>
        <v>2.5999999999999999E-2</v>
      </c>
      <c r="G400" s="107">
        <v>0.26800000000000002</v>
      </c>
      <c r="H400" s="107">
        <v>0.28599999999999998</v>
      </c>
      <c r="I400" s="106">
        <v>6.6000000000000003E-2</v>
      </c>
      <c r="J400" s="107">
        <v>2.5999999999999999E-2</v>
      </c>
      <c r="K400" s="94">
        <f>((10/3)*L398)+((2/3)*L410)</f>
        <v>41383</v>
      </c>
      <c r="L400" s="114"/>
      <c r="M400" s="421">
        <f t="shared" si="44"/>
        <v>0.6</v>
      </c>
      <c r="N400" s="421">
        <v>0.26</v>
      </c>
      <c r="O400" s="421">
        <f t="shared" si="45"/>
        <v>0.61</v>
      </c>
      <c r="P400" s="421">
        <v>0.34620000000000001</v>
      </c>
      <c r="Q400" s="421">
        <v>0.69640000000000002</v>
      </c>
      <c r="R400" s="421">
        <v>0.6</v>
      </c>
      <c r="S400" s="421">
        <v>0.61</v>
      </c>
    </row>
    <row r="401" spans="1:19" s="96" customFormat="1">
      <c r="A401" s="95">
        <f t="shared" si="48"/>
        <v>49643</v>
      </c>
      <c r="B401" s="95">
        <f t="shared" si="47"/>
        <v>50008</v>
      </c>
      <c r="C401" s="105">
        <f t="shared" si="49"/>
        <v>0.26800000000000002</v>
      </c>
      <c r="D401" s="105">
        <f t="shared" si="49"/>
        <v>0.28599999999999998</v>
      </c>
      <c r="E401" s="105">
        <f t="shared" si="49"/>
        <v>6.6000000000000003E-2</v>
      </c>
      <c r="F401" s="105">
        <f t="shared" si="49"/>
        <v>2.5999999999999999E-2</v>
      </c>
      <c r="G401" s="107">
        <v>0.26800000000000002</v>
      </c>
      <c r="H401" s="107">
        <v>0.28599999999999998</v>
      </c>
      <c r="I401" s="106">
        <v>6.6000000000000003E-2</v>
      </c>
      <c r="J401" s="107">
        <v>2.5999999999999999E-2</v>
      </c>
      <c r="K401" s="94">
        <f>((9/3)*L398)+((3/3)*L410)</f>
        <v>41554</v>
      </c>
      <c r="L401" s="114"/>
      <c r="M401" s="421">
        <f t="shared" si="44"/>
        <v>0.6</v>
      </c>
      <c r="N401" s="421">
        <v>0.26</v>
      </c>
      <c r="O401" s="421">
        <f t="shared" si="45"/>
        <v>0.61</v>
      </c>
      <c r="P401" s="421">
        <v>0.34620000000000001</v>
      </c>
      <c r="Q401" s="421">
        <v>0.69640000000000002</v>
      </c>
      <c r="R401" s="421">
        <v>0.6</v>
      </c>
      <c r="S401" s="421">
        <v>0.61</v>
      </c>
    </row>
    <row r="402" spans="1:19" s="96" customFormat="1">
      <c r="A402" s="95">
        <f t="shared" si="48"/>
        <v>49674</v>
      </c>
      <c r="B402" s="95">
        <f t="shared" si="47"/>
        <v>50039</v>
      </c>
      <c r="C402" s="105">
        <f t="shared" si="49"/>
        <v>0.26800000000000002</v>
      </c>
      <c r="D402" s="105">
        <f t="shared" si="49"/>
        <v>0.28599999999999998</v>
      </c>
      <c r="E402" s="105">
        <f t="shared" si="49"/>
        <v>6.6000000000000003E-2</v>
      </c>
      <c r="F402" s="105">
        <f t="shared" si="49"/>
        <v>2.5999999999999999E-2</v>
      </c>
      <c r="G402" s="107">
        <v>0.26800000000000002</v>
      </c>
      <c r="H402" s="107">
        <v>0.28599999999999998</v>
      </c>
      <c r="I402" s="106">
        <v>6.6000000000000003E-2</v>
      </c>
      <c r="J402" s="107">
        <v>2.5999999999999999E-2</v>
      </c>
      <c r="K402" s="94">
        <f>((8/3)*L398)+((4/3)*L410)</f>
        <v>41725</v>
      </c>
      <c r="L402" s="114"/>
      <c r="M402" s="421">
        <f t="shared" si="44"/>
        <v>0.6</v>
      </c>
      <c r="N402" s="421">
        <v>0.26</v>
      </c>
      <c r="O402" s="421">
        <f t="shared" si="45"/>
        <v>0.61</v>
      </c>
      <c r="P402" s="421">
        <v>0.34620000000000001</v>
      </c>
      <c r="Q402" s="421">
        <v>0.69640000000000002</v>
      </c>
      <c r="R402" s="421">
        <v>0.6</v>
      </c>
      <c r="S402" s="421">
        <v>0.61</v>
      </c>
    </row>
    <row r="403" spans="1:19" s="96" customFormat="1">
      <c r="A403" s="95">
        <f t="shared" si="48"/>
        <v>49705</v>
      </c>
      <c r="B403" s="95">
        <f t="shared" si="47"/>
        <v>50070</v>
      </c>
      <c r="C403" s="105">
        <f t="shared" ref="C403:F418" si="50">AVERAGE(G403:G414)</f>
        <v>0.26800000000000002</v>
      </c>
      <c r="D403" s="105">
        <f t="shared" si="50"/>
        <v>0.28599999999999998</v>
      </c>
      <c r="E403" s="105">
        <f t="shared" si="50"/>
        <v>6.6000000000000003E-2</v>
      </c>
      <c r="F403" s="105">
        <f t="shared" si="50"/>
        <v>2.5999999999999999E-2</v>
      </c>
      <c r="G403" s="107">
        <v>0.26800000000000002</v>
      </c>
      <c r="H403" s="107">
        <v>0.28599999999999998</v>
      </c>
      <c r="I403" s="106">
        <v>6.6000000000000003E-2</v>
      </c>
      <c r="J403" s="107">
        <v>2.5999999999999999E-2</v>
      </c>
      <c r="K403" s="94">
        <f>((7/3)*L398)+((5/3)*L410)</f>
        <v>41896</v>
      </c>
      <c r="L403" s="114"/>
      <c r="M403" s="421">
        <f t="shared" si="44"/>
        <v>0.6</v>
      </c>
      <c r="N403" s="421">
        <v>0.26</v>
      </c>
      <c r="O403" s="421">
        <f t="shared" si="45"/>
        <v>0.61</v>
      </c>
      <c r="P403" s="421">
        <v>0.34620000000000001</v>
      </c>
      <c r="Q403" s="421">
        <v>0.69640000000000002</v>
      </c>
      <c r="R403" s="421">
        <v>0.6</v>
      </c>
      <c r="S403" s="421">
        <v>0.61</v>
      </c>
    </row>
    <row r="404" spans="1:19" s="96" customFormat="1">
      <c r="A404" s="95">
        <f t="shared" si="48"/>
        <v>49734</v>
      </c>
      <c r="B404" s="95">
        <f t="shared" si="47"/>
        <v>50098</v>
      </c>
      <c r="C404" s="105">
        <f t="shared" si="50"/>
        <v>0.26800000000000002</v>
      </c>
      <c r="D404" s="105">
        <f t="shared" si="50"/>
        <v>0.28599999999999998</v>
      </c>
      <c r="E404" s="105">
        <f t="shared" si="50"/>
        <v>6.6000000000000003E-2</v>
      </c>
      <c r="F404" s="105">
        <f t="shared" si="50"/>
        <v>2.5999999999999999E-2</v>
      </c>
      <c r="G404" s="107">
        <v>0.26800000000000002</v>
      </c>
      <c r="H404" s="107">
        <v>0.28599999999999998</v>
      </c>
      <c r="I404" s="106">
        <v>6.6000000000000003E-2</v>
      </c>
      <c r="J404" s="107">
        <v>2.5999999999999999E-2</v>
      </c>
      <c r="K404" s="94">
        <f>((6/3)*L398)+((6/3)*L410)</f>
        <v>42067</v>
      </c>
      <c r="L404" s="114"/>
      <c r="M404" s="421">
        <f t="shared" si="44"/>
        <v>0.6</v>
      </c>
      <c r="N404" s="421">
        <v>0.26</v>
      </c>
      <c r="O404" s="421">
        <f t="shared" si="45"/>
        <v>0.61</v>
      </c>
      <c r="P404" s="421">
        <v>0.34620000000000001</v>
      </c>
      <c r="Q404" s="421">
        <v>0.69640000000000002</v>
      </c>
      <c r="R404" s="421">
        <v>0.6</v>
      </c>
      <c r="S404" s="421">
        <v>0.61</v>
      </c>
    </row>
    <row r="405" spans="1:19" s="96" customFormat="1">
      <c r="A405" s="95">
        <f t="shared" si="48"/>
        <v>49765</v>
      </c>
      <c r="B405" s="95">
        <f t="shared" si="47"/>
        <v>50129</v>
      </c>
      <c r="C405" s="105">
        <f t="shared" si="50"/>
        <v>0.26800000000000002</v>
      </c>
      <c r="D405" s="105">
        <f t="shared" si="50"/>
        <v>0.28599999999999998</v>
      </c>
      <c r="E405" s="105">
        <f t="shared" si="50"/>
        <v>6.6000000000000003E-2</v>
      </c>
      <c r="F405" s="105">
        <f t="shared" si="50"/>
        <v>2.5999999999999999E-2</v>
      </c>
      <c r="G405" s="107">
        <v>0.26800000000000002</v>
      </c>
      <c r="H405" s="107">
        <v>0.28599999999999998</v>
      </c>
      <c r="I405" s="106">
        <v>6.6000000000000003E-2</v>
      </c>
      <c r="J405" s="107">
        <v>2.5999999999999999E-2</v>
      </c>
      <c r="K405" s="94">
        <f>((5/3)*L398)+((7/3)*L410)</f>
        <v>42238</v>
      </c>
      <c r="L405" s="114"/>
      <c r="M405" s="421">
        <f t="shared" si="44"/>
        <v>0.6</v>
      </c>
      <c r="N405" s="421">
        <v>0.26</v>
      </c>
      <c r="O405" s="421">
        <f t="shared" si="45"/>
        <v>0.61</v>
      </c>
      <c r="P405" s="421">
        <v>0.34620000000000001</v>
      </c>
      <c r="Q405" s="421">
        <v>0.69640000000000002</v>
      </c>
      <c r="R405" s="421">
        <v>0.6</v>
      </c>
      <c r="S405" s="421">
        <v>0.61</v>
      </c>
    </row>
    <row r="406" spans="1:19" s="96" customFormat="1">
      <c r="A406" s="95">
        <f t="shared" si="48"/>
        <v>49795</v>
      </c>
      <c r="B406" s="95">
        <f t="shared" si="47"/>
        <v>50159</v>
      </c>
      <c r="C406" s="105">
        <f t="shared" si="50"/>
        <v>0.26800000000000002</v>
      </c>
      <c r="D406" s="105">
        <f t="shared" si="50"/>
        <v>0.28599999999999998</v>
      </c>
      <c r="E406" s="105">
        <f t="shared" si="50"/>
        <v>6.6000000000000003E-2</v>
      </c>
      <c r="F406" s="105">
        <f t="shared" si="50"/>
        <v>2.5999999999999999E-2</v>
      </c>
      <c r="G406" s="107">
        <v>0.26800000000000002</v>
      </c>
      <c r="H406" s="107">
        <v>0.28599999999999998</v>
      </c>
      <c r="I406" s="106">
        <v>6.6000000000000003E-2</v>
      </c>
      <c r="J406" s="107">
        <v>2.5999999999999999E-2</v>
      </c>
      <c r="K406" s="94">
        <f>((4/3)*L398)+((8/3)*L410)</f>
        <v>42409</v>
      </c>
      <c r="L406" s="114"/>
      <c r="M406" s="421">
        <f t="shared" si="44"/>
        <v>0.6</v>
      </c>
      <c r="N406" s="421">
        <v>0.26</v>
      </c>
      <c r="O406" s="421">
        <f t="shared" si="45"/>
        <v>0.61</v>
      </c>
      <c r="P406" s="421">
        <v>0.34620000000000001</v>
      </c>
      <c r="Q406" s="421">
        <v>0.69640000000000002</v>
      </c>
      <c r="R406" s="421">
        <v>0.6</v>
      </c>
      <c r="S406" s="421">
        <v>0.61</v>
      </c>
    </row>
    <row r="407" spans="1:19" s="96" customFormat="1">
      <c r="A407" s="95">
        <f t="shared" si="48"/>
        <v>49826</v>
      </c>
      <c r="B407" s="95">
        <f t="shared" si="47"/>
        <v>50190</v>
      </c>
      <c r="C407" s="105">
        <f t="shared" si="50"/>
        <v>0.26800000000000002</v>
      </c>
      <c r="D407" s="105">
        <f t="shared" si="50"/>
        <v>0.28599999999999998</v>
      </c>
      <c r="E407" s="105">
        <f t="shared" si="50"/>
        <v>6.6000000000000003E-2</v>
      </c>
      <c r="F407" s="105">
        <f t="shared" si="50"/>
        <v>2.5999999999999999E-2</v>
      </c>
      <c r="G407" s="107">
        <v>0.26800000000000002</v>
      </c>
      <c r="H407" s="107">
        <v>0.28599999999999998</v>
      </c>
      <c r="I407" s="106">
        <v>6.6000000000000003E-2</v>
      </c>
      <c r="J407" s="107">
        <v>2.5999999999999999E-2</v>
      </c>
      <c r="K407" s="94">
        <f>((3/3)*L398)+((9/3)*L410)</f>
        <v>42580</v>
      </c>
      <c r="L407" s="114"/>
      <c r="M407" s="421">
        <f t="shared" si="44"/>
        <v>0.6</v>
      </c>
      <c r="N407" s="421">
        <v>0.26</v>
      </c>
      <c r="O407" s="421">
        <f t="shared" si="45"/>
        <v>0.61</v>
      </c>
      <c r="P407" s="421">
        <v>0.34620000000000001</v>
      </c>
      <c r="Q407" s="421">
        <v>0.69640000000000002</v>
      </c>
      <c r="R407" s="421">
        <v>0.6</v>
      </c>
      <c r="S407" s="421">
        <v>0.61</v>
      </c>
    </row>
    <row r="408" spans="1:19" s="96" customFormat="1">
      <c r="A408" s="95">
        <f t="shared" si="48"/>
        <v>49856</v>
      </c>
      <c r="B408" s="95">
        <f t="shared" si="47"/>
        <v>50220</v>
      </c>
      <c r="C408" s="105">
        <f t="shared" si="50"/>
        <v>0.26800000000000002</v>
      </c>
      <c r="D408" s="105">
        <f t="shared" si="50"/>
        <v>0.28599999999999998</v>
      </c>
      <c r="E408" s="105">
        <f t="shared" si="50"/>
        <v>6.6000000000000003E-2</v>
      </c>
      <c r="F408" s="105">
        <f t="shared" si="50"/>
        <v>2.5999999999999999E-2</v>
      </c>
      <c r="G408" s="107">
        <v>0.26800000000000002</v>
      </c>
      <c r="H408" s="107">
        <v>0.28599999999999998</v>
      </c>
      <c r="I408" s="106">
        <v>6.6000000000000003E-2</v>
      </c>
      <c r="J408" s="107">
        <v>2.5999999999999999E-2</v>
      </c>
      <c r="K408" s="94">
        <f>((2/3)*L398)+((10/3)*L410)</f>
        <v>42751</v>
      </c>
      <c r="L408" s="114"/>
      <c r="M408" s="421">
        <f t="shared" si="44"/>
        <v>0.6</v>
      </c>
      <c r="N408" s="421">
        <v>0.26</v>
      </c>
      <c r="O408" s="421">
        <f t="shared" si="45"/>
        <v>0.61</v>
      </c>
      <c r="P408" s="421">
        <v>0.34620000000000001</v>
      </c>
      <c r="Q408" s="421">
        <v>0.69640000000000002</v>
      </c>
      <c r="R408" s="421">
        <v>0.6</v>
      </c>
      <c r="S408" s="421">
        <v>0.61</v>
      </c>
    </row>
    <row r="409" spans="1:19" s="96" customFormat="1">
      <c r="A409" s="95">
        <f t="shared" si="48"/>
        <v>49887</v>
      </c>
      <c r="B409" s="95">
        <f t="shared" si="47"/>
        <v>50251</v>
      </c>
      <c r="C409" s="105">
        <f t="shared" si="50"/>
        <v>0.26800000000000002</v>
      </c>
      <c r="D409" s="105">
        <f t="shared" si="50"/>
        <v>0.28599999999999998</v>
      </c>
      <c r="E409" s="105">
        <f t="shared" si="50"/>
        <v>6.6000000000000003E-2</v>
      </c>
      <c r="F409" s="105">
        <f t="shared" si="50"/>
        <v>2.5999999999999999E-2</v>
      </c>
      <c r="G409" s="107">
        <v>0.26800000000000002</v>
      </c>
      <c r="H409" s="107">
        <v>0.28599999999999998</v>
      </c>
      <c r="I409" s="106">
        <v>6.6000000000000003E-2</v>
      </c>
      <c r="J409" s="107">
        <v>2.5999999999999999E-2</v>
      </c>
      <c r="K409" s="94">
        <f>((1/3)*L398)+((11/3)*L410)</f>
        <v>42922</v>
      </c>
      <c r="L409" s="114"/>
      <c r="M409" s="421">
        <f t="shared" si="44"/>
        <v>0.6</v>
      </c>
      <c r="N409" s="421">
        <v>0.26</v>
      </c>
      <c r="O409" s="421">
        <f t="shared" si="45"/>
        <v>0.61</v>
      </c>
      <c r="P409" s="421">
        <v>0.34620000000000001</v>
      </c>
      <c r="Q409" s="421">
        <v>0.69640000000000002</v>
      </c>
      <c r="R409" s="421">
        <v>0.6</v>
      </c>
      <c r="S409" s="421">
        <v>0.61</v>
      </c>
    </row>
    <row r="410" spans="1:19" s="60" customFormat="1">
      <c r="A410" s="59">
        <f t="shared" si="48"/>
        <v>49918</v>
      </c>
      <c r="B410" s="59">
        <f t="shared" si="47"/>
        <v>50282</v>
      </c>
      <c r="C410" s="102">
        <f t="shared" si="50"/>
        <v>0.26800000000000002</v>
      </c>
      <c r="D410" s="102">
        <f t="shared" si="50"/>
        <v>0.28599999999999998</v>
      </c>
      <c r="E410" s="102">
        <f t="shared" si="50"/>
        <v>6.6000000000000003E-2</v>
      </c>
      <c r="F410" s="102">
        <f t="shared" si="50"/>
        <v>2.5999999999999999E-2</v>
      </c>
      <c r="G410" s="104">
        <v>0.26800000000000002</v>
      </c>
      <c r="H410" s="104">
        <v>0.28599999999999998</v>
      </c>
      <c r="I410" s="103">
        <v>6.6000000000000003E-2</v>
      </c>
      <c r="J410" s="104">
        <v>2.5999999999999999E-2</v>
      </c>
      <c r="K410" s="54">
        <f>(L410*4)</f>
        <v>43093</v>
      </c>
      <c r="L410" s="113">
        <f>L398*1.05</f>
        <v>10773.35</v>
      </c>
      <c r="M410" s="98">
        <f t="shared" si="44"/>
        <v>0.6</v>
      </c>
      <c r="N410" s="98">
        <v>0.26</v>
      </c>
      <c r="O410" s="98">
        <f t="shared" si="45"/>
        <v>0.61</v>
      </c>
      <c r="P410" s="98">
        <v>0.34620000000000001</v>
      </c>
      <c r="Q410" s="98">
        <v>0.69640000000000002</v>
      </c>
      <c r="R410" s="98">
        <v>0.6</v>
      </c>
      <c r="S410" s="98">
        <v>0.61</v>
      </c>
    </row>
    <row r="411" spans="1:19" s="60" customFormat="1">
      <c r="A411" s="59">
        <f t="shared" si="48"/>
        <v>49948</v>
      </c>
      <c r="B411" s="59">
        <f t="shared" si="47"/>
        <v>50312</v>
      </c>
      <c r="C411" s="102">
        <f t="shared" si="50"/>
        <v>0.26800000000000002</v>
      </c>
      <c r="D411" s="102">
        <f t="shared" si="50"/>
        <v>0.28599999999999998</v>
      </c>
      <c r="E411" s="102">
        <f t="shared" si="50"/>
        <v>6.6000000000000003E-2</v>
      </c>
      <c r="F411" s="102">
        <f t="shared" si="50"/>
        <v>2.5999999999999999E-2</v>
      </c>
      <c r="G411" s="104">
        <v>0.26800000000000002</v>
      </c>
      <c r="H411" s="104">
        <v>0.28599999999999998</v>
      </c>
      <c r="I411" s="103">
        <v>6.6000000000000003E-2</v>
      </c>
      <c r="J411" s="104">
        <v>2.5999999999999999E-2</v>
      </c>
      <c r="K411" s="54">
        <f>((11/3)*L410)+((1/3)*L422)</f>
        <v>43273</v>
      </c>
      <c r="L411" s="113"/>
      <c r="M411" s="98">
        <f t="shared" si="44"/>
        <v>0.6</v>
      </c>
      <c r="N411" s="98">
        <v>0.26</v>
      </c>
      <c r="O411" s="98">
        <f t="shared" si="45"/>
        <v>0.61</v>
      </c>
      <c r="P411" s="98">
        <v>0.34620000000000001</v>
      </c>
      <c r="Q411" s="98">
        <v>0.69640000000000002</v>
      </c>
      <c r="R411" s="98">
        <v>0.6</v>
      </c>
      <c r="S411" s="98">
        <v>0.61</v>
      </c>
    </row>
    <row r="412" spans="1:19" s="60" customFormat="1">
      <c r="A412" s="59">
        <f t="shared" si="48"/>
        <v>49979</v>
      </c>
      <c r="B412" s="59">
        <f t="shared" si="47"/>
        <v>50343</v>
      </c>
      <c r="C412" s="102">
        <f t="shared" si="50"/>
        <v>0.26800000000000002</v>
      </c>
      <c r="D412" s="102">
        <f t="shared" si="50"/>
        <v>0.28599999999999998</v>
      </c>
      <c r="E412" s="102">
        <f t="shared" si="50"/>
        <v>6.6000000000000003E-2</v>
      </c>
      <c r="F412" s="102">
        <f t="shared" si="50"/>
        <v>2.5999999999999999E-2</v>
      </c>
      <c r="G412" s="104">
        <v>0.26800000000000002</v>
      </c>
      <c r="H412" s="104">
        <v>0.28599999999999998</v>
      </c>
      <c r="I412" s="103">
        <v>6.6000000000000003E-2</v>
      </c>
      <c r="J412" s="104">
        <v>2.5999999999999999E-2</v>
      </c>
      <c r="K412" s="54">
        <f>((10/3)*L410)+((2/3)*L422)</f>
        <v>43453</v>
      </c>
      <c r="L412" s="113"/>
      <c r="M412" s="98">
        <f t="shared" si="44"/>
        <v>0.6</v>
      </c>
      <c r="N412" s="98">
        <v>0.26</v>
      </c>
      <c r="O412" s="98">
        <f t="shared" si="45"/>
        <v>0.61</v>
      </c>
      <c r="P412" s="98">
        <v>0.34620000000000001</v>
      </c>
      <c r="Q412" s="98">
        <v>0.69640000000000002</v>
      </c>
      <c r="R412" s="98">
        <v>0.6</v>
      </c>
      <c r="S412" s="98">
        <v>0.61</v>
      </c>
    </row>
    <row r="413" spans="1:19" s="60" customFormat="1">
      <c r="A413" s="59">
        <f t="shared" si="48"/>
        <v>50009</v>
      </c>
      <c r="B413" s="59">
        <f t="shared" si="47"/>
        <v>50373</v>
      </c>
      <c r="C413" s="102">
        <f t="shared" si="50"/>
        <v>0.26800000000000002</v>
      </c>
      <c r="D413" s="102">
        <f t="shared" si="50"/>
        <v>0.28599999999999998</v>
      </c>
      <c r="E413" s="102">
        <f t="shared" si="50"/>
        <v>6.6000000000000003E-2</v>
      </c>
      <c r="F413" s="102">
        <f t="shared" si="50"/>
        <v>2.5999999999999999E-2</v>
      </c>
      <c r="G413" s="104">
        <v>0.26800000000000002</v>
      </c>
      <c r="H413" s="104">
        <v>0.28599999999999998</v>
      </c>
      <c r="I413" s="103">
        <v>6.6000000000000003E-2</v>
      </c>
      <c r="J413" s="104">
        <v>2.5999999999999999E-2</v>
      </c>
      <c r="K413" s="54">
        <f>((9/3)*L410)+((3/3)*L422)</f>
        <v>43632</v>
      </c>
      <c r="L413" s="113"/>
      <c r="M413" s="98">
        <f t="shared" si="44"/>
        <v>0.6</v>
      </c>
      <c r="N413" s="98">
        <v>0.26</v>
      </c>
      <c r="O413" s="98">
        <f t="shared" si="45"/>
        <v>0.61</v>
      </c>
      <c r="P413" s="98">
        <v>0.34620000000000001</v>
      </c>
      <c r="Q413" s="98">
        <v>0.69640000000000002</v>
      </c>
      <c r="R413" s="98">
        <v>0.6</v>
      </c>
      <c r="S413" s="98">
        <v>0.61</v>
      </c>
    </row>
    <row r="414" spans="1:19" s="60" customFormat="1">
      <c r="A414" s="59">
        <f t="shared" si="48"/>
        <v>50040</v>
      </c>
      <c r="B414" s="59">
        <f t="shared" si="47"/>
        <v>50404</v>
      </c>
      <c r="C414" s="102">
        <f t="shared" si="50"/>
        <v>0.26800000000000002</v>
      </c>
      <c r="D414" s="102">
        <f t="shared" si="50"/>
        <v>0.28599999999999998</v>
      </c>
      <c r="E414" s="102">
        <f t="shared" si="50"/>
        <v>6.6000000000000003E-2</v>
      </c>
      <c r="F414" s="102">
        <f t="shared" si="50"/>
        <v>2.5999999999999999E-2</v>
      </c>
      <c r="G414" s="104">
        <v>0.26800000000000002</v>
      </c>
      <c r="H414" s="104">
        <v>0.28599999999999998</v>
      </c>
      <c r="I414" s="103">
        <v>6.6000000000000003E-2</v>
      </c>
      <c r="J414" s="104">
        <v>2.5999999999999999E-2</v>
      </c>
      <c r="K414" s="54">
        <f>((8/3)*L410)+((4/3)*L422)</f>
        <v>43812</v>
      </c>
      <c r="L414" s="113"/>
      <c r="M414" s="98">
        <f t="shared" si="44"/>
        <v>0.6</v>
      </c>
      <c r="N414" s="98">
        <v>0.26</v>
      </c>
      <c r="O414" s="98">
        <f t="shared" si="45"/>
        <v>0.61</v>
      </c>
      <c r="P414" s="98">
        <v>0.34620000000000001</v>
      </c>
      <c r="Q414" s="98">
        <v>0.69640000000000002</v>
      </c>
      <c r="R414" s="98">
        <v>0.6</v>
      </c>
      <c r="S414" s="98">
        <v>0.61</v>
      </c>
    </row>
    <row r="415" spans="1:19" s="60" customFormat="1">
      <c r="A415" s="59">
        <f t="shared" si="48"/>
        <v>50071</v>
      </c>
      <c r="B415" s="59">
        <f t="shared" si="47"/>
        <v>50435</v>
      </c>
      <c r="C415" s="102">
        <f t="shared" si="50"/>
        <v>0.26800000000000002</v>
      </c>
      <c r="D415" s="102">
        <f t="shared" si="50"/>
        <v>0.28599999999999998</v>
      </c>
      <c r="E415" s="102">
        <f t="shared" si="50"/>
        <v>6.6000000000000003E-2</v>
      </c>
      <c r="F415" s="102">
        <f t="shared" si="50"/>
        <v>2.5999999999999999E-2</v>
      </c>
      <c r="G415" s="104">
        <v>0.26800000000000002</v>
      </c>
      <c r="H415" s="104">
        <v>0.28599999999999998</v>
      </c>
      <c r="I415" s="103">
        <v>6.6000000000000003E-2</v>
      </c>
      <c r="J415" s="104">
        <v>2.5999999999999999E-2</v>
      </c>
      <c r="K415" s="54">
        <f>((7/3)*L410)+((5/3)*L422)</f>
        <v>43991</v>
      </c>
      <c r="L415" s="113"/>
      <c r="M415" s="98">
        <f t="shared" si="44"/>
        <v>0.6</v>
      </c>
      <c r="N415" s="98">
        <v>0.26</v>
      </c>
      <c r="O415" s="98">
        <f t="shared" si="45"/>
        <v>0.61</v>
      </c>
      <c r="P415" s="98">
        <v>0.34620000000000001</v>
      </c>
      <c r="Q415" s="98">
        <v>0.69640000000000002</v>
      </c>
      <c r="R415" s="98">
        <v>0.6</v>
      </c>
      <c r="S415" s="98">
        <v>0.61</v>
      </c>
    </row>
    <row r="416" spans="1:19" s="60" customFormat="1">
      <c r="A416" s="59">
        <f t="shared" si="48"/>
        <v>50099</v>
      </c>
      <c r="B416" s="59">
        <f t="shared" si="47"/>
        <v>50463</v>
      </c>
      <c r="C416" s="102">
        <f t="shared" si="50"/>
        <v>0.26800000000000002</v>
      </c>
      <c r="D416" s="102">
        <f t="shared" si="50"/>
        <v>0.28599999999999998</v>
      </c>
      <c r="E416" s="102">
        <f t="shared" si="50"/>
        <v>6.6000000000000003E-2</v>
      </c>
      <c r="F416" s="102">
        <f t="shared" si="50"/>
        <v>2.5999999999999999E-2</v>
      </c>
      <c r="G416" s="104">
        <v>0.26800000000000002</v>
      </c>
      <c r="H416" s="104">
        <v>0.28599999999999998</v>
      </c>
      <c r="I416" s="103">
        <v>6.6000000000000003E-2</v>
      </c>
      <c r="J416" s="104">
        <v>2.5999999999999999E-2</v>
      </c>
      <c r="K416" s="54">
        <f>((6/3)*L410)+((6/3)*L422)</f>
        <v>44171</v>
      </c>
      <c r="L416" s="113"/>
      <c r="M416" s="98">
        <f t="shared" si="44"/>
        <v>0.6</v>
      </c>
      <c r="N416" s="98">
        <v>0.26</v>
      </c>
      <c r="O416" s="98">
        <f t="shared" si="45"/>
        <v>0.61</v>
      </c>
      <c r="P416" s="98">
        <v>0.34620000000000001</v>
      </c>
      <c r="Q416" s="98">
        <v>0.69640000000000002</v>
      </c>
      <c r="R416" s="98">
        <v>0.6</v>
      </c>
      <c r="S416" s="98">
        <v>0.61</v>
      </c>
    </row>
    <row r="417" spans="1:19" s="60" customFormat="1">
      <c r="A417" s="59">
        <f t="shared" si="48"/>
        <v>50130</v>
      </c>
      <c r="B417" s="59">
        <f t="shared" si="47"/>
        <v>50494</v>
      </c>
      <c r="C417" s="102">
        <f t="shared" si="50"/>
        <v>0.26800000000000002</v>
      </c>
      <c r="D417" s="102">
        <f t="shared" si="50"/>
        <v>0.28599999999999998</v>
      </c>
      <c r="E417" s="102">
        <f t="shared" si="50"/>
        <v>6.6000000000000003E-2</v>
      </c>
      <c r="F417" s="102">
        <f t="shared" si="50"/>
        <v>2.5999999999999999E-2</v>
      </c>
      <c r="G417" s="104">
        <v>0.26800000000000002</v>
      </c>
      <c r="H417" s="104">
        <v>0.28599999999999998</v>
      </c>
      <c r="I417" s="103">
        <v>6.6000000000000003E-2</v>
      </c>
      <c r="J417" s="104">
        <v>2.5999999999999999E-2</v>
      </c>
      <c r="K417" s="54">
        <f>((5/3)*L410)+((7/3)*L422)</f>
        <v>44350</v>
      </c>
      <c r="L417" s="113"/>
      <c r="M417" s="98">
        <f t="shared" si="44"/>
        <v>0.6</v>
      </c>
      <c r="N417" s="98">
        <v>0.26</v>
      </c>
      <c r="O417" s="98">
        <f t="shared" si="45"/>
        <v>0.61</v>
      </c>
      <c r="P417" s="98">
        <v>0.34620000000000001</v>
      </c>
      <c r="Q417" s="98">
        <v>0.69640000000000002</v>
      </c>
      <c r="R417" s="98">
        <v>0.6</v>
      </c>
      <c r="S417" s="98">
        <v>0.61</v>
      </c>
    </row>
    <row r="418" spans="1:19" s="60" customFormat="1">
      <c r="A418" s="59">
        <f t="shared" si="48"/>
        <v>50160</v>
      </c>
      <c r="B418" s="59">
        <f t="shared" si="47"/>
        <v>50524</v>
      </c>
      <c r="C418" s="102">
        <f t="shared" si="50"/>
        <v>0.26800000000000002</v>
      </c>
      <c r="D418" s="102">
        <f t="shared" si="50"/>
        <v>0.28599999999999998</v>
      </c>
      <c r="E418" s="102">
        <f t="shared" si="50"/>
        <v>6.6000000000000003E-2</v>
      </c>
      <c r="F418" s="102">
        <f t="shared" si="50"/>
        <v>2.5999999999999999E-2</v>
      </c>
      <c r="G418" s="104">
        <v>0.26800000000000002</v>
      </c>
      <c r="H418" s="104">
        <v>0.28599999999999998</v>
      </c>
      <c r="I418" s="103">
        <v>6.6000000000000003E-2</v>
      </c>
      <c r="J418" s="104">
        <v>2.5999999999999999E-2</v>
      </c>
      <c r="K418" s="54">
        <f>((4/3)*L410)+((8/3)*L422)</f>
        <v>44530</v>
      </c>
      <c r="L418" s="113"/>
      <c r="M418" s="98">
        <f t="shared" si="44"/>
        <v>0.6</v>
      </c>
      <c r="N418" s="98">
        <v>0.26</v>
      </c>
      <c r="O418" s="98">
        <f t="shared" si="45"/>
        <v>0.61</v>
      </c>
      <c r="P418" s="98">
        <v>0.34620000000000001</v>
      </c>
      <c r="Q418" s="98">
        <v>0.69640000000000002</v>
      </c>
      <c r="R418" s="98">
        <v>0.6</v>
      </c>
      <c r="S418" s="98">
        <v>0.61</v>
      </c>
    </row>
    <row r="419" spans="1:19" s="60" customFormat="1">
      <c r="A419" s="59">
        <f t="shared" si="48"/>
        <v>50191</v>
      </c>
      <c r="B419" s="59">
        <f t="shared" si="47"/>
        <v>50555</v>
      </c>
      <c r="C419" s="102">
        <f t="shared" ref="C419:F434" si="51">AVERAGE(G419:G430)</f>
        <v>0.26800000000000002</v>
      </c>
      <c r="D419" s="102">
        <f t="shared" si="51"/>
        <v>0.28599999999999998</v>
      </c>
      <c r="E419" s="102">
        <f t="shared" si="51"/>
        <v>6.6000000000000003E-2</v>
      </c>
      <c r="F419" s="102">
        <f t="shared" si="51"/>
        <v>2.5999999999999999E-2</v>
      </c>
      <c r="G419" s="104">
        <v>0.26800000000000002</v>
      </c>
      <c r="H419" s="104">
        <v>0.28599999999999998</v>
      </c>
      <c r="I419" s="103">
        <v>6.6000000000000003E-2</v>
      </c>
      <c r="J419" s="104">
        <v>2.5999999999999999E-2</v>
      </c>
      <c r="K419" s="54">
        <f>((3/3)*L410)+((9/3)*L422)</f>
        <v>44709</v>
      </c>
      <c r="L419" s="113"/>
      <c r="M419" s="98">
        <f t="shared" si="44"/>
        <v>0.6</v>
      </c>
      <c r="N419" s="98">
        <v>0.26</v>
      </c>
      <c r="O419" s="98">
        <f t="shared" si="45"/>
        <v>0.61</v>
      </c>
      <c r="P419" s="98">
        <v>0.34620000000000001</v>
      </c>
      <c r="Q419" s="98">
        <v>0.69640000000000002</v>
      </c>
      <c r="R419" s="98">
        <v>0.6</v>
      </c>
      <c r="S419" s="98">
        <v>0.61</v>
      </c>
    </row>
    <row r="420" spans="1:19" s="60" customFormat="1">
      <c r="A420" s="59">
        <f t="shared" si="48"/>
        <v>50221</v>
      </c>
      <c r="B420" s="59">
        <f t="shared" si="47"/>
        <v>50585</v>
      </c>
      <c r="C420" s="102">
        <f t="shared" si="51"/>
        <v>0.26800000000000002</v>
      </c>
      <c r="D420" s="102">
        <f t="shared" si="51"/>
        <v>0.28599999999999998</v>
      </c>
      <c r="E420" s="102">
        <f t="shared" si="51"/>
        <v>6.6000000000000003E-2</v>
      </c>
      <c r="F420" s="102">
        <f t="shared" si="51"/>
        <v>2.5999999999999999E-2</v>
      </c>
      <c r="G420" s="104">
        <v>0.26800000000000002</v>
      </c>
      <c r="H420" s="104">
        <v>0.28599999999999998</v>
      </c>
      <c r="I420" s="103">
        <v>6.6000000000000003E-2</v>
      </c>
      <c r="J420" s="104">
        <v>2.5999999999999999E-2</v>
      </c>
      <c r="K420" s="54">
        <f>((2/3)*L410)+((10/3)*L422)</f>
        <v>44889</v>
      </c>
      <c r="L420" s="113"/>
      <c r="M420" s="98">
        <f t="shared" si="44"/>
        <v>0.6</v>
      </c>
      <c r="N420" s="98">
        <v>0.26</v>
      </c>
      <c r="O420" s="98">
        <f t="shared" si="45"/>
        <v>0.61</v>
      </c>
      <c r="P420" s="98">
        <v>0.34620000000000001</v>
      </c>
      <c r="Q420" s="98">
        <v>0.69640000000000002</v>
      </c>
      <c r="R420" s="98">
        <v>0.6</v>
      </c>
      <c r="S420" s="98">
        <v>0.61</v>
      </c>
    </row>
    <row r="421" spans="1:19" s="60" customFormat="1">
      <c r="A421" s="59">
        <f t="shared" si="48"/>
        <v>50252</v>
      </c>
      <c r="B421" s="59">
        <f t="shared" si="47"/>
        <v>50616</v>
      </c>
      <c r="C421" s="99">
        <f t="shared" si="51"/>
        <v>0.26800000000000002</v>
      </c>
      <c r="D421" s="99">
        <f t="shared" si="51"/>
        <v>0.28599999999999998</v>
      </c>
      <c r="E421" s="99">
        <f t="shared" si="51"/>
        <v>6.6000000000000003E-2</v>
      </c>
      <c r="F421" s="99">
        <f t="shared" si="51"/>
        <v>2.5999999999999999E-2</v>
      </c>
      <c r="G421" s="104">
        <v>0.26800000000000002</v>
      </c>
      <c r="H421" s="104">
        <v>0.28599999999999998</v>
      </c>
      <c r="I421" s="103">
        <v>6.6000000000000003E-2</v>
      </c>
      <c r="J421" s="104">
        <v>2.5999999999999999E-2</v>
      </c>
      <c r="K421" s="54">
        <f>((1/3)*L410)+((11/3)*L422)</f>
        <v>45069</v>
      </c>
      <c r="L421" s="113"/>
      <c r="M421" s="98">
        <f t="shared" si="44"/>
        <v>0.6</v>
      </c>
      <c r="N421" s="98">
        <v>0.26</v>
      </c>
      <c r="O421" s="98">
        <f t="shared" si="45"/>
        <v>0.61</v>
      </c>
      <c r="P421" s="98">
        <v>0.34620000000000001</v>
      </c>
      <c r="Q421" s="98">
        <v>0.69640000000000002</v>
      </c>
      <c r="R421" s="98">
        <v>0.6</v>
      </c>
      <c r="S421" s="98">
        <v>0.61</v>
      </c>
    </row>
    <row r="422" spans="1:19" s="96" customFormat="1">
      <c r="A422" s="95">
        <f t="shared" si="48"/>
        <v>50283</v>
      </c>
      <c r="B422" s="95">
        <f t="shared" si="47"/>
        <v>50647</v>
      </c>
      <c r="C422" s="105">
        <f t="shared" si="51"/>
        <v>0.26800000000000002</v>
      </c>
      <c r="D422" s="105">
        <f t="shared" si="51"/>
        <v>0.28599999999999998</v>
      </c>
      <c r="E422" s="105">
        <f t="shared" si="51"/>
        <v>6.6000000000000003E-2</v>
      </c>
      <c r="F422" s="105">
        <f t="shared" si="51"/>
        <v>2.5999999999999999E-2</v>
      </c>
      <c r="G422" s="107">
        <v>0.26800000000000002</v>
      </c>
      <c r="H422" s="107">
        <v>0.28599999999999998</v>
      </c>
      <c r="I422" s="106">
        <v>6.6000000000000003E-2</v>
      </c>
      <c r="J422" s="107">
        <v>2.5999999999999999E-2</v>
      </c>
      <c r="K422" s="94">
        <f>(L422*4)</f>
        <v>45248</v>
      </c>
      <c r="L422" s="114">
        <f>L410*1.05</f>
        <v>11312.02</v>
      </c>
      <c r="M422" s="421">
        <f t="shared" si="44"/>
        <v>0.6</v>
      </c>
      <c r="N422" s="421">
        <v>0.26</v>
      </c>
      <c r="O422" s="421">
        <f t="shared" si="45"/>
        <v>0.61</v>
      </c>
      <c r="P422" s="421">
        <v>0.34620000000000001</v>
      </c>
      <c r="Q422" s="421">
        <v>0.69640000000000002</v>
      </c>
      <c r="R422" s="421">
        <v>0.6</v>
      </c>
      <c r="S422" s="421">
        <v>0.61</v>
      </c>
    </row>
    <row r="423" spans="1:19" s="96" customFormat="1">
      <c r="A423" s="95">
        <f t="shared" si="48"/>
        <v>50313</v>
      </c>
      <c r="B423" s="95">
        <f t="shared" si="47"/>
        <v>50677</v>
      </c>
      <c r="C423" s="105">
        <f t="shared" si="51"/>
        <v>0.26800000000000002</v>
      </c>
      <c r="D423" s="105">
        <f t="shared" si="51"/>
        <v>0.28599999999999998</v>
      </c>
      <c r="E423" s="105">
        <f t="shared" si="51"/>
        <v>6.6000000000000003E-2</v>
      </c>
      <c r="F423" s="105">
        <f t="shared" si="51"/>
        <v>2.5999999999999999E-2</v>
      </c>
      <c r="G423" s="107">
        <v>0.26800000000000002</v>
      </c>
      <c r="H423" s="107">
        <v>0.28599999999999998</v>
      </c>
      <c r="I423" s="106">
        <v>6.6000000000000003E-2</v>
      </c>
      <c r="J423" s="107">
        <v>2.5999999999999999E-2</v>
      </c>
      <c r="K423" s="94">
        <f>((11/3)*L422)+((1/3)*L434)</f>
        <v>45437</v>
      </c>
      <c r="L423" s="114"/>
      <c r="M423" s="421">
        <f t="shared" si="44"/>
        <v>0.6</v>
      </c>
      <c r="N423" s="421">
        <v>0.26</v>
      </c>
      <c r="O423" s="421">
        <f t="shared" si="45"/>
        <v>0.61</v>
      </c>
      <c r="P423" s="421">
        <v>0.34620000000000001</v>
      </c>
      <c r="Q423" s="421">
        <v>0.69640000000000002</v>
      </c>
      <c r="R423" s="421">
        <v>0.6</v>
      </c>
      <c r="S423" s="421">
        <v>0.61</v>
      </c>
    </row>
    <row r="424" spans="1:19" s="96" customFormat="1">
      <c r="A424" s="95">
        <f t="shared" si="48"/>
        <v>50344</v>
      </c>
      <c r="B424" s="95">
        <f t="shared" si="47"/>
        <v>50708</v>
      </c>
      <c r="C424" s="105">
        <f t="shared" si="51"/>
        <v>0.26800000000000002</v>
      </c>
      <c r="D424" s="105">
        <f t="shared" si="51"/>
        <v>0.28599999999999998</v>
      </c>
      <c r="E424" s="105">
        <f t="shared" si="51"/>
        <v>6.6000000000000003E-2</v>
      </c>
      <c r="F424" s="105">
        <f t="shared" si="51"/>
        <v>2.5999999999999999E-2</v>
      </c>
      <c r="G424" s="107">
        <v>0.26800000000000002</v>
      </c>
      <c r="H424" s="107">
        <v>0.28599999999999998</v>
      </c>
      <c r="I424" s="106">
        <v>6.6000000000000003E-2</v>
      </c>
      <c r="J424" s="107">
        <v>2.5999999999999999E-2</v>
      </c>
      <c r="K424" s="94">
        <f>((10/3)*L422)+((2/3)*L434)</f>
        <v>45625</v>
      </c>
      <c r="L424" s="114"/>
      <c r="M424" s="421">
        <f t="shared" si="44"/>
        <v>0.6</v>
      </c>
      <c r="N424" s="421">
        <v>0.26</v>
      </c>
      <c r="O424" s="421">
        <f t="shared" si="45"/>
        <v>0.61</v>
      </c>
      <c r="P424" s="421">
        <v>0.34620000000000001</v>
      </c>
      <c r="Q424" s="421">
        <v>0.69640000000000002</v>
      </c>
      <c r="R424" s="421">
        <v>0.6</v>
      </c>
      <c r="S424" s="421">
        <v>0.61</v>
      </c>
    </row>
    <row r="425" spans="1:19" s="96" customFormat="1">
      <c r="A425" s="95">
        <f t="shared" si="48"/>
        <v>50374</v>
      </c>
      <c r="B425" s="95">
        <f t="shared" si="47"/>
        <v>50738</v>
      </c>
      <c r="C425" s="105">
        <f t="shared" si="51"/>
        <v>0.26800000000000002</v>
      </c>
      <c r="D425" s="105">
        <f t="shared" si="51"/>
        <v>0.28599999999999998</v>
      </c>
      <c r="E425" s="105">
        <f t="shared" si="51"/>
        <v>6.6000000000000003E-2</v>
      </c>
      <c r="F425" s="105">
        <f t="shared" si="51"/>
        <v>2.5999999999999999E-2</v>
      </c>
      <c r="G425" s="107">
        <v>0.26800000000000002</v>
      </c>
      <c r="H425" s="107">
        <v>0.28599999999999998</v>
      </c>
      <c r="I425" s="106">
        <v>6.6000000000000003E-2</v>
      </c>
      <c r="J425" s="107">
        <v>2.5999999999999999E-2</v>
      </c>
      <c r="K425" s="94">
        <f>((9/3)*L422)+((3/3)*L434)</f>
        <v>45814</v>
      </c>
      <c r="L425" s="114"/>
      <c r="M425" s="421">
        <f t="shared" si="44"/>
        <v>0.6</v>
      </c>
      <c r="N425" s="421">
        <v>0.26</v>
      </c>
      <c r="O425" s="421">
        <f t="shared" si="45"/>
        <v>0.61</v>
      </c>
      <c r="P425" s="421">
        <v>0.34620000000000001</v>
      </c>
      <c r="Q425" s="421">
        <v>0.69640000000000002</v>
      </c>
      <c r="R425" s="421">
        <v>0.6</v>
      </c>
      <c r="S425" s="421">
        <v>0.61</v>
      </c>
    </row>
    <row r="426" spans="1:19" s="96" customFormat="1">
      <c r="A426" s="95">
        <f t="shared" si="48"/>
        <v>50405</v>
      </c>
      <c r="B426" s="95">
        <f t="shared" si="47"/>
        <v>50769</v>
      </c>
      <c r="C426" s="105">
        <f t="shared" si="51"/>
        <v>0.26800000000000002</v>
      </c>
      <c r="D426" s="105">
        <f t="shared" si="51"/>
        <v>0.28599999999999998</v>
      </c>
      <c r="E426" s="105">
        <f t="shared" si="51"/>
        <v>6.6000000000000003E-2</v>
      </c>
      <c r="F426" s="105">
        <f t="shared" si="51"/>
        <v>2.5999999999999999E-2</v>
      </c>
      <c r="G426" s="107">
        <v>0.26800000000000002</v>
      </c>
      <c r="H426" s="107">
        <v>0.28599999999999998</v>
      </c>
      <c r="I426" s="106">
        <v>6.6000000000000003E-2</v>
      </c>
      <c r="J426" s="107">
        <v>2.5999999999999999E-2</v>
      </c>
      <c r="K426" s="94">
        <f>((8/3)*L422)+((4/3)*L434)</f>
        <v>46002</v>
      </c>
      <c r="L426" s="114"/>
      <c r="M426" s="421">
        <f t="shared" si="44"/>
        <v>0.6</v>
      </c>
      <c r="N426" s="421">
        <v>0.26</v>
      </c>
      <c r="O426" s="421">
        <f t="shared" si="45"/>
        <v>0.61</v>
      </c>
      <c r="P426" s="421">
        <v>0.34620000000000001</v>
      </c>
      <c r="Q426" s="421">
        <v>0.69640000000000002</v>
      </c>
      <c r="R426" s="421">
        <v>0.6</v>
      </c>
      <c r="S426" s="421">
        <v>0.61</v>
      </c>
    </row>
    <row r="427" spans="1:19" s="96" customFormat="1">
      <c r="A427" s="95">
        <f t="shared" si="48"/>
        <v>50436</v>
      </c>
      <c r="B427" s="95">
        <f t="shared" si="47"/>
        <v>50800</v>
      </c>
      <c r="C427" s="105">
        <f t="shared" si="51"/>
        <v>0.26800000000000002</v>
      </c>
      <c r="D427" s="105">
        <f t="shared" si="51"/>
        <v>0.28599999999999998</v>
      </c>
      <c r="E427" s="105">
        <f t="shared" si="51"/>
        <v>6.6000000000000003E-2</v>
      </c>
      <c r="F427" s="105">
        <f t="shared" si="51"/>
        <v>2.5999999999999999E-2</v>
      </c>
      <c r="G427" s="107">
        <v>0.26800000000000002</v>
      </c>
      <c r="H427" s="107">
        <v>0.28599999999999998</v>
      </c>
      <c r="I427" s="106">
        <v>6.6000000000000003E-2</v>
      </c>
      <c r="J427" s="107">
        <v>2.5999999999999999E-2</v>
      </c>
      <c r="K427" s="94">
        <f>((7/3)*L422)+((5/3)*L434)</f>
        <v>46191</v>
      </c>
      <c r="L427" s="114"/>
      <c r="M427" s="421">
        <f t="shared" si="44"/>
        <v>0.6</v>
      </c>
      <c r="N427" s="421">
        <v>0.26</v>
      </c>
      <c r="O427" s="421">
        <f t="shared" si="45"/>
        <v>0.61</v>
      </c>
      <c r="P427" s="421">
        <v>0.34620000000000001</v>
      </c>
      <c r="Q427" s="421">
        <v>0.69640000000000002</v>
      </c>
      <c r="R427" s="421">
        <v>0.6</v>
      </c>
      <c r="S427" s="421">
        <v>0.61</v>
      </c>
    </row>
    <row r="428" spans="1:19" s="96" customFormat="1">
      <c r="A428" s="95">
        <f t="shared" si="48"/>
        <v>50464</v>
      </c>
      <c r="B428" s="95">
        <f t="shared" si="47"/>
        <v>50828</v>
      </c>
      <c r="C428" s="105">
        <f t="shared" si="51"/>
        <v>0.26800000000000002</v>
      </c>
      <c r="D428" s="105">
        <f t="shared" si="51"/>
        <v>0.28599999999999998</v>
      </c>
      <c r="E428" s="105">
        <f t="shared" si="51"/>
        <v>6.6000000000000003E-2</v>
      </c>
      <c r="F428" s="105">
        <f t="shared" si="51"/>
        <v>2.5999999999999999E-2</v>
      </c>
      <c r="G428" s="107">
        <v>0.26800000000000002</v>
      </c>
      <c r="H428" s="107">
        <v>0.28599999999999998</v>
      </c>
      <c r="I428" s="106">
        <v>6.6000000000000003E-2</v>
      </c>
      <c r="J428" s="107">
        <v>2.5999999999999999E-2</v>
      </c>
      <c r="K428" s="94">
        <f>((6/3)*L422)+((6/3)*L434)</f>
        <v>46379</v>
      </c>
      <c r="L428" s="114"/>
      <c r="M428" s="421">
        <f t="shared" si="44"/>
        <v>0.6</v>
      </c>
      <c r="N428" s="421">
        <v>0.26</v>
      </c>
      <c r="O428" s="421">
        <f t="shared" si="45"/>
        <v>0.61</v>
      </c>
      <c r="P428" s="421">
        <v>0.34620000000000001</v>
      </c>
      <c r="Q428" s="421">
        <v>0.69640000000000002</v>
      </c>
      <c r="R428" s="421">
        <v>0.6</v>
      </c>
      <c r="S428" s="421">
        <v>0.61</v>
      </c>
    </row>
    <row r="429" spans="1:19" s="96" customFormat="1">
      <c r="A429" s="95">
        <f t="shared" si="48"/>
        <v>50495</v>
      </c>
      <c r="B429" s="95">
        <f t="shared" si="47"/>
        <v>50859</v>
      </c>
      <c r="C429" s="105">
        <f t="shared" si="51"/>
        <v>0.26800000000000002</v>
      </c>
      <c r="D429" s="105">
        <f t="shared" si="51"/>
        <v>0.28599999999999998</v>
      </c>
      <c r="E429" s="105">
        <f t="shared" si="51"/>
        <v>6.6000000000000003E-2</v>
      </c>
      <c r="F429" s="105">
        <f t="shared" si="51"/>
        <v>2.5999999999999999E-2</v>
      </c>
      <c r="G429" s="107">
        <v>0.26800000000000002</v>
      </c>
      <c r="H429" s="107">
        <v>0.28599999999999998</v>
      </c>
      <c r="I429" s="106">
        <v>6.6000000000000003E-2</v>
      </c>
      <c r="J429" s="107">
        <v>2.5999999999999999E-2</v>
      </c>
      <c r="K429" s="94">
        <f>((5/3)*L422)+((7/3)*L434)</f>
        <v>46568</v>
      </c>
      <c r="L429" s="114"/>
      <c r="M429" s="421">
        <f t="shared" si="44"/>
        <v>0.6</v>
      </c>
      <c r="N429" s="421">
        <v>0.26</v>
      </c>
      <c r="O429" s="421">
        <f t="shared" si="45"/>
        <v>0.61</v>
      </c>
      <c r="P429" s="421">
        <v>0.34620000000000001</v>
      </c>
      <c r="Q429" s="421">
        <v>0.69640000000000002</v>
      </c>
      <c r="R429" s="421">
        <v>0.6</v>
      </c>
      <c r="S429" s="421">
        <v>0.61</v>
      </c>
    </row>
    <row r="430" spans="1:19" s="96" customFormat="1">
      <c r="A430" s="95">
        <f t="shared" si="48"/>
        <v>50525</v>
      </c>
      <c r="B430" s="95">
        <f t="shared" si="47"/>
        <v>50889</v>
      </c>
      <c r="C430" s="105">
        <f t="shared" si="51"/>
        <v>0.26800000000000002</v>
      </c>
      <c r="D430" s="105">
        <f t="shared" si="51"/>
        <v>0.28599999999999998</v>
      </c>
      <c r="E430" s="105">
        <f t="shared" si="51"/>
        <v>6.6000000000000003E-2</v>
      </c>
      <c r="F430" s="105">
        <f t="shared" si="51"/>
        <v>2.5999999999999999E-2</v>
      </c>
      <c r="G430" s="107">
        <v>0.26800000000000002</v>
      </c>
      <c r="H430" s="107">
        <v>0.28599999999999998</v>
      </c>
      <c r="I430" s="106">
        <v>6.6000000000000003E-2</v>
      </c>
      <c r="J430" s="107">
        <v>2.5999999999999999E-2</v>
      </c>
      <c r="K430" s="94">
        <f>((4/3)*L422)+((8/3)*L434)</f>
        <v>46756</v>
      </c>
      <c r="L430" s="114"/>
      <c r="M430" s="421">
        <f t="shared" si="44"/>
        <v>0.6</v>
      </c>
      <c r="N430" s="421">
        <v>0.26</v>
      </c>
      <c r="O430" s="421">
        <f t="shared" si="45"/>
        <v>0.61</v>
      </c>
      <c r="P430" s="421">
        <v>0.34620000000000001</v>
      </c>
      <c r="Q430" s="421">
        <v>0.69640000000000002</v>
      </c>
      <c r="R430" s="421">
        <v>0.6</v>
      </c>
      <c r="S430" s="421">
        <v>0.61</v>
      </c>
    </row>
    <row r="431" spans="1:19" s="96" customFormat="1">
      <c r="A431" s="95">
        <f t="shared" si="48"/>
        <v>50556</v>
      </c>
      <c r="B431" s="95">
        <f t="shared" si="47"/>
        <v>50920</v>
      </c>
      <c r="C431" s="105">
        <f t="shared" si="51"/>
        <v>0.26800000000000002</v>
      </c>
      <c r="D431" s="105">
        <f t="shared" si="51"/>
        <v>0.28599999999999998</v>
      </c>
      <c r="E431" s="105">
        <f t="shared" si="51"/>
        <v>6.6000000000000003E-2</v>
      </c>
      <c r="F431" s="105">
        <f t="shared" si="51"/>
        <v>2.5999999999999999E-2</v>
      </c>
      <c r="G431" s="107">
        <v>0.26800000000000002</v>
      </c>
      <c r="H431" s="107">
        <v>0.28599999999999998</v>
      </c>
      <c r="I431" s="106">
        <v>6.6000000000000003E-2</v>
      </c>
      <c r="J431" s="107">
        <v>2.5999999999999999E-2</v>
      </c>
      <c r="K431" s="94">
        <f>((3/3)*L422)+((9/3)*L434)</f>
        <v>46945</v>
      </c>
      <c r="L431" s="114"/>
      <c r="M431" s="421">
        <f t="shared" ref="M431:M494" si="52">AVERAGE(R431:R442)</f>
        <v>0.6</v>
      </c>
      <c r="N431" s="421">
        <v>0.26</v>
      </c>
      <c r="O431" s="421">
        <f t="shared" ref="O431:O494" si="53">AVERAGE(S431:S442)</f>
        <v>0.61</v>
      </c>
      <c r="P431" s="421">
        <v>0.34620000000000001</v>
      </c>
      <c r="Q431" s="421">
        <v>0.69640000000000002</v>
      </c>
      <c r="R431" s="421">
        <v>0.6</v>
      </c>
      <c r="S431" s="421">
        <v>0.61</v>
      </c>
    </row>
    <row r="432" spans="1:19" s="96" customFormat="1">
      <c r="A432" s="95">
        <f t="shared" si="48"/>
        <v>50586</v>
      </c>
      <c r="B432" s="95">
        <f t="shared" si="47"/>
        <v>50950</v>
      </c>
      <c r="C432" s="105">
        <f t="shared" si="51"/>
        <v>0.26800000000000002</v>
      </c>
      <c r="D432" s="105">
        <f t="shared" si="51"/>
        <v>0.28599999999999998</v>
      </c>
      <c r="E432" s="105">
        <f t="shared" si="51"/>
        <v>6.6000000000000003E-2</v>
      </c>
      <c r="F432" s="105">
        <f t="shared" si="51"/>
        <v>2.5999999999999999E-2</v>
      </c>
      <c r="G432" s="107">
        <v>0.26800000000000002</v>
      </c>
      <c r="H432" s="107">
        <v>0.28599999999999998</v>
      </c>
      <c r="I432" s="106">
        <v>6.6000000000000003E-2</v>
      </c>
      <c r="J432" s="107">
        <v>2.5999999999999999E-2</v>
      </c>
      <c r="K432" s="94">
        <f>((2/3)*L422)+((10/3)*L434)</f>
        <v>47133</v>
      </c>
      <c r="L432" s="114"/>
      <c r="M432" s="421">
        <f t="shared" si="52"/>
        <v>0.6</v>
      </c>
      <c r="N432" s="421">
        <v>0.26</v>
      </c>
      <c r="O432" s="421">
        <f t="shared" si="53"/>
        <v>0.61</v>
      </c>
      <c r="P432" s="421">
        <v>0.34620000000000001</v>
      </c>
      <c r="Q432" s="421">
        <v>0.69640000000000002</v>
      </c>
      <c r="R432" s="421">
        <v>0.6</v>
      </c>
      <c r="S432" s="421">
        <v>0.61</v>
      </c>
    </row>
    <row r="433" spans="1:19" s="96" customFormat="1">
      <c r="A433" s="95">
        <f t="shared" si="48"/>
        <v>50617</v>
      </c>
      <c r="B433" s="95">
        <f t="shared" si="47"/>
        <v>50981</v>
      </c>
      <c r="C433" s="105">
        <f t="shared" si="51"/>
        <v>0.26800000000000002</v>
      </c>
      <c r="D433" s="105">
        <f t="shared" si="51"/>
        <v>0.28599999999999998</v>
      </c>
      <c r="E433" s="105">
        <f t="shared" si="51"/>
        <v>6.6000000000000003E-2</v>
      </c>
      <c r="F433" s="105">
        <f t="shared" si="51"/>
        <v>2.5999999999999999E-2</v>
      </c>
      <c r="G433" s="107">
        <v>0.26800000000000002</v>
      </c>
      <c r="H433" s="107">
        <v>0.28599999999999998</v>
      </c>
      <c r="I433" s="106">
        <v>6.6000000000000003E-2</v>
      </c>
      <c r="J433" s="107">
        <v>2.5999999999999999E-2</v>
      </c>
      <c r="K433" s="94">
        <f>((1/3)*L422)+((11/3)*L434)</f>
        <v>47322</v>
      </c>
      <c r="L433" s="114"/>
      <c r="M433" s="421">
        <f t="shared" si="52"/>
        <v>0.6</v>
      </c>
      <c r="N433" s="421">
        <v>0.26</v>
      </c>
      <c r="O433" s="421">
        <f t="shared" si="53"/>
        <v>0.61</v>
      </c>
      <c r="P433" s="421">
        <v>0.34620000000000001</v>
      </c>
      <c r="Q433" s="421">
        <v>0.69640000000000002</v>
      </c>
      <c r="R433" s="421">
        <v>0.6</v>
      </c>
      <c r="S433" s="421">
        <v>0.61</v>
      </c>
    </row>
    <row r="434" spans="1:19" s="60" customFormat="1">
      <c r="A434" s="59">
        <f t="shared" si="48"/>
        <v>50648</v>
      </c>
      <c r="B434" s="59">
        <f t="shared" si="47"/>
        <v>51012</v>
      </c>
      <c r="C434" s="102">
        <f t="shared" si="51"/>
        <v>0.26800000000000002</v>
      </c>
      <c r="D434" s="102">
        <f t="shared" si="51"/>
        <v>0.28599999999999998</v>
      </c>
      <c r="E434" s="102">
        <f t="shared" si="51"/>
        <v>6.6000000000000003E-2</v>
      </c>
      <c r="F434" s="102">
        <f t="shared" si="51"/>
        <v>2.5999999999999999E-2</v>
      </c>
      <c r="G434" s="104">
        <v>0.26800000000000002</v>
      </c>
      <c r="H434" s="104">
        <v>0.28599999999999998</v>
      </c>
      <c r="I434" s="103">
        <v>6.6000000000000003E-2</v>
      </c>
      <c r="J434" s="104">
        <v>2.5999999999999999E-2</v>
      </c>
      <c r="K434" s="54">
        <f>(L434*4)</f>
        <v>47510</v>
      </c>
      <c r="L434" s="113">
        <f>L422*1.05</f>
        <v>11877.62</v>
      </c>
      <c r="M434" s="98">
        <f t="shared" si="52"/>
        <v>0.6</v>
      </c>
      <c r="N434" s="98">
        <v>0.26</v>
      </c>
      <c r="O434" s="98">
        <f t="shared" si="53"/>
        <v>0.61</v>
      </c>
      <c r="P434" s="98">
        <v>0.34620000000000001</v>
      </c>
      <c r="Q434" s="98">
        <v>0.69640000000000002</v>
      </c>
      <c r="R434" s="98">
        <v>0.6</v>
      </c>
      <c r="S434" s="98">
        <v>0.61</v>
      </c>
    </row>
    <row r="435" spans="1:19" s="60" customFormat="1">
      <c r="A435" s="59">
        <f t="shared" si="48"/>
        <v>50678</v>
      </c>
      <c r="B435" s="59">
        <f t="shared" si="47"/>
        <v>51042</v>
      </c>
      <c r="C435" s="102">
        <f t="shared" ref="C435:F450" si="54">AVERAGE(G435:G446)</f>
        <v>0.26800000000000002</v>
      </c>
      <c r="D435" s="102">
        <f t="shared" si="54"/>
        <v>0.28599999999999998</v>
      </c>
      <c r="E435" s="102">
        <f t="shared" si="54"/>
        <v>6.6000000000000003E-2</v>
      </c>
      <c r="F435" s="102">
        <f t="shared" si="54"/>
        <v>2.5999999999999999E-2</v>
      </c>
      <c r="G435" s="104">
        <v>0.26800000000000002</v>
      </c>
      <c r="H435" s="104">
        <v>0.28599999999999998</v>
      </c>
      <c r="I435" s="103">
        <v>6.6000000000000003E-2</v>
      </c>
      <c r="J435" s="104">
        <v>2.5999999999999999E-2</v>
      </c>
      <c r="K435" s="54">
        <f>((11/3)*L434)+((1/3)*L446)</f>
        <v>47708</v>
      </c>
      <c r="L435" s="113"/>
      <c r="M435" s="98">
        <f t="shared" si="52"/>
        <v>0.6</v>
      </c>
      <c r="N435" s="98">
        <v>0.26</v>
      </c>
      <c r="O435" s="98">
        <f t="shared" si="53"/>
        <v>0.61</v>
      </c>
      <c r="P435" s="98">
        <v>0.34620000000000001</v>
      </c>
      <c r="Q435" s="98">
        <v>0.69640000000000002</v>
      </c>
      <c r="R435" s="98">
        <v>0.6</v>
      </c>
      <c r="S435" s="98">
        <v>0.61</v>
      </c>
    </row>
    <row r="436" spans="1:19" s="60" customFormat="1">
      <c r="A436" s="59">
        <f t="shared" si="48"/>
        <v>50709</v>
      </c>
      <c r="B436" s="59">
        <f t="shared" si="47"/>
        <v>51073</v>
      </c>
      <c r="C436" s="102">
        <f t="shared" si="54"/>
        <v>0.26800000000000002</v>
      </c>
      <c r="D436" s="102">
        <f t="shared" si="54"/>
        <v>0.28599999999999998</v>
      </c>
      <c r="E436" s="102">
        <f t="shared" si="54"/>
        <v>6.6000000000000003E-2</v>
      </c>
      <c r="F436" s="102">
        <f t="shared" si="54"/>
        <v>2.5999999999999999E-2</v>
      </c>
      <c r="G436" s="104">
        <v>0.26800000000000002</v>
      </c>
      <c r="H436" s="104">
        <v>0.28599999999999998</v>
      </c>
      <c r="I436" s="103">
        <v>6.6000000000000003E-2</v>
      </c>
      <c r="J436" s="104">
        <v>2.5999999999999999E-2</v>
      </c>
      <c r="K436" s="54">
        <f>((10/3)*L434)+((2/3)*L446)</f>
        <v>47906</v>
      </c>
      <c r="L436" s="113"/>
      <c r="M436" s="98">
        <f t="shared" si="52"/>
        <v>0.6</v>
      </c>
      <c r="N436" s="98">
        <v>0.26</v>
      </c>
      <c r="O436" s="98">
        <f t="shared" si="53"/>
        <v>0.61</v>
      </c>
      <c r="P436" s="98">
        <v>0.34620000000000001</v>
      </c>
      <c r="Q436" s="98">
        <v>0.69640000000000002</v>
      </c>
      <c r="R436" s="98">
        <v>0.6</v>
      </c>
      <c r="S436" s="98">
        <v>0.61</v>
      </c>
    </row>
    <row r="437" spans="1:19" s="60" customFormat="1">
      <c r="A437" s="59">
        <f t="shared" si="48"/>
        <v>50739</v>
      </c>
      <c r="B437" s="59">
        <f t="shared" si="47"/>
        <v>51103</v>
      </c>
      <c r="C437" s="102">
        <f t="shared" si="54"/>
        <v>0.26800000000000002</v>
      </c>
      <c r="D437" s="102">
        <f t="shared" si="54"/>
        <v>0.28599999999999998</v>
      </c>
      <c r="E437" s="102">
        <f t="shared" si="54"/>
        <v>6.6000000000000003E-2</v>
      </c>
      <c r="F437" s="102">
        <f t="shared" si="54"/>
        <v>2.5999999999999999E-2</v>
      </c>
      <c r="G437" s="104">
        <v>0.26800000000000002</v>
      </c>
      <c r="H437" s="104">
        <v>0.28599999999999998</v>
      </c>
      <c r="I437" s="103">
        <v>6.6000000000000003E-2</v>
      </c>
      <c r="J437" s="104">
        <v>2.5999999999999999E-2</v>
      </c>
      <c r="K437" s="54">
        <f>((9/3)*L434)+((3/3)*L446)</f>
        <v>48104</v>
      </c>
      <c r="L437" s="113"/>
      <c r="M437" s="98">
        <f t="shared" si="52"/>
        <v>0.6</v>
      </c>
      <c r="N437" s="98">
        <v>0.26</v>
      </c>
      <c r="O437" s="98">
        <f t="shared" si="53"/>
        <v>0.61</v>
      </c>
      <c r="P437" s="98">
        <v>0.34620000000000001</v>
      </c>
      <c r="Q437" s="98">
        <v>0.69640000000000002</v>
      </c>
      <c r="R437" s="98">
        <v>0.6</v>
      </c>
      <c r="S437" s="98">
        <v>0.61</v>
      </c>
    </row>
    <row r="438" spans="1:19" s="60" customFormat="1">
      <c r="A438" s="59">
        <f t="shared" si="48"/>
        <v>50770</v>
      </c>
      <c r="B438" s="59">
        <f t="shared" si="47"/>
        <v>51134</v>
      </c>
      <c r="C438" s="102">
        <f t="shared" si="54"/>
        <v>0.26800000000000002</v>
      </c>
      <c r="D438" s="102">
        <f t="shared" si="54"/>
        <v>0.28599999999999998</v>
      </c>
      <c r="E438" s="102">
        <f t="shared" si="54"/>
        <v>6.6000000000000003E-2</v>
      </c>
      <c r="F438" s="102">
        <f t="shared" si="54"/>
        <v>2.5999999999999999E-2</v>
      </c>
      <c r="G438" s="104">
        <v>0.26800000000000002</v>
      </c>
      <c r="H438" s="104">
        <v>0.28599999999999998</v>
      </c>
      <c r="I438" s="103">
        <v>6.6000000000000003E-2</v>
      </c>
      <c r="J438" s="104">
        <v>2.5999999999999999E-2</v>
      </c>
      <c r="K438" s="54">
        <f>((8/3)*L434)+((4/3)*L446)</f>
        <v>48302</v>
      </c>
      <c r="L438" s="113"/>
      <c r="M438" s="98">
        <f t="shared" si="52"/>
        <v>0.6</v>
      </c>
      <c r="N438" s="98">
        <v>0.26</v>
      </c>
      <c r="O438" s="98">
        <f t="shared" si="53"/>
        <v>0.61</v>
      </c>
      <c r="P438" s="98">
        <v>0.34620000000000001</v>
      </c>
      <c r="Q438" s="98">
        <v>0.69640000000000002</v>
      </c>
      <c r="R438" s="98">
        <v>0.6</v>
      </c>
      <c r="S438" s="98">
        <v>0.61</v>
      </c>
    </row>
    <row r="439" spans="1:19" s="60" customFormat="1">
      <c r="A439" s="59">
        <f t="shared" si="48"/>
        <v>50801</v>
      </c>
      <c r="B439" s="59">
        <f t="shared" si="47"/>
        <v>51165</v>
      </c>
      <c r="C439" s="102">
        <f t="shared" si="54"/>
        <v>0.26800000000000002</v>
      </c>
      <c r="D439" s="102">
        <f t="shared" si="54"/>
        <v>0.28599999999999998</v>
      </c>
      <c r="E439" s="102">
        <f t="shared" si="54"/>
        <v>6.6000000000000003E-2</v>
      </c>
      <c r="F439" s="102">
        <f t="shared" si="54"/>
        <v>2.5999999999999999E-2</v>
      </c>
      <c r="G439" s="104">
        <v>0.26800000000000002</v>
      </c>
      <c r="H439" s="104">
        <v>0.28599999999999998</v>
      </c>
      <c r="I439" s="103">
        <v>6.6000000000000003E-2</v>
      </c>
      <c r="J439" s="104">
        <v>2.5999999999999999E-2</v>
      </c>
      <c r="K439" s="54">
        <f>((7/3)*L434)+((5/3)*L446)</f>
        <v>48500</v>
      </c>
      <c r="L439" s="113"/>
      <c r="M439" s="98">
        <f t="shared" si="52"/>
        <v>0.6</v>
      </c>
      <c r="N439" s="98">
        <v>0.26</v>
      </c>
      <c r="O439" s="98">
        <f t="shared" si="53"/>
        <v>0.61</v>
      </c>
      <c r="P439" s="98">
        <v>0.34620000000000001</v>
      </c>
      <c r="Q439" s="98">
        <v>0.69640000000000002</v>
      </c>
      <c r="R439" s="98">
        <v>0.6</v>
      </c>
      <c r="S439" s="98">
        <v>0.61</v>
      </c>
    </row>
    <row r="440" spans="1:19" s="60" customFormat="1">
      <c r="A440" s="59">
        <f t="shared" si="48"/>
        <v>50829</v>
      </c>
      <c r="B440" s="59">
        <f t="shared" si="47"/>
        <v>51194</v>
      </c>
      <c r="C440" s="102">
        <f t="shared" si="54"/>
        <v>0.26800000000000002</v>
      </c>
      <c r="D440" s="102">
        <f t="shared" si="54"/>
        <v>0.28599999999999998</v>
      </c>
      <c r="E440" s="102">
        <f t="shared" si="54"/>
        <v>6.6000000000000003E-2</v>
      </c>
      <c r="F440" s="102">
        <f t="shared" si="54"/>
        <v>2.5999999999999999E-2</v>
      </c>
      <c r="G440" s="104">
        <v>0.26800000000000002</v>
      </c>
      <c r="H440" s="104">
        <v>0.28599999999999998</v>
      </c>
      <c r="I440" s="103">
        <v>6.6000000000000003E-2</v>
      </c>
      <c r="J440" s="104">
        <v>2.5999999999999999E-2</v>
      </c>
      <c r="K440" s="54">
        <f>((6/3)*L434)+((6/3)*L446)</f>
        <v>48698</v>
      </c>
      <c r="L440" s="113"/>
      <c r="M440" s="98">
        <f t="shared" si="52"/>
        <v>0.6</v>
      </c>
      <c r="N440" s="98">
        <v>0.26</v>
      </c>
      <c r="O440" s="98">
        <f t="shared" si="53"/>
        <v>0.61</v>
      </c>
      <c r="P440" s="98">
        <v>0.34620000000000001</v>
      </c>
      <c r="Q440" s="98">
        <v>0.69640000000000002</v>
      </c>
      <c r="R440" s="98">
        <v>0.6</v>
      </c>
      <c r="S440" s="98">
        <v>0.61</v>
      </c>
    </row>
    <row r="441" spans="1:19" s="60" customFormat="1">
      <c r="A441" s="59">
        <f t="shared" si="48"/>
        <v>50860</v>
      </c>
      <c r="B441" s="59">
        <f t="shared" si="47"/>
        <v>51225</v>
      </c>
      <c r="C441" s="102">
        <f t="shared" si="54"/>
        <v>0.26800000000000002</v>
      </c>
      <c r="D441" s="102">
        <f t="shared" si="54"/>
        <v>0.28599999999999998</v>
      </c>
      <c r="E441" s="102">
        <f t="shared" si="54"/>
        <v>6.6000000000000003E-2</v>
      </c>
      <c r="F441" s="102">
        <f t="shared" si="54"/>
        <v>2.5999999999999999E-2</v>
      </c>
      <c r="G441" s="104">
        <v>0.26800000000000002</v>
      </c>
      <c r="H441" s="104">
        <v>0.28599999999999998</v>
      </c>
      <c r="I441" s="103">
        <v>6.6000000000000003E-2</v>
      </c>
      <c r="J441" s="104">
        <v>2.5999999999999999E-2</v>
      </c>
      <c r="K441" s="54">
        <f>((5/3)*L434)+((7/3)*L446)</f>
        <v>48896</v>
      </c>
      <c r="L441" s="113"/>
      <c r="M441" s="98">
        <f t="shared" si="52"/>
        <v>0.6</v>
      </c>
      <c r="N441" s="98">
        <v>0.26</v>
      </c>
      <c r="O441" s="98">
        <f t="shared" si="53"/>
        <v>0.61</v>
      </c>
      <c r="P441" s="98">
        <v>0.34620000000000001</v>
      </c>
      <c r="Q441" s="98">
        <v>0.69640000000000002</v>
      </c>
      <c r="R441" s="98">
        <v>0.6</v>
      </c>
      <c r="S441" s="98">
        <v>0.61</v>
      </c>
    </row>
    <row r="442" spans="1:19" s="60" customFormat="1">
      <c r="A442" s="59">
        <f t="shared" si="48"/>
        <v>50890</v>
      </c>
      <c r="B442" s="59">
        <f t="shared" si="47"/>
        <v>51255</v>
      </c>
      <c r="C442" s="102">
        <f t="shared" si="54"/>
        <v>0.26800000000000002</v>
      </c>
      <c r="D442" s="102">
        <f t="shared" si="54"/>
        <v>0.28599999999999998</v>
      </c>
      <c r="E442" s="102">
        <f t="shared" si="54"/>
        <v>6.6000000000000003E-2</v>
      </c>
      <c r="F442" s="102">
        <f t="shared" si="54"/>
        <v>2.5999999999999999E-2</v>
      </c>
      <c r="G442" s="104">
        <v>0.26800000000000002</v>
      </c>
      <c r="H442" s="104">
        <v>0.28599999999999998</v>
      </c>
      <c r="I442" s="103">
        <v>6.6000000000000003E-2</v>
      </c>
      <c r="J442" s="104">
        <v>2.5999999999999999E-2</v>
      </c>
      <c r="K442" s="54">
        <f>((4/3)*L434)+((8/3)*L446)</f>
        <v>49094</v>
      </c>
      <c r="L442" s="113"/>
      <c r="M442" s="98">
        <f t="shared" si="52"/>
        <v>0.6</v>
      </c>
      <c r="N442" s="98">
        <v>0.26</v>
      </c>
      <c r="O442" s="98">
        <f t="shared" si="53"/>
        <v>0.61</v>
      </c>
      <c r="P442" s="98">
        <v>0.34620000000000001</v>
      </c>
      <c r="Q442" s="98">
        <v>0.69640000000000002</v>
      </c>
      <c r="R442" s="98">
        <v>0.6</v>
      </c>
      <c r="S442" s="98">
        <v>0.61</v>
      </c>
    </row>
    <row r="443" spans="1:19" s="60" customFormat="1">
      <c r="A443" s="59">
        <f t="shared" si="48"/>
        <v>50921</v>
      </c>
      <c r="B443" s="59">
        <f t="shared" si="47"/>
        <v>51286</v>
      </c>
      <c r="C443" s="102">
        <f t="shared" si="54"/>
        <v>0.26800000000000002</v>
      </c>
      <c r="D443" s="102">
        <f t="shared" si="54"/>
        <v>0.28599999999999998</v>
      </c>
      <c r="E443" s="102">
        <f t="shared" si="54"/>
        <v>6.6000000000000003E-2</v>
      </c>
      <c r="F443" s="102">
        <f t="shared" si="54"/>
        <v>2.5999999999999999E-2</v>
      </c>
      <c r="G443" s="104">
        <v>0.26800000000000002</v>
      </c>
      <c r="H443" s="104">
        <v>0.28599999999999998</v>
      </c>
      <c r="I443" s="103">
        <v>6.6000000000000003E-2</v>
      </c>
      <c r="J443" s="104">
        <v>2.5999999999999999E-2</v>
      </c>
      <c r="K443" s="54">
        <f>((3/3)*L434)+((9/3)*L446)</f>
        <v>49292</v>
      </c>
      <c r="L443" s="113"/>
      <c r="M443" s="98">
        <f t="shared" si="52"/>
        <v>0.6</v>
      </c>
      <c r="N443" s="98">
        <v>0.26</v>
      </c>
      <c r="O443" s="98">
        <f t="shared" si="53"/>
        <v>0.61</v>
      </c>
      <c r="P443" s="98">
        <v>0.34620000000000001</v>
      </c>
      <c r="Q443" s="98">
        <v>0.69640000000000002</v>
      </c>
      <c r="R443" s="98">
        <v>0.6</v>
      </c>
      <c r="S443" s="98">
        <v>0.61</v>
      </c>
    </row>
    <row r="444" spans="1:19" s="60" customFormat="1">
      <c r="A444" s="59">
        <f t="shared" si="48"/>
        <v>50951</v>
      </c>
      <c r="B444" s="59">
        <f t="shared" si="47"/>
        <v>51316</v>
      </c>
      <c r="C444" s="102">
        <f t="shared" si="54"/>
        <v>0.26800000000000002</v>
      </c>
      <c r="D444" s="102">
        <f t="shared" si="54"/>
        <v>0.28599999999999998</v>
      </c>
      <c r="E444" s="102">
        <f t="shared" si="54"/>
        <v>6.6000000000000003E-2</v>
      </c>
      <c r="F444" s="102">
        <f t="shared" si="54"/>
        <v>2.5999999999999999E-2</v>
      </c>
      <c r="G444" s="104">
        <v>0.26800000000000002</v>
      </c>
      <c r="H444" s="104">
        <v>0.28599999999999998</v>
      </c>
      <c r="I444" s="103">
        <v>6.6000000000000003E-2</v>
      </c>
      <c r="J444" s="104">
        <v>2.5999999999999999E-2</v>
      </c>
      <c r="K444" s="54">
        <f>((2/3)*L434)+((10/3)*L446)</f>
        <v>49490</v>
      </c>
      <c r="L444" s="113"/>
      <c r="M444" s="98">
        <f t="shared" si="52"/>
        <v>0.6</v>
      </c>
      <c r="N444" s="98">
        <v>0.26</v>
      </c>
      <c r="O444" s="98">
        <f t="shared" si="53"/>
        <v>0.61</v>
      </c>
      <c r="P444" s="98">
        <v>0.34620000000000001</v>
      </c>
      <c r="Q444" s="98">
        <v>0.69640000000000002</v>
      </c>
      <c r="R444" s="98">
        <v>0.6</v>
      </c>
      <c r="S444" s="98">
        <v>0.61</v>
      </c>
    </row>
    <row r="445" spans="1:19" s="60" customFormat="1">
      <c r="A445" s="59">
        <f t="shared" si="48"/>
        <v>50982</v>
      </c>
      <c r="B445" s="59">
        <f t="shared" si="47"/>
        <v>51347</v>
      </c>
      <c r="C445" s="99">
        <f t="shared" si="54"/>
        <v>0.26800000000000002</v>
      </c>
      <c r="D445" s="99">
        <f t="shared" si="54"/>
        <v>0.28599999999999998</v>
      </c>
      <c r="E445" s="99">
        <f t="shared" si="54"/>
        <v>6.6000000000000003E-2</v>
      </c>
      <c r="F445" s="99">
        <f t="shared" si="54"/>
        <v>2.5999999999999999E-2</v>
      </c>
      <c r="G445" s="104">
        <v>0.26800000000000002</v>
      </c>
      <c r="H445" s="104">
        <v>0.28599999999999998</v>
      </c>
      <c r="I445" s="103">
        <v>6.6000000000000003E-2</v>
      </c>
      <c r="J445" s="104">
        <v>2.5999999999999999E-2</v>
      </c>
      <c r="K445" s="54">
        <f>((1/3)*L434)+((11/3)*L446)</f>
        <v>49688</v>
      </c>
      <c r="L445" s="113"/>
      <c r="M445" s="98">
        <f t="shared" si="52"/>
        <v>0.6</v>
      </c>
      <c r="N445" s="98">
        <v>0.26</v>
      </c>
      <c r="O445" s="98">
        <f t="shared" si="53"/>
        <v>0.61</v>
      </c>
      <c r="P445" s="98">
        <v>0.34620000000000001</v>
      </c>
      <c r="Q445" s="98">
        <v>0.69640000000000002</v>
      </c>
      <c r="R445" s="98">
        <v>0.6</v>
      </c>
      <c r="S445" s="98">
        <v>0.61</v>
      </c>
    </row>
    <row r="446" spans="1:19" s="96" customFormat="1">
      <c r="A446" s="95">
        <f t="shared" si="48"/>
        <v>51013</v>
      </c>
      <c r="B446" s="95">
        <f t="shared" si="47"/>
        <v>51378</v>
      </c>
      <c r="C446" s="105">
        <f t="shared" si="54"/>
        <v>0.26800000000000002</v>
      </c>
      <c r="D446" s="105">
        <f t="shared" si="54"/>
        <v>0.28599999999999998</v>
      </c>
      <c r="E446" s="105">
        <f t="shared" si="54"/>
        <v>6.6000000000000003E-2</v>
      </c>
      <c r="F446" s="105">
        <f t="shared" si="54"/>
        <v>2.5999999999999999E-2</v>
      </c>
      <c r="G446" s="107">
        <v>0.26800000000000002</v>
      </c>
      <c r="H446" s="107">
        <v>0.28599999999999998</v>
      </c>
      <c r="I446" s="106">
        <v>6.6000000000000003E-2</v>
      </c>
      <c r="J446" s="107">
        <v>2.5999999999999999E-2</v>
      </c>
      <c r="K446" s="94">
        <f>(L446*4)</f>
        <v>49886</v>
      </c>
      <c r="L446" s="114">
        <f>L434*1.05</f>
        <v>12471.5</v>
      </c>
      <c r="M446" s="421">
        <f t="shared" si="52"/>
        <v>0.6</v>
      </c>
      <c r="N446" s="421">
        <v>0.26</v>
      </c>
      <c r="O446" s="421">
        <f t="shared" si="53"/>
        <v>0.61</v>
      </c>
      <c r="P446" s="421">
        <v>0.34620000000000001</v>
      </c>
      <c r="Q446" s="421">
        <v>0.69640000000000002</v>
      </c>
      <c r="R446" s="421">
        <v>0.6</v>
      </c>
      <c r="S446" s="421">
        <v>0.61</v>
      </c>
    </row>
    <row r="447" spans="1:19" s="96" customFormat="1">
      <c r="A447" s="95">
        <f t="shared" si="48"/>
        <v>51043</v>
      </c>
      <c r="B447" s="95">
        <f t="shared" si="47"/>
        <v>51408</v>
      </c>
      <c r="C447" s="105">
        <f t="shared" si="54"/>
        <v>0.26800000000000002</v>
      </c>
      <c r="D447" s="105">
        <f t="shared" si="54"/>
        <v>0.28599999999999998</v>
      </c>
      <c r="E447" s="105">
        <f t="shared" si="54"/>
        <v>6.6000000000000003E-2</v>
      </c>
      <c r="F447" s="105">
        <f t="shared" si="54"/>
        <v>2.5999999999999999E-2</v>
      </c>
      <c r="G447" s="107">
        <v>0.26800000000000002</v>
      </c>
      <c r="H447" s="107">
        <v>0.28599999999999998</v>
      </c>
      <c r="I447" s="106">
        <v>6.6000000000000003E-2</v>
      </c>
      <c r="J447" s="107">
        <v>2.5999999999999999E-2</v>
      </c>
      <c r="K447" s="94">
        <f>((11/3)*L446)+((1/3)*L458)</f>
        <v>50094</v>
      </c>
      <c r="L447" s="114"/>
      <c r="M447" s="421">
        <f t="shared" si="52"/>
        <v>0.6</v>
      </c>
      <c r="N447" s="421">
        <v>0.26</v>
      </c>
      <c r="O447" s="421">
        <f t="shared" si="53"/>
        <v>0.61</v>
      </c>
      <c r="P447" s="421">
        <v>0.34620000000000001</v>
      </c>
      <c r="Q447" s="421">
        <v>0.69640000000000002</v>
      </c>
      <c r="R447" s="421">
        <v>0.6</v>
      </c>
      <c r="S447" s="421">
        <v>0.61</v>
      </c>
    </row>
    <row r="448" spans="1:19" s="96" customFormat="1">
      <c r="A448" s="95">
        <f t="shared" si="48"/>
        <v>51074</v>
      </c>
      <c r="B448" s="95">
        <f t="shared" si="47"/>
        <v>51439</v>
      </c>
      <c r="C448" s="105">
        <f t="shared" si="54"/>
        <v>0.26800000000000002</v>
      </c>
      <c r="D448" s="105">
        <f t="shared" si="54"/>
        <v>0.28599999999999998</v>
      </c>
      <c r="E448" s="105">
        <f t="shared" si="54"/>
        <v>6.6000000000000003E-2</v>
      </c>
      <c r="F448" s="105">
        <f t="shared" si="54"/>
        <v>2.5999999999999999E-2</v>
      </c>
      <c r="G448" s="107">
        <v>0.26800000000000002</v>
      </c>
      <c r="H448" s="107">
        <v>0.28599999999999998</v>
      </c>
      <c r="I448" s="106">
        <v>6.6000000000000003E-2</v>
      </c>
      <c r="J448" s="107">
        <v>2.5999999999999999E-2</v>
      </c>
      <c r="K448" s="94">
        <f>((10/3)*L446)+((2/3)*L458)</f>
        <v>50302</v>
      </c>
      <c r="L448" s="114"/>
      <c r="M448" s="421">
        <f t="shared" si="52"/>
        <v>0.6</v>
      </c>
      <c r="N448" s="421">
        <v>0.26</v>
      </c>
      <c r="O448" s="421">
        <f t="shared" si="53"/>
        <v>0.61</v>
      </c>
      <c r="P448" s="421">
        <v>0.34620000000000001</v>
      </c>
      <c r="Q448" s="421">
        <v>0.69640000000000002</v>
      </c>
      <c r="R448" s="421">
        <v>0.6</v>
      </c>
      <c r="S448" s="421">
        <v>0.61</v>
      </c>
    </row>
    <row r="449" spans="1:19" s="96" customFormat="1">
      <c r="A449" s="95">
        <f t="shared" si="48"/>
        <v>51104</v>
      </c>
      <c r="B449" s="95">
        <f t="shared" si="47"/>
        <v>51469</v>
      </c>
      <c r="C449" s="105">
        <f t="shared" si="54"/>
        <v>0.26800000000000002</v>
      </c>
      <c r="D449" s="105">
        <f t="shared" si="54"/>
        <v>0.28599999999999998</v>
      </c>
      <c r="E449" s="105">
        <f t="shared" si="54"/>
        <v>6.6000000000000003E-2</v>
      </c>
      <c r="F449" s="105">
        <f t="shared" si="54"/>
        <v>2.5999999999999999E-2</v>
      </c>
      <c r="G449" s="107">
        <v>0.26800000000000002</v>
      </c>
      <c r="H449" s="107">
        <v>0.28599999999999998</v>
      </c>
      <c r="I449" s="106">
        <v>6.6000000000000003E-2</v>
      </c>
      <c r="J449" s="107">
        <v>2.5999999999999999E-2</v>
      </c>
      <c r="K449" s="94">
        <f>((9/3)*L446)+((3/3)*L458)</f>
        <v>50510</v>
      </c>
      <c r="L449" s="114"/>
      <c r="M449" s="421">
        <f t="shared" si="52"/>
        <v>0.6</v>
      </c>
      <c r="N449" s="421">
        <v>0.26</v>
      </c>
      <c r="O449" s="421">
        <f t="shared" si="53"/>
        <v>0.61</v>
      </c>
      <c r="P449" s="421">
        <v>0.34620000000000001</v>
      </c>
      <c r="Q449" s="421">
        <v>0.69640000000000002</v>
      </c>
      <c r="R449" s="421">
        <v>0.6</v>
      </c>
      <c r="S449" s="421">
        <v>0.61</v>
      </c>
    </row>
    <row r="450" spans="1:19" s="96" customFormat="1">
      <c r="A450" s="95">
        <f t="shared" si="48"/>
        <v>51135</v>
      </c>
      <c r="B450" s="95">
        <f t="shared" ref="B450:B513" si="55">EDATE(A450,12)-1</f>
        <v>51500</v>
      </c>
      <c r="C450" s="105">
        <f t="shared" si="54"/>
        <v>0.26800000000000002</v>
      </c>
      <c r="D450" s="105">
        <f t="shared" si="54"/>
        <v>0.28599999999999998</v>
      </c>
      <c r="E450" s="105">
        <f t="shared" si="54"/>
        <v>6.6000000000000003E-2</v>
      </c>
      <c r="F450" s="105">
        <f t="shared" si="54"/>
        <v>2.5999999999999999E-2</v>
      </c>
      <c r="G450" s="107">
        <v>0.26800000000000002</v>
      </c>
      <c r="H450" s="107">
        <v>0.28599999999999998</v>
      </c>
      <c r="I450" s="106">
        <v>6.6000000000000003E-2</v>
      </c>
      <c r="J450" s="107">
        <v>2.5999999999999999E-2</v>
      </c>
      <c r="K450" s="94">
        <f>((8/3)*L446)+((4/3)*L458)</f>
        <v>50717</v>
      </c>
      <c r="L450" s="114"/>
      <c r="M450" s="421">
        <f t="shared" si="52"/>
        <v>0.6</v>
      </c>
      <c r="N450" s="421">
        <v>0.26</v>
      </c>
      <c r="O450" s="421">
        <f t="shared" si="53"/>
        <v>0.61</v>
      </c>
      <c r="P450" s="421">
        <v>0.34620000000000001</v>
      </c>
      <c r="Q450" s="421">
        <v>0.69640000000000002</v>
      </c>
      <c r="R450" s="421">
        <v>0.6</v>
      </c>
      <c r="S450" s="421">
        <v>0.61</v>
      </c>
    </row>
    <row r="451" spans="1:19" s="96" customFormat="1">
      <c r="A451" s="95">
        <f t="shared" ref="A451:A514" si="56">EDATE(A450,1)</f>
        <v>51166</v>
      </c>
      <c r="B451" s="95">
        <f t="shared" si="55"/>
        <v>51531</v>
      </c>
      <c r="C451" s="105">
        <f t="shared" ref="C451:F466" si="57">AVERAGE(G451:G462)</f>
        <v>0.26800000000000002</v>
      </c>
      <c r="D451" s="105">
        <f t="shared" si="57"/>
        <v>0.28599999999999998</v>
      </c>
      <c r="E451" s="105">
        <f t="shared" si="57"/>
        <v>6.6000000000000003E-2</v>
      </c>
      <c r="F451" s="105">
        <f t="shared" si="57"/>
        <v>2.5999999999999999E-2</v>
      </c>
      <c r="G451" s="107">
        <v>0.26800000000000002</v>
      </c>
      <c r="H451" s="107">
        <v>0.28599999999999998</v>
      </c>
      <c r="I451" s="106">
        <v>6.6000000000000003E-2</v>
      </c>
      <c r="J451" s="107">
        <v>2.5999999999999999E-2</v>
      </c>
      <c r="K451" s="94">
        <f>((7/3)*L446)+((5/3)*L458)</f>
        <v>50925</v>
      </c>
      <c r="L451" s="114"/>
      <c r="M451" s="421">
        <f t="shared" si="52"/>
        <v>0.6</v>
      </c>
      <c r="N451" s="421">
        <v>0.26</v>
      </c>
      <c r="O451" s="421">
        <f t="shared" si="53"/>
        <v>0.61</v>
      </c>
      <c r="P451" s="421">
        <v>0.34620000000000001</v>
      </c>
      <c r="Q451" s="421">
        <v>0.69640000000000002</v>
      </c>
      <c r="R451" s="421">
        <v>0.6</v>
      </c>
      <c r="S451" s="421">
        <v>0.61</v>
      </c>
    </row>
    <row r="452" spans="1:19" s="96" customFormat="1">
      <c r="A452" s="95">
        <f t="shared" si="56"/>
        <v>51195</v>
      </c>
      <c r="B452" s="95">
        <f t="shared" si="55"/>
        <v>51559</v>
      </c>
      <c r="C452" s="105">
        <f t="shared" si="57"/>
        <v>0.26800000000000002</v>
      </c>
      <c r="D452" s="105">
        <f t="shared" si="57"/>
        <v>0.28599999999999998</v>
      </c>
      <c r="E452" s="105">
        <f t="shared" si="57"/>
        <v>6.6000000000000003E-2</v>
      </c>
      <c r="F452" s="105">
        <f t="shared" si="57"/>
        <v>2.5999999999999999E-2</v>
      </c>
      <c r="G452" s="107">
        <v>0.26800000000000002</v>
      </c>
      <c r="H452" s="107">
        <v>0.28599999999999998</v>
      </c>
      <c r="I452" s="106">
        <v>6.6000000000000003E-2</v>
      </c>
      <c r="J452" s="107">
        <v>2.5999999999999999E-2</v>
      </c>
      <c r="K452" s="94">
        <f>((6/3)*L446)+((6/3)*L458)</f>
        <v>51133</v>
      </c>
      <c r="L452" s="114"/>
      <c r="M452" s="421">
        <f t="shared" si="52"/>
        <v>0.6</v>
      </c>
      <c r="N452" s="421">
        <v>0.26</v>
      </c>
      <c r="O452" s="421">
        <f t="shared" si="53"/>
        <v>0.61</v>
      </c>
      <c r="P452" s="421">
        <v>0.34620000000000001</v>
      </c>
      <c r="Q452" s="421">
        <v>0.69640000000000002</v>
      </c>
      <c r="R452" s="421">
        <v>0.6</v>
      </c>
      <c r="S452" s="421">
        <v>0.61</v>
      </c>
    </row>
    <row r="453" spans="1:19" s="96" customFormat="1">
      <c r="A453" s="95">
        <f t="shared" si="56"/>
        <v>51226</v>
      </c>
      <c r="B453" s="95">
        <f t="shared" si="55"/>
        <v>51590</v>
      </c>
      <c r="C453" s="105">
        <f t="shared" si="57"/>
        <v>0.26800000000000002</v>
      </c>
      <c r="D453" s="105">
        <f t="shared" si="57"/>
        <v>0.28599999999999998</v>
      </c>
      <c r="E453" s="105">
        <f t="shared" si="57"/>
        <v>6.6000000000000003E-2</v>
      </c>
      <c r="F453" s="105">
        <f t="shared" si="57"/>
        <v>2.5999999999999999E-2</v>
      </c>
      <c r="G453" s="107">
        <v>0.26800000000000002</v>
      </c>
      <c r="H453" s="107">
        <v>0.28599999999999998</v>
      </c>
      <c r="I453" s="106">
        <v>6.6000000000000003E-2</v>
      </c>
      <c r="J453" s="107">
        <v>2.5999999999999999E-2</v>
      </c>
      <c r="K453" s="94">
        <f>((5/3)*L446)+((7/3)*L458)</f>
        <v>51341</v>
      </c>
      <c r="L453" s="114"/>
      <c r="M453" s="421">
        <f t="shared" si="52"/>
        <v>0.6</v>
      </c>
      <c r="N453" s="421">
        <v>0.26</v>
      </c>
      <c r="O453" s="421">
        <f t="shared" si="53"/>
        <v>0.61</v>
      </c>
      <c r="P453" s="421">
        <v>0.34620000000000001</v>
      </c>
      <c r="Q453" s="421">
        <v>0.69640000000000002</v>
      </c>
      <c r="R453" s="421">
        <v>0.6</v>
      </c>
      <c r="S453" s="421">
        <v>0.61</v>
      </c>
    </row>
    <row r="454" spans="1:19" s="96" customFormat="1">
      <c r="A454" s="95">
        <f t="shared" si="56"/>
        <v>51256</v>
      </c>
      <c r="B454" s="95">
        <f t="shared" si="55"/>
        <v>51620</v>
      </c>
      <c r="C454" s="105">
        <f t="shared" si="57"/>
        <v>0.26800000000000002</v>
      </c>
      <c r="D454" s="105">
        <f t="shared" si="57"/>
        <v>0.28599999999999998</v>
      </c>
      <c r="E454" s="105">
        <f t="shared" si="57"/>
        <v>6.6000000000000003E-2</v>
      </c>
      <c r="F454" s="105">
        <f t="shared" si="57"/>
        <v>2.5999999999999999E-2</v>
      </c>
      <c r="G454" s="107">
        <v>0.26800000000000002</v>
      </c>
      <c r="H454" s="107">
        <v>0.28599999999999998</v>
      </c>
      <c r="I454" s="106">
        <v>6.6000000000000003E-2</v>
      </c>
      <c r="J454" s="107">
        <v>2.5999999999999999E-2</v>
      </c>
      <c r="K454" s="94">
        <f>((4/3)*L446)+((8/3)*L458)</f>
        <v>51549</v>
      </c>
      <c r="L454" s="114"/>
      <c r="M454" s="421">
        <f t="shared" si="52"/>
        <v>0.6</v>
      </c>
      <c r="N454" s="421">
        <v>0.26</v>
      </c>
      <c r="O454" s="421">
        <f t="shared" si="53"/>
        <v>0.61</v>
      </c>
      <c r="P454" s="421">
        <v>0.34620000000000001</v>
      </c>
      <c r="Q454" s="421">
        <v>0.69640000000000002</v>
      </c>
      <c r="R454" s="421">
        <v>0.6</v>
      </c>
      <c r="S454" s="421">
        <v>0.61</v>
      </c>
    </row>
    <row r="455" spans="1:19" s="96" customFormat="1">
      <c r="A455" s="95">
        <f t="shared" si="56"/>
        <v>51287</v>
      </c>
      <c r="B455" s="95">
        <f t="shared" si="55"/>
        <v>51651</v>
      </c>
      <c r="C455" s="105">
        <f t="shared" si="57"/>
        <v>0.26800000000000002</v>
      </c>
      <c r="D455" s="105">
        <f t="shared" si="57"/>
        <v>0.28599999999999998</v>
      </c>
      <c r="E455" s="105">
        <f t="shared" si="57"/>
        <v>6.6000000000000003E-2</v>
      </c>
      <c r="F455" s="105">
        <f t="shared" si="57"/>
        <v>2.5999999999999999E-2</v>
      </c>
      <c r="G455" s="107">
        <v>0.26800000000000002</v>
      </c>
      <c r="H455" s="107">
        <v>0.28599999999999998</v>
      </c>
      <c r="I455" s="106">
        <v>6.6000000000000003E-2</v>
      </c>
      <c r="J455" s="107">
        <v>2.5999999999999999E-2</v>
      </c>
      <c r="K455" s="94">
        <f>((3/3)*L446)+((9/3)*L458)</f>
        <v>51757</v>
      </c>
      <c r="L455" s="114"/>
      <c r="M455" s="421">
        <f t="shared" si="52"/>
        <v>0.6</v>
      </c>
      <c r="N455" s="421">
        <v>0.26</v>
      </c>
      <c r="O455" s="421">
        <f t="shared" si="53"/>
        <v>0.61</v>
      </c>
      <c r="P455" s="421">
        <v>0.34620000000000001</v>
      </c>
      <c r="Q455" s="421">
        <v>0.69640000000000002</v>
      </c>
      <c r="R455" s="421">
        <v>0.6</v>
      </c>
      <c r="S455" s="421">
        <v>0.61</v>
      </c>
    </row>
    <row r="456" spans="1:19" s="96" customFormat="1">
      <c r="A456" s="95">
        <f t="shared" si="56"/>
        <v>51317</v>
      </c>
      <c r="B456" s="95">
        <f t="shared" si="55"/>
        <v>51681</v>
      </c>
      <c r="C456" s="105">
        <f t="shared" si="57"/>
        <v>0.26800000000000002</v>
      </c>
      <c r="D456" s="105">
        <f t="shared" si="57"/>
        <v>0.28599999999999998</v>
      </c>
      <c r="E456" s="105">
        <f t="shared" si="57"/>
        <v>6.6000000000000003E-2</v>
      </c>
      <c r="F456" s="105">
        <f t="shared" si="57"/>
        <v>2.5999999999999999E-2</v>
      </c>
      <c r="G456" s="107">
        <v>0.26800000000000002</v>
      </c>
      <c r="H456" s="107">
        <v>0.28599999999999998</v>
      </c>
      <c r="I456" s="106">
        <v>6.6000000000000003E-2</v>
      </c>
      <c r="J456" s="107">
        <v>2.5999999999999999E-2</v>
      </c>
      <c r="K456" s="94">
        <f>((2/3)*L446)+((10/3)*L458)</f>
        <v>51965</v>
      </c>
      <c r="L456" s="114"/>
      <c r="M456" s="421">
        <f t="shared" si="52"/>
        <v>0.6</v>
      </c>
      <c r="N456" s="421">
        <v>0.26</v>
      </c>
      <c r="O456" s="421">
        <f t="shared" si="53"/>
        <v>0.61</v>
      </c>
      <c r="P456" s="421">
        <v>0.34620000000000001</v>
      </c>
      <c r="Q456" s="421">
        <v>0.69640000000000002</v>
      </c>
      <c r="R456" s="421">
        <v>0.6</v>
      </c>
      <c r="S456" s="421">
        <v>0.61</v>
      </c>
    </row>
    <row r="457" spans="1:19" s="96" customFormat="1">
      <c r="A457" s="95">
        <f t="shared" si="56"/>
        <v>51348</v>
      </c>
      <c r="B457" s="95">
        <f t="shared" si="55"/>
        <v>51712</v>
      </c>
      <c r="C457" s="105">
        <f t="shared" si="57"/>
        <v>0.26800000000000002</v>
      </c>
      <c r="D457" s="105">
        <f t="shared" si="57"/>
        <v>0.28599999999999998</v>
      </c>
      <c r="E457" s="105">
        <f t="shared" si="57"/>
        <v>6.6000000000000003E-2</v>
      </c>
      <c r="F457" s="105">
        <f t="shared" si="57"/>
        <v>2.5999999999999999E-2</v>
      </c>
      <c r="G457" s="107">
        <v>0.26800000000000002</v>
      </c>
      <c r="H457" s="107">
        <v>0.28599999999999998</v>
      </c>
      <c r="I457" s="106">
        <v>6.6000000000000003E-2</v>
      </c>
      <c r="J457" s="107">
        <v>2.5999999999999999E-2</v>
      </c>
      <c r="K457" s="94">
        <f>((1/3)*L446)+((11/3)*L458)</f>
        <v>52172</v>
      </c>
      <c r="L457" s="114"/>
      <c r="M457" s="421">
        <f t="shared" si="52"/>
        <v>0.6</v>
      </c>
      <c r="N457" s="421">
        <v>0.26</v>
      </c>
      <c r="O457" s="421">
        <f t="shared" si="53"/>
        <v>0.61</v>
      </c>
      <c r="P457" s="421">
        <v>0.34620000000000001</v>
      </c>
      <c r="Q457" s="421">
        <v>0.69640000000000002</v>
      </c>
      <c r="R457" s="421">
        <v>0.6</v>
      </c>
      <c r="S457" s="421">
        <v>0.61</v>
      </c>
    </row>
    <row r="458" spans="1:19" s="60" customFormat="1">
      <c r="A458" s="59">
        <f t="shared" si="56"/>
        <v>51379</v>
      </c>
      <c r="B458" s="59">
        <f t="shared" si="55"/>
        <v>51743</v>
      </c>
      <c r="C458" s="102">
        <f t="shared" si="57"/>
        <v>0.26800000000000002</v>
      </c>
      <c r="D458" s="102">
        <f t="shared" si="57"/>
        <v>0.28599999999999998</v>
      </c>
      <c r="E458" s="102">
        <f t="shared" si="57"/>
        <v>6.6000000000000003E-2</v>
      </c>
      <c r="F458" s="102">
        <f t="shared" si="57"/>
        <v>2.5999999999999999E-2</v>
      </c>
      <c r="G458" s="104">
        <v>0.26800000000000002</v>
      </c>
      <c r="H458" s="104">
        <v>0.28599999999999998</v>
      </c>
      <c r="I458" s="103">
        <v>6.6000000000000003E-2</v>
      </c>
      <c r="J458" s="104">
        <v>2.5999999999999999E-2</v>
      </c>
      <c r="K458" s="54">
        <f>(L458*4)</f>
        <v>52380</v>
      </c>
      <c r="L458" s="113">
        <f>L446*1.05</f>
        <v>13095.08</v>
      </c>
      <c r="M458" s="98">
        <f t="shared" si="52"/>
        <v>0.6</v>
      </c>
      <c r="N458" s="98">
        <v>0.26</v>
      </c>
      <c r="O458" s="98">
        <f t="shared" si="53"/>
        <v>0.61</v>
      </c>
      <c r="P458" s="98">
        <v>0.34620000000000001</v>
      </c>
      <c r="Q458" s="98">
        <v>0.69640000000000002</v>
      </c>
      <c r="R458" s="98">
        <v>0.6</v>
      </c>
      <c r="S458" s="98">
        <v>0.61</v>
      </c>
    </row>
    <row r="459" spans="1:19" s="60" customFormat="1">
      <c r="A459" s="59">
        <f t="shared" si="56"/>
        <v>51409</v>
      </c>
      <c r="B459" s="59">
        <f t="shared" si="55"/>
        <v>51773</v>
      </c>
      <c r="C459" s="102">
        <f t="shared" si="57"/>
        <v>0.26800000000000002</v>
      </c>
      <c r="D459" s="102">
        <f t="shared" si="57"/>
        <v>0.28599999999999998</v>
      </c>
      <c r="E459" s="102">
        <f t="shared" si="57"/>
        <v>6.6000000000000003E-2</v>
      </c>
      <c r="F459" s="102">
        <f t="shared" si="57"/>
        <v>2.5999999999999999E-2</v>
      </c>
      <c r="G459" s="104">
        <v>0.26800000000000002</v>
      </c>
      <c r="H459" s="104">
        <v>0.28599999999999998</v>
      </c>
      <c r="I459" s="103">
        <v>6.6000000000000003E-2</v>
      </c>
      <c r="J459" s="104">
        <v>2.5999999999999999E-2</v>
      </c>
      <c r="K459" s="54">
        <f>((11/3)*L458)+((1/3)*L470)</f>
        <v>52599</v>
      </c>
      <c r="L459" s="113"/>
      <c r="M459" s="98">
        <f t="shared" si="52"/>
        <v>0.6</v>
      </c>
      <c r="N459" s="98">
        <v>0.26</v>
      </c>
      <c r="O459" s="98">
        <f t="shared" si="53"/>
        <v>0.61</v>
      </c>
      <c r="P459" s="98">
        <v>0.34620000000000001</v>
      </c>
      <c r="Q459" s="98">
        <v>0.69640000000000002</v>
      </c>
      <c r="R459" s="98">
        <v>0.6</v>
      </c>
      <c r="S459" s="98">
        <v>0.61</v>
      </c>
    </row>
    <row r="460" spans="1:19" s="60" customFormat="1">
      <c r="A460" s="59">
        <f t="shared" si="56"/>
        <v>51440</v>
      </c>
      <c r="B460" s="59">
        <f t="shared" si="55"/>
        <v>51804</v>
      </c>
      <c r="C460" s="102">
        <f t="shared" si="57"/>
        <v>0.26800000000000002</v>
      </c>
      <c r="D460" s="102">
        <f t="shared" si="57"/>
        <v>0.28599999999999998</v>
      </c>
      <c r="E460" s="102">
        <f t="shared" si="57"/>
        <v>6.6000000000000003E-2</v>
      </c>
      <c r="F460" s="102">
        <f t="shared" si="57"/>
        <v>2.5999999999999999E-2</v>
      </c>
      <c r="G460" s="104">
        <v>0.26800000000000002</v>
      </c>
      <c r="H460" s="104">
        <v>0.28599999999999998</v>
      </c>
      <c r="I460" s="103">
        <v>6.6000000000000003E-2</v>
      </c>
      <c r="J460" s="104">
        <v>2.5999999999999999E-2</v>
      </c>
      <c r="K460" s="54">
        <f>((10/3)*L458)+((2/3)*L470)</f>
        <v>52817</v>
      </c>
      <c r="L460" s="113"/>
      <c r="M460" s="98">
        <f t="shared" si="52"/>
        <v>0.6</v>
      </c>
      <c r="N460" s="98">
        <v>0.26</v>
      </c>
      <c r="O460" s="98">
        <f t="shared" si="53"/>
        <v>0.61</v>
      </c>
      <c r="P460" s="98">
        <v>0.34620000000000001</v>
      </c>
      <c r="Q460" s="98">
        <v>0.69640000000000002</v>
      </c>
      <c r="R460" s="98">
        <v>0.6</v>
      </c>
      <c r="S460" s="98">
        <v>0.61</v>
      </c>
    </row>
    <row r="461" spans="1:19" s="60" customFormat="1">
      <c r="A461" s="59">
        <f t="shared" si="56"/>
        <v>51470</v>
      </c>
      <c r="B461" s="59">
        <f t="shared" si="55"/>
        <v>51834</v>
      </c>
      <c r="C461" s="102">
        <f t="shared" si="57"/>
        <v>0.26800000000000002</v>
      </c>
      <c r="D461" s="102">
        <f t="shared" si="57"/>
        <v>0.28599999999999998</v>
      </c>
      <c r="E461" s="102">
        <f t="shared" si="57"/>
        <v>6.6000000000000003E-2</v>
      </c>
      <c r="F461" s="102">
        <f t="shared" si="57"/>
        <v>2.5999999999999999E-2</v>
      </c>
      <c r="G461" s="104">
        <v>0.26800000000000002</v>
      </c>
      <c r="H461" s="104">
        <v>0.28599999999999998</v>
      </c>
      <c r="I461" s="103">
        <v>6.6000000000000003E-2</v>
      </c>
      <c r="J461" s="104">
        <v>2.5999999999999999E-2</v>
      </c>
      <c r="K461" s="54">
        <f>((9/3)*L458)+((3/3)*L470)</f>
        <v>53035</v>
      </c>
      <c r="L461" s="113"/>
      <c r="M461" s="98">
        <f t="shared" si="52"/>
        <v>0.6</v>
      </c>
      <c r="N461" s="98">
        <v>0.26</v>
      </c>
      <c r="O461" s="98">
        <f t="shared" si="53"/>
        <v>0.61</v>
      </c>
      <c r="P461" s="98">
        <v>0.34620000000000001</v>
      </c>
      <c r="Q461" s="98">
        <v>0.69640000000000002</v>
      </c>
      <c r="R461" s="98">
        <v>0.6</v>
      </c>
      <c r="S461" s="98">
        <v>0.61</v>
      </c>
    </row>
    <row r="462" spans="1:19" s="60" customFormat="1">
      <c r="A462" s="59">
        <f t="shared" si="56"/>
        <v>51501</v>
      </c>
      <c r="B462" s="59">
        <f t="shared" si="55"/>
        <v>51865</v>
      </c>
      <c r="C462" s="102">
        <f t="shared" si="57"/>
        <v>0.26800000000000002</v>
      </c>
      <c r="D462" s="102">
        <f t="shared" si="57"/>
        <v>0.28599999999999998</v>
      </c>
      <c r="E462" s="102">
        <f t="shared" si="57"/>
        <v>6.6000000000000003E-2</v>
      </c>
      <c r="F462" s="102">
        <f t="shared" si="57"/>
        <v>2.5999999999999999E-2</v>
      </c>
      <c r="G462" s="104">
        <v>0.26800000000000002</v>
      </c>
      <c r="H462" s="104">
        <v>0.28599999999999998</v>
      </c>
      <c r="I462" s="103">
        <v>6.6000000000000003E-2</v>
      </c>
      <c r="J462" s="104">
        <v>2.5999999999999999E-2</v>
      </c>
      <c r="K462" s="54">
        <f>((8/3)*L458)+((4/3)*L470)</f>
        <v>53253</v>
      </c>
      <c r="L462" s="113"/>
      <c r="M462" s="98">
        <f t="shared" si="52"/>
        <v>0.6</v>
      </c>
      <c r="N462" s="98">
        <v>0.26</v>
      </c>
      <c r="O462" s="98">
        <f t="shared" si="53"/>
        <v>0.61</v>
      </c>
      <c r="P462" s="98">
        <v>0.34620000000000001</v>
      </c>
      <c r="Q462" s="98">
        <v>0.69640000000000002</v>
      </c>
      <c r="R462" s="98">
        <v>0.6</v>
      </c>
      <c r="S462" s="98">
        <v>0.61</v>
      </c>
    </row>
    <row r="463" spans="1:19" s="60" customFormat="1">
      <c r="A463" s="59">
        <f t="shared" si="56"/>
        <v>51532</v>
      </c>
      <c r="B463" s="59">
        <f t="shared" si="55"/>
        <v>51896</v>
      </c>
      <c r="C463" s="102">
        <f t="shared" si="57"/>
        <v>0.26800000000000002</v>
      </c>
      <c r="D463" s="102">
        <f t="shared" si="57"/>
        <v>0.28599999999999998</v>
      </c>
      <c r="E463" s="102">
        <f t="shared" si="57"/>
        <v>6.6000000000000003E-2</v>
      </c>
      <c r="F463" s="102">
        <f t="shared" si="57"/>
        <v>2.5999999999999999E-2</v>
      </c>
      <c r="G463" s="104">
        <v>0.26800000000000002</v>
      </c>
      <c r="H463" s="104">
        <v>0.28599999999999998</v>
      </c>
      <c r="I463" s="103">
        <v>6.6000000000000003E-2</v>
      </c>
      <c r="J463" s="104">
        <v>2.5999999999999999E-2</v>
      </c>
      <c r="K463" s="54">
        <f>((7/3)*L458)+((5/3)*L470)</f>
        <v>53472</v>
      </c>
      <c r="L463" s="113"/>
      <c r="M463" s="98">
        <f t="shared" si="52"/>
        <v>0.6</v>
      </c>
      <c r="N463" s="98">
        <v>0.26</v>
      </c>
      <c r="O463" s="98">
        <f t="shared" si="53"/>
        <v>0.61</v>
      </c>
      <c r="P463" s="98">
        <v>0.34620000000000001</v>
      </c>
      <c r="Q463" s="98">
        <v>0.69640000000000002</v>
      </c>
      <c r="R463" s="98">
        <v>0.6</v>
      </c>
      <c r="S463" s="98">
        <v>0.61</v>
      </c>
    </row>
    <row r="464" spans="1:19" s="60" customFormat="1">
      <c r="A464" s="59">
        <f t="shared" si="56"/>
        <v>51560</v>
      </c>
      <c r="B464" s="59">
        <f t="shared" si="55"/>
        <v>51924</v>
      </c>
      <c r="C464" s="102">
        <f t="shared" si="57"/>
        <v>0.26800000000000002</v>
      </c>
      <c r="D464" s="102">
        <f t="shared" si="57"/>
        <v>0.28599999999999998</v>
      </c>
      <c r="E464" s="102">
        <f t="shared" si="57"/>
        <v>6.6000000000000003E-2</v>
      </c>
      <c r="F464" s="102">
        <f t="shared" si="57"/>
        <v>2.5999999999999999E-2</v>
      </c>
      <c r="G464" s="104">
        <v>0.26800000000000002</v>
      </c>
      <c r="H464" s="104">
        <v>0.28599999999999998</v>
      </c>
      <c r="I464" s="103">
        <v>6.6000000000000003E-2</v>
      </c>
      <c r="J464" s="104">
        <v>2.5999999999999999E-2</v>
      </c>
      <c r="K464" s="54">
        <f>((6/3)*L458)+((6/3)*L470)</f>
        <v>53690</v>
      </c>
      <c r="L464" s="113"/>
      <c r="M464" s="98">
        <f t="shared" si="52"/>
        <v>0.6</v>
      </c>
      <c r="N464" s="98">
        <v>0.26</v>
      </c>
      <c r="O464" s="98">
        <f t="shared" si="53"/>
        <v>0.61</v>
      </c>
      <c r="P464" s="98">
        <v>0.34620000000000001</v>
      </c>
      <c r="Q464" s="98">
        <v>0.69640000000000002</v>
      </c>
      <c r="R464" s="98">
        <v>0.6</v>
      </c>
      <c r="S464" s="98">
        <v>0.61</v>
      </c>
    </row>
    <row r="465" spans="1:19" s="60" customFormat="1">
      <c r="A465" s="59">
        <f t="shared" si="56"/>
        <v>51591</v>
      </c>
      <c r="B465" s="59">
        <f t="shared" si="55"/>
        <v>51955</v>
      </c>
      <c r="C465" s="102">
        <f t="shared" si="57"/>
        <v>0.26800000000000002</v>
      </c>
      <c r="D465" s="102">
        <f t="shared" si="57"/>
        <v>0.28599999999999998</v>
      </c>
      <c r="E465" s="102">
        <f t="shared" si="57"/>
        <v>6.6000000000000003E-2</v>
      </c>
      <c r="F465" s="102">
        <f t="shared" si="57"/>
        <v>2.5999999999999999E-2</v>
      </c>
      <c r="G465" s="104">
        <v>0.26800000000000002</v>
      </c>
      <c r="H465" s="104">
        <v>0.28599999999999998</v>
      </c>
      <c r="I465" s="103">
        <v>6.6000000000000003E-2</v>
      </c>
      <c r="J465" s="104">
        <v>2.5999999999999999E-2</v>
      </c>
      <c r="K465" s="54">
        <f>((5/3)*L458)+((7/3)*L470)</f>
        <v>53908</v>
      </c>
      <c r="L465" s="113"/>
      <c r="M465" s="98">
        <f t="shared" si="52"/>
        <v>0.6</v>
      </c>
      <c r="N465" s="98">
        <v>0.26</v>
      </c>
      <c r="O465" s="98">
        <f t="shared" si="53"/>
        <v>0.61</v>
      </c>
      <c r="P465" s="98">
        <v>0.34620000000000001</v>
      </c>
      <c r="Q465" s="98">
        <v>0.69640000000000002</v>
      </c>
      <c r="R465" s="98">
        <v>0.6</v>
      </c>
      <c r="S465" s="98">
        <v>0.61</v>
      </c>
    </row>
    <row r="466" spans="1:19" s="60" customFormat="1">
      <c r="A466" s="59">
        <f t="shared" si="56"/>
        <v>51621</v>
      </c>
      <c r="B466" s="59">
        <f t="shared" si="55"/>
        <v>51985</v>
      </c>
      <c r="C466" s="102">
        <f t="shared" si="57"/>
        <v>0.26800000000000002</v>
      </c>
      <c r="D466" s="102">
        <f t="shared" si="57"/>
        <v>0.28599999999999998</v>
      </c>
      <c r="E466" s="102">
        <f t="shared" si="57"/>
        <v>6.6000000000000003E-2</v>
      </c>
      <c r="F466" s="102">
        <f t="shared" si="57"/>
        <v>2.5999999999999999E-2</v>
      </c>
      <c r="G466" s="104">
        <v>0.26800000000000002</v>
      </c>
      <c r="H466" s="104">
        <v>0.28599999999999998</v>
      </c>
      <c r="I466" s="103">
        <v>6.6000000000000003E-2</v>
      </c>
      <c r="J466" s="104">
        <v>2.5999999999999999E-2</v>
      </c>
      <c r="K466" s="54">
        <f>((4/3)*L458)+((8/3)*L470)</f>
        <v>54126</v>
      </c>
      <c r="L466" s="113"/>
      <c r="M466" s="98">
        <f t="shared" si="52"/>
        <v>0.6</v>
      </c>
      <c r="N466" s="98">
        <v>0.26</v>
      </c>
      <c r="O466" s="98">
        <f t="shared" si="53"/>
        <v>0.61</v>
      </c>
      <c r="P466" s="98">
        <v>0.34620000000000001</v>
      </c>
      <c r="Q466" s="98">
        <v>0.69640000000000002</v>
      </c>
      <c r="R466" s="98">
        <v>0.6</v>
      </c>
      <c r="S466" s="98">
        <v>0.61</v>
      </c>
    </row>
    <row r="467" spans="1:19" s="60" customFormat="1">
      <c r="A467" s="59">
        <f t="shared" si="56"/>
        <v>51652</v>
      </c>
      <c r="B467" s="59">
        <f t="shared" si="55"/>
        <v>52016</v>
      </c>
      <c r="C467" s="102">
        <f t="shared" ref="C467:F482" si="58">AVERAGE(G467:G478)</f>
        <v>0.26800000000000002</v>
      </c>
      <c r="D467" s="102">
        <f t="shared" si="58"/>
        <v>0.28599999999999998</v>
      </c>
      <c r="E467" s="102">
        <f t="shared" si="58"/>
        <v>6.6000000000000003E-2</v>
      </c>
      <c r="F467" s="102">
        <f t="shared" si="58"/>
        <v>2.5999999999999999E-2</v>
      </c>
      <c r="G467" s="104">
        <v>0.26800000000000002</v>
      </c>
      <c r="H467" s="104">
        <v>0.28599999999999998</v>
      </c>
      <c r="I467" s="103">
        <v>6.6000000000000003E-2</v>
      </c>
      <c r="J467" s="104">
        <v>2.5999999999999999E-2</v>
      </c>
      <c r="K467" s="54">
        <f>((3/3)*L458)+((9/3)*L470)</f>
        <v>54345</v>
      </c>
      <c r="L467" s="113"/>
      <c r="M467" s="98">
        <f t="shared" si="52"/>
        <v>0.6</v>
      </c>
      <c r="N467" s="98">
        <v>0.26</v>
      </c>
      <c r="O467" s="98">
        <f t="shared" si="53"/>
        <v>0.61</v>
      </c>
      <c r="P467" s="98">
        <v>0.34620000000000001</v>
      </c>
      <c r="Q467" s="98">
        <v>0.69640000000000002</v>
      </c>
      <c r="R467" s="98">
        <v>0.6</v>
      </c>
      <c r="S467" s="98">
        <v>0.61</v>
      </c>
    </row>
    <row r="468" spans="1:19" s="60" customFormat="1">
      <c r="A468" s="59">
        <f t="shared" si="56"/>
        <v>51682</v>
      </c>
      <c r="B468" s="59">
        <f t="shared" si="55"/>
        <v>52046</v>
      </c>
      <c r="C468" s="102">
        <f t="shared" si="58"/>
        <v>0.26800000000000002</v>
      </c>
      <c r="D468" s="102">
        <f t="shared" si="58"/>
        <v>0.28599999999999998</v>
      </c>
      <c r="E468" s="102">
        <f t="shared" si="58"/>
        <v>6.6000000000000003E-2</v>
      </c>
      <c r="F468" s="102">
        <f t="shared" si="58"/>
        <v>2.5999999999999999E-2</v>
      </c>
      <c r="G468" s="104">
        <v>0.26800000000000002</v>
      </c>
      <c r="H468" s="104">
        <v>0.28599999999999998</v>
      </c>
      <c r="I468" s="103">
        <v>6.6000000000000003E-2</v>
      </c>
      <c r="J468" s="104">
        <v>2.5999999999999999E-2</v>
      </c>
      <c r="K468" s="54">
        <f>((2/3)*L458)+((10/3)*L470)</f>
        <v>54563</v>
      </c>
      <c r="L468" s="113"/>
      <c r="M468" s="98">
        <f t="shared" si="52"/>
        <v>0.6</v>
      </c>
      <c r="N468" s="98">
        <v>0.26</v>
      </c>
      <c r="O468" s="98">
        <f t="shared" si="53"/>
        <v>0.61</v>
      </c>
      <c r="P468" s="98">
        <v>0.34620000000000001</v>
      </c>
      <c r="Q468" s="98">
        <v>0.69640000000000002</v>
      </c>
      <c r="R468" s="98">
        <v>0.6</v>
      </c>
      <c r="S468" s="98">
        <v>0.61</v>
      </c>
    </row>
    <row r="469" spans="1:19" s="60" customFormat="1">
      <c r="A469" s="59">
        <f t="shared" si="56"/>
        <v>51713</v>
      </c>
      <c r="B469" s="59">
        <f t="shared" si="55"/>
        <v>52077</v>
      </c>
      <c r="C469" s="99">
        <f t="shared" si="58"/>
        <v>0.26800000000000002</v>
      </c>
      <c r="D469" s="99">
        <f t="shared" si="58"/>
        <v>0.28599999999999998</v>
      </c>
      <c r="E469" s="99">
        <f t="shared" si="58"/>
        <v>6.6000000000000003E-2</v>
      </c>
      <c r="F469" s="99">
        <f t="shared" si="58"/>
        <v>2.5999999999999999E-2</v>
      </c>
      <c r="G469" s="104">
        <v>0.26800000000000002</v>
      </c>
      <c r="H469" s="104">
        <v>0.28599999999999998</v>
      </c>
      <c r="I469" s="103">
        <v>6.6000000000000003E-2</v>
      </c>
      <c r="J469" s="104">
        <v>2.5999999999999999E-2</v>
      </c>
      <c r="K469" s="54">
        <f>((1/3)*L458)+((11/3)*L470)</f>
        <v>54781</v>
      </c>
      <c r="L469" s="113"/>
      <c r="M469" s="98">
        <f t="shared" si="52"/>
        <v>0.6</v>
      </c>
      <c r="N469" s="98">
        <v>0.26</v>
      </c>
      <c r="O469" s="98">
        <f t="shared" si="53"/>
        <v>0.61</v>
      </c>
      <c r="P469" s="98">
        <v>0.34620000000000001</v>
      </c>
      <c r="Q469" s="98">
        <v>0.69640000000000002</v>
      </c>
      <c r="R469" s="98">
        <v>0.6</v>
      </c>
      <c r="S469" s="98">
        <v>0.61</v>
      </c>
    </row>
    <row r="470" spans="1:19" s="96" customFormat="1">
      <c r="A470" s="95">
        <f t="shared" si="56"/>
        <v>51744</v>
      </c>
      <c r="B470" s="95">
        <f t="shared" si="55"/>
        <v>52108</v>
      </c>
      <c r="C470" s="105">
        <f t="shared" si="58"/>
        <v>0.26800000000000002</v>
      </c>
      <c r="D470" s="105">
        <f t="shared" si="58"/>
        <v>0.28599999999999998</v>
      </c>
      <c r="E470" s="105">
        <f t="shared" si="58"/>
        <v>6.6000000000000003E-2</v>
      </c>
      <c r="F470" s="105">
        <f t="shared" si="58"/>
        <v>2.5999999999999999E-2</v>
      </c>
      <c r="G470" s="107">
        <v>0.26800000000000002</v>
      </c>
      <c r="H470" s="107">
        <v>0.28599999999999998</v>
      </c>
      <c r="I470" s="106">
        <v>6.6000000000000003E-2</v>
      </c>
      <c r="J470" s="107">
        <v>2.5999999999999999E-2</v>
      </c>
      <c r="K470" s="94">
        <f>(L470*4)</f>
        <v>54999</v>
      </c>
      <c r="L470" s="114">
        <f>L458*1.05</f>
        <v>13749.83</v>
      </c>
      <c r="M470" s="421">
        <f t="shared" si="52"/>
        <v>0.6</v>
      </c>
      <c r="N470" s="421">
        <v>0.26</v>
      </c>
      <c r="O470" s="421">
        <f t="shared" si="53"/>
        <v>0.61</v>
      </c>
      <c r="P470" s="421">
        <v>0.34620000000000001</v>
      </c>
      <c r="Q470" s="421">
        <v>0.69640000000000002</v>
      </c>
      <c r="R470" s="421">
        <v>0.6</v>
      </c>
      <c r="S470" s="421">
        <v>0.61</v>
      </c>
    </row>
    <row r="471" spans="1:19" s="96" customFormat="1">
      <c r="A471" s="95">
        <f t="shared" si="56"/>
        <v>51774</v>
      </c>
      <c r="B471" s="95">
        <f t="shared" si="55"/>
        <v>52138</v>
      </c>
      <c r="C471" s="105">
        <f t="shared" si="58"/>
        <v>0.26800000000000002</v>
      </c>
      <c r="D471" s="105">
        <f t="shared" si="58"/>
        <v>0.28599999999999998</v>
      </c>
      <c r="E471" s="105">
        <f t="shared" si="58"/>
        <v>6.6000000000000003E-2</v>
      </c>
      <c r="F471" s="105">
        <f t="shared" si="58"/>
        <v>2.5999999999999999E-2</v>
      </c>
      <c r="G471" s="107">
        <v>0.26800000000000002</v>
      </c>
      <c r="H471" s="107">
        <v>0.28599999999999998</v>
      </c>
      <c r="I471" s="106">
        <v>6.6000000000000003E-2</v>
      </c>
      <c r="J471" s="107">
        <v>2.5999999999999999E-2</v>
      </c>
      <c r="K471" s="94">
        <f>((11/3)*L470)+((1/3)*L482)</f>
        <v>55228</v>
      </c>
      <c r="L471" s="114"/>
      <c r="M471" s="421">
        <f t="shared" si="52"/>
        <v>0.6</v>
      </c>
      <c r="N471" s="421">
        <v>0.26</v>
      </c>
      <c r="O471" s="421">
        <f t="shared" si="53"/>
        <v>0.61</v>
      </c>
      <c r="P471" s="421">
        <v>0.34620000000000001</v>
      </c>
      <c r="Q471" s="421">
        <v>0.69640000000000002</v>
      </c>
      <c r="R471" s="421">
        <v>0.6</v>
      </c>
      <c r="S471" s="421">
        <v>0.61</v>
      </c>
    </row>
    <row r="472" spans="1:19" s="96" customFormat="1">
      <c r="A472" s="95">
        <f t="shared" si="56"/>
        <v>51805</v>
      </c>
      <c r="B472" s="95">
        <f t="shared" si="55"/>
        <v>52169</v>
      </c>
      <c r="C472" s="105">
        <f t="shared" si="58"/>
        <v>0.26800000000000002</v>
      </c>
      <c r="D472" s="105">
        <f t="shared" si="58"/>
        <v>0.28599999999999998</v>
      </c>
      <c r="E472" s="105">
        <f t="shared" si="58"/>
        <v>6.6000000000000003E-2</v>
      </c>
      <c r="F472" s="105">
        <f t="shared" si="58"/>
        <v>2.5999999999999999E-2</v>
      </c>
      <c r="G472" s="107">
        <v>0.26800000000000002</v>
      </c>
      <c r="H472" s="107">
        <v>0.28599999999999998</v>
      </c>
      <c r="I472" s="106">
        <v>6.6000000000000003E-2</v>
      </c>
      <c r="J472" s="107">
        <v>2.5999999999999999E-2</v>
      </c>
      <c r="K472" s="94">
        <f>((10/3)*L470)+((2/3)*L482)</f>
        <v>55458</v>
      </c>
      <c r="L472" s="114"/>
      <c r="M472" s="421">
        <f t="shared" si="52"/>
        <v>0.6</v>
      </c>
      <c r="N472" s="421">
        <v>0.26</v>
      </c>
      <c r="O472" s="421">
        <f t="shared" si="53"/>
        <v>0.61</v>
      </c>
      <c r="P472" s="421">
        <v>0.34620000000000001</v>
      </c>
      <c r="Q472" s="421">
        <v>0.69640000000000002</v>
      </c>
      <c r="R472" s="421">
        <v>0.6</v>
      </c>
      <c r="S472" s="421">
        <v>0.61</v>
      </c>
    </row>
    <row r="473" spans="1:19" s="96" customFormat="1">
      <c r="A473" s="95">
        <f t="shared" si="56"/>
        <v>51835</v>
      </c>
      <c r="B473" s="95">
        <f t="shared" si="55"/>
        <v>52199</v>
      </c>
      <c r="C473" s="105">
        <f t="shared" si="58"/>
        <v>0.26800000000000002</v>
      </c>
      <c r="D473" s="105">
        <f t="shared" si="58"/>
        <v>0.28599999999999998</v>
      </c>
      <c r="E473" s="105">
        <f t="shared" si="58"/>
        <v>6.6000000000000003E-2</v>
      </c>
      <c r="F473" s="105">
        <f t="shared" si="58"/>
        <v>2.5999999999999999E-2</v>
      </c>
      <c r="G473" s="107">
        <v>0.26800000000000002</v>
      </c>
      <c r="H473" s="107">
        <v>0.28599999999999998</v>
      </c>
      <c r="I473" s="106">
        <v>6.6000000000000003E-2</v>
      </c>
      <c r="J473" s="107">
        <v>2.5999999999999999E-2</v>
      </c>
      <c r="K473" s="94">
        <f>((9/3)*L470)+((3/3)*L482)</f>
        <v>55687</v>
      </c>
      <c r="L473" s="114"/>
      <c r="M473" s="421">
        <f t="shared" si="52"/>
        <v>0.6</v>
      </c>
      <c r="N473" s="421">
        <v>0.26</v>
      </c>
      <c r="O473" s="421">
        <f t="shared" si="53"/>
        <v>0.61</v>
      </c>
      <c r="P473" s="421">
        <v>0.34620000000000001</v>
      </c>
      <c r="Q473" s="421">
        <v>0.69640000000000002</v>
      </c>
      <c r="R473" s="421">
        <v>0.6</v>
      </c>
      <c r="S473" s="421">
        <v>0.61</v>
      </c>
    </row>
    <row r="474" spans="1:19" s="96" customFormat="1">
      <c r="A474" s="95">
        <f t="shared" si="56"/>
        <v>51866</v>
      </c>
      <c r="B474" s="95">
        <f t="shared" si="55"/>
        <v>52230</v>
      </c>
      <c r="C474" s="105">
        <f t="shared" si="58"/>
        <v>0.26800000000000002</v>
      </c>
      <c r="D474" s="105">
        <f t="shared" si="58"/>
        <v>0.28599999999999998</v>
      </c>
      <c r="E474" s="105">
        <f t="shared" si="58"/>
        <v>6.6000000000000003E-2</v>
      </c>
      <c r="F474" s="105">
        <f t="shared" si="58"/>
        <v>2.5999999999999999E-2</v>
      </c>
      <c r="G474" s="107">
        <v>0.26800000000000002</v>
      </c>
      <c r="H474" s="107">
        <v>0.28599999999999998</v>
      </c>
      <c r="I474" s="106">
        <v>6.6000000000000003E-2</v>
      </c>
      <c r="J474" s="107">
        <v>2.5999999999999999E-2</v>
      </c>
      <c r="K474" s="94">
        <f>((8/3)*L470)+((4/3)*L482)</f>
        <v>55916</v>
      </c>
      <c r="L474" s="114"/>
      <c r="M474" s="421">
        <f t="shared" si="52"/>
        <v>0.6</v>
      </c>
      <c r="N474" s="421">
        <v>0.26</v>
      </c>
      <c r="O474" s="421">
        <f t="shared" si="53"/>
        <v>0.61</v>
      </c>
      <c r="P474" s="421">
        <v>0.34620000000000001</v>
      </c>
      <c r="Q474" s="421">
        <v>0.69640000000000002</v>
      </c>
      <c r="R474" s="421">
        <v>0.6</v>
      </c>
      <c r="S474" s="421">
        <v>0.61</v>
      </c>
    </row>
    <row r="475" spans="1:19" s="96" customFormat="1">
      <c r="A475" s="95">
        <f t="shared" si="56"/>
        <v>51897</v>
      </c>
      <c r="B475" s="95">
        <f t="shared" si="55"/>
        <v>52261</v>
      </c>
      <c r="C475" s="105">
        <f t="shared" si="58"/>
        <v>0.26800000000000002</v>
      </c>
      <c r="D475" s="105">
        <f t="shared" si="58"/>
        <v>0.28599999999999998</v>
      </c>
      <c r="E475" s="105">
        <f t="shared" si="58"/>
        <v>6.6000000000000003E-2</v>
      </c>
      <c r="F475" s="105">
        <f t="shared" si="58"/>
        <v>2.5999999999999999E-2</v>
      </c>
      <c r="G475" s="107">
        <v>0.26800000000000002</v>
      </c>
      <c r="H475" s="107">
        <v>0.28599999999999998</v>
      </c>
      <c r="I475" s="106">
        <v>6.6000000000000003E-2</v>
      </c>
      <c r="J475" s="107">
        <v>2.5999999999999999E-2</v>
      </c>
      <c r="K475" s="94">
        <f>((7/3)*L470)+((5/3)*L482)</f>
        <v>56145</v>
      </c>
      <c r="L475" s="114"/>
      <c r="M475" s="421">
        <f t="shared" si="52"/>
        <v>0.6</v>
      </c>
      <c r="N475" s="421">
        <v>0.26</v>
      </c>
      <c r="O475" s="421">
        <f t="shared" si="53"/>
        <v>0.61</v>
      </c>
      <c r="P475" s="421">
        <v>0.34620000000000001</v>
      </c>
      <c r="Q475" s="421">
        <v>0.69640000000000002</v>
      </c>
      <c r="R475" s="421">
        <v>0.6</v>
      </c>
      <c r="S475" s="421">
        <v>0.61</v>
      </c>
    </row>
    <row r="476" spans="1:19" s="96" customFormat="1">
      <c r="A476" s="95">
        <f t="shared" si="56"/>
        <v>51925</v>
      </c>
      <c r="B476" s="95">
        <f t="shared" si="55"/>
        <v>52289</v>
      </c>
      <c r="C476" s="105">
        <f t="shared" si="58"/>
        <v>0.26800000000000002</v>
      </c>
      <c r="D476" s="105">
        <f t="shared" si="58"/>
        <v>0.28599999999999998</v>
      </c>
      <c r="E476" s="105">
        <f t="shared" si="58"/>
        <v>6.6000000000000003E-2</v>
      </c>
      <c r="F476" s="105">
        <f t="shared" si="58"/>
        <v>2.5999999999999999E-2</v>
      </c>
      <c r="G476" s="107">
        <v>0.26800000000000002</v>
      </c>
      <c r="H476" s="107">
        <v>0.28599999999999998</v>
      </c>
      <c r="I476" s="106">
        <v>6.6000000000000003E-2</v>
      </c>
      <c r="J476" s="107">
        <v>2.5999999999999999E-2</v>
      </c>
      <c r="K476" s="94">
        <f>((6/3)*L470)+((6/3)*L482)</f>
        <v>56374</v>
      </c>
      <c r="L476" s="114"/>
      <c r="M476" s="421">
        <f t="shared" si="52"/>
        <v>0.6</v>
      </c>
      <c r="N476" s="421">
        <v>0.26</v>
      </c>
      <c r="O476" s="421">
        <f t="shared" si="53"/>
        <v>0.61</v>
      </c>
      <c r="P476" s="421">
        <v>0.34620000000000001</v>
      </c>
      <c r="Q476" s="421">
        <v>0.69640000000000002</v>
      </c>
      <c r="R476" s="421">
        <v>0.6</v>
      </c>
      <c r="S476" s="421">
        <v>0.61</v>
      </c>
    </row>
    <row r="477" spans="1:19" s="96" customFormat="1">
      <c r="A477" s="95">
        <f t="shared" si="56"/>
        <v>51956</v>
      </c>
      <c r="B477" s="95">
        <f t="shared" si="55"/>
        <v>52320</v>
      </c>
      <c r="C477" s="105">
        <f t="shared" si="58"/>
        <v>0.26800000000000002</v>
      </c>
      <c r="D477" s="105">
        <f t="shared" si="58"/>
        <v>0.28599999999999998</v>
      </c>
      <c r="E477" s="105">
        <f t="shared" si="58"/>
        <v>6.6000000000000003E-2</v>
      </c>
      <c r="F477" s="105">
        <f t="shared" si="58"/>
        <v>2.5999999999999999E-2</v>
      </c>
      <c r="G477" s="107">
        <v>0.26800000000000002</v>
      </c>
      <c r="H477" s="107">
        <v>0.28599999999999998</v>
      </c>
      <c r="I477" s="106">
        <v>6.6000000000000003E-2</v>
      </c>
      <c r="J477" s="107">
        <v>2.5999999999999999E-2</v>
      </c>
      <c r="K477" s="94">
        <f>((5/3)*L470)+((7/3)*L482)</f>
        <v>56603</v>
      </c>
      <c r="L477" s="114"/>
      <c r="M477" s="421">
        <f t="shared" si="52"/>
        <v>0.6</v>
      </c>
      <c r="N477" s="421">
        <v>0.26</v>
      </c>
      <c r="O477" s="421">
        <f t="shared" si="53"/>
        <v>0.61</v>
      </c>
      <c r="P477" s="421">
        <v>0.34620000000000001</v>
      </c>
      <c r="Q477" s="421">
        <v>0.69640000000000002</v>
      </c>
      <c r="R477" s="421">
        <v>0.6</v>
      </c>
      <c r="S477" s="421">
        <v>0.61</v>
      </c>
    </row>
    <row r="478" spans="1:19" s="96" customFormat="1">
      <c r="A478" s="95">
        <f t="shared" si="56"/>
        <v>51986</v>
      </c>
      <c r="B478" s="95">
        <f t="shared" si="55"/>
        <v>52350</v>
      </c>
      <c r="C478" s="105">
        <f t="shared" si="58"/>
        <v>0.26800000000000002</v>
      </c>
      <c r="D478" s="105">
        <f t="shared" si="58"/>
        <v>0.28599999999999998</v>
      </c>
      <c r="E478" s="105">
        <f t="shared" si="58"/>
        <v>6.6000000000000003E-2</v>
      </c>
      <c r="F478" s="105">
        <f t="shared" si="58"/>
        <v>2.5999999999999999E-2</v>
      </c>
      <c r="G478" s="107">
        <v>0.26800000000000002</v>
      </c>
      <c r="H478" s="107">
        <v>0.28599999999999998</v>
      </c>
      <c r="I478" s="106">
        <v>6.6000000000000003E-2</v>
      </c>
      <c r="J478" s="107">
        <v>2.5999999999999999E-2</v>
      </c>
      <c r="K478" s="94">
        <f>((4/3)*L470)+((8/3)*L482)</f>
        <v>56833</v>
      </c>
      <c r="L478" s="114"/>
      <c r="M478" s="421">
        <f t="shared" si="52"/>
        <v>0.6</v>
      </c>
      <c r="N478" s="421">
        <v>0.26</v>
      </c>
      <c r="O478" s="421">
        <f t="shared" si="53"/>
        <v>0.61</v>
      </c>
      <c r="P478" s="421">
        <v>0.34620000000000001</v>
      </c>
      <c r="Q478" s="421">
        <v>0.69640000000000002</v>
      </c>
      <c r="R478" s="421">
        <v>0.6</v>
      </c>
      <c r="S478" s="421">
        <v>0.61</v>
      </c>
    </row>
    <row r="479" spans="1:19" s="96" customFormat="1">
      <c r="A479" s="95">
        <f t="shared" si="56"/>
        <v>52017</v>
      </c>
      <c r="B479" s="95">
        <f t="shared" si="55"/>
        <v>52381</v>
      </c>
      <c r="C479" s="105">
        <f t="shared" si="58"/>
        <v>0.26800000000000002</v>
      </c>
      <c r="D479" s="105">
        <f t="shared" si="58"/>
        <v>0.28599999999999998</v>
      </c>
      <c r="E479" s="105">
        <f t="shared" si="58"/>
        <v>6.6000000000000003E-2</v>
      </c>
      <c r="F479" s="105">
        <f t="shared" si="58"/>
        <v>2.5999999999999999E-2</v>
      </c>
      <c r="G479" s="107">
        <v>0.26800000000000002</v>
      </c>
      <c r="H479" s="107">
        <v>0.28599999999999998</v>
      </c>
      <c r="I479" s="106">
        <v>6.6000000000000003E-2</v>
      </c>
      <c r="J479" s="107">
        <v>2.5999999999999999E-2</v>
      </c>
      <c r="K479" s="94">
        <f>((3/3)*L470)+((9/3)*L482)</f>
        <v>57062</v>
      </c>
      <c r="L479" s="114"/>
      <c r="M479" s="421">
        <f t="shared" si="52"/>
        <v>0.6</v>
      </c>
      <c r="N479" s="421">
        <v>0.26</v>
      </c>
      <c r="O479" s="421">
        <f t="shared" si="53"/>
        <v>0.61</v>
      </c>
      <c r="P479" s="421">
        <v>0.34620000000000001</v>
      </c>
      <c r="Q479" s="421">
        <v>0.69640000000000002</v>
      </c>
      <c r="R479" s="421">
        <v>0.6</v>
      </c>
      <c r="S479" s="421">
        <v>0.61</v>
      </c>
    </row>
    <row r="480" spans="1:19" s="96" customFormat="1">
      <c r="A480" s="95">
        <f t="shared" si="56"/>
        <v>52047</v>
      </c>
      <c r="B480" s="95">
        <f t="shared" si="55"/>
        <v>52411</v>
      </c>
      <c r="C480" s="105">
        <f t="shared" si="58"/>
        <v>0.26800000000000002</v>
      </c>
      <c r="D480" s="105">
        <f t="shared" si="58"/>
        <v>0.28599999999999998</v>
      </c>
      <c r="E480" s="105">
        <f t="shared" si="58"/>
        <v>6.6000000000000003E-2</v>
      </c>
      <c r="F480" s="105">
        <f t="shared" si="58"/>
        <v>2.5999999999999999E-2</v>
      </c>
      <c r="G480" s="107">
        <v>0.26800000000000002</v>
      </c>
      <c r="H480" s="107">
        <v>0.28599999999999998</v>
      </c>
      <c r="I480" s="106">
        <v>6.6000000000000003E-2</v>
      </c>
      <c r="J480" s="107">
        <v>2.5999999999999999E-2</v>
      </c>
      <c r="K480" s="94">
        <f>((2/3)*L470)+((10/3)*L482)</f>
        <v>57291</v>
      </c>
      <c r="L480" s="114"/>
      <c r="M480" s="421">
        <f t="shared" si="52"/>
        <v>0.6</v>
      </c>
      <c r="N480" s="421">
        <v>0.26</v>
      </c>
      <c r="O480" s="421">
        <f t="shared" si="53"/>
        <v>0.61</v>
      </c>
      <c r="P480" s="421">
        <v>0.34620000000000001</v>
      </c>
      <c r="Q480" s="421">
        <v>0.69640000000000002</v>
      </c>
      <c r="R480" s="421">
        <v>0.6</v>
      </c>
      <c r="S480" s="421">
        <v>0.61</v>
      </c>
    </row>
    <row r="481" spans="1:19" s="96" customFormat="1">
      <c r="A481" s="95">
        <f t="shared" si="56"/>
        <v>52078</v>
      </c>
      <c r="B481" s="95">
        <f t="shared" si="55"/>
        <v>52442</v>
      </c>
      <c r="C481" s="105">
        <f t="shared" si="58"/>
        <v>0.26800000000000002</v>
      </c>
      <c r="D481" s="105">
        <f t="shared" si="58"/>
        <v>0.28599999999999998</v>
      </c>
      <c r="E481" s="105">
        <f t="shared" si="58"/>
        <v>6.6000000000000003E-2</v>
      </c>
      <c r="F481" s="105">
        <f t="shared" si="58"/>
        <v>2.5999999999999999E-2</v>
      </c>
      <c r="G481" s="107">
        <v>0.26800000000000002</v>
      </c>
      <c r="H481" s="107">
        <v>0.28599999999999998</v>
      </c>
      <c r="I481" s="106">
        <v>6.6000000000000003E-2</v>
      </c>
      <c r="J481" s="107">
        <v>2.5999999999999999E-2</v>
      </c>
      <c r="K481" s="94">
        <f>((1/3)*L470)+((11/3)*L482)</f>
        <v>57520</v>
      </c>
      <c r="L481" s="114"/>
      <c r="M481" s="421">
        <f t="shared" si="52"/>
        <v>0.6</v>
      </c>
      <c r="N481" s="421">
        <v>0.26</v>
      </c>
      <c r="O481" s="421">
        <f t="shared" si="53"/>
        <v>0.61</v>
      </c>
      <c r="P481" s="421">
        <v>0.34620000000000001</v>
      </c>
      <c r="Q481" s="421">
        <v>0.69640000000000002</v>
      </c>
      <c r="R481" s="421">
        <v>0.6</v>
      </c>
      <c r="S481" s="421">
        <v>0.61</v>
      </c>
    </row>
    <row r="482" spans="1:19" s="60" customFormat="1">
      <c r="A482" s="59">
        <f t="shared" si="56"/>
        <v>52109</v>
      </c>
      <c r="B482" s="59">
        <f t="shared" si="55"/>
        <v>52473</v>
      </c>
      <c r="C482" s="102">
        <f t="shared" si="58"/>
        <v>0.26800000000000002</v>
      </c>
      <c r="D482" s="102">
        <f t="shared" si="58"/>
        <v>0.28599999999999998</v>
      </c>
      <c r="E482" s="102">
        <f t="shared" si="58"/>
        <v>6.6000000000000003E-2</v>
      </c>
      <c r="F482" s="102">
        <f t="shared" si="58"/>
        <v>2.5999999999999999E-2</v>
      </c>
      <c r="G482" s="104">
        <v>0.26800000000000002</v>
      </c>
      <c r="H482" s="104">
        <v>0.28599999999999998</v>
      </c>
      <c r="I482" s="103">
        <v>6.6000000000000003E-2</v>
      </c>
      <c r="J482" s="104">
        <v>2.5999999999999999E-2</v>
      </c>
      <c r="K482" s="54">
        <f>(L482*4)</f>
        <v>57749</v>
      </c>
      <c r="L482" s="113">
        <f>L470*1.05</f>
        <v>14437.32</v>
      </c>
      <c r="M482" s="98">
        <f t="shared" si="52"/>
        <v>0.6</v>
      </c>
      <c r="N482" s="98">
        <v>0.26</v>
      </c>
      <c r="O482" s="98">
        <f t="shared" si="53"/>
        <v>0.61</v>
      </c>
      <c r="P482" s="98">
        <v>0.34620000000000001</v>
      </c>
      <c r="Q482" s="98">
        <v>0.69640000000000002</v>
      </c>
      <c r="R482" s="98">
        <v>0.6</v>
      </c>
      <c r="S482" s="98">
        <v>0.61</v>
      </c>
    </row>
    <row r="483" spans="1:19" s="60" customFormat="1">
      <c r="A483" s="59">
        <f t="shared" si="56"/>
        <v>52139</v>
      </c>
      <c r="B483" s="59">
        <f t="shared" si="55"/>
        <v>52503</v>
      </c>
      <c r="C483" s="102">
        <f t="shared" ref="C483:F498" si="59">AVERAGE(G483:G494)</f>
        <v>0.26800000000000002</v>
      </c>
      <c r="D483" s="102">
        <f t="shared" si="59"/>
        <v>0.28599999999999998</v>
      </c>
      <c r="E483" s="102">
        <f t="shared" si="59"/>
        <v>6.6000000000000003E-2</v>
      </c>
      <c r="F483" s="102">
        <f t="shared" si="59"/>
        <v>2.5999999999999999E-2</v>
      </c>
      <c r="G483" s="104">
        <v>0.26800000000000002</v>
      </c>
      <c r="H483" s="104">
        <v>0.28599999999999998</v>
      </c>
      <c r="I483" s="103">
        <v>6.6000000000000003E-2</v>
      </c>
      <c r="J483" s="104">
        <v>2.5999999999999999E-2</v>
      </c>
      <c r="K483" s="54">
        <f>((11/3)*L482)+((1/3)*L494)</f>
        <v>57990</v>
      </c>
      <c r="L483" s="113"/>
      <c r="M483" s="98">
        <f t="shared" si="52"/>
        <v>0.6</v>
      </c>
      <c r="N483" s="98">
        <v>0.26</v>
      </c>
      <c r="O483" s="98">
        <f t="shared" si="53"/>
        <v>0.61</v>
      </c>
      <c r="P483" s="98">
        <v>0.34620000000000001</v>
      </c>
      <c r="Q483" s="98">
        <v>0.69640000000000002</v>
      </c>
      <c r="R483" s="98">
        <v>0.6</v>
      </c>
      <c r="S483" s="98">
        <v>0.61</v>
      </c>
    </row>
    <row r="484" spans="1:19" s="60" customFormat="1">
      <c r="A484" s="59">
        <f t="shared" si="56"/>
        <v>52170</v>
      </c>
      <c r="B484" s="59">
        <f t="shared" si="55"/>
        <v>52534</v>
      </c>
      <c r="C484" s="102">
        <f t="shared" si="59"/>
        <v>0.26800000000000002</v>
      </c>
      <c r="D484" s="102">
        <f t="shared" si="59"/>
        <v>0.28599999999999998</v>
      </c>
      <c r="E484" s="102">
        <f t="shared" si="59"/>
        <v>6.6000000000000003E-2</v>
      </c>
      <c r="F484" s="102">
        <f t="shared" si="59"/>
        <v>2.5999999999999999E-2</v>
      </c>
      <c r="G484" s="104">
        <v>0.26800000000000002</v>
      </c>
      <c r="H484" s="104">
        <v>0.28599999999999998</v>
      </c>
      <c r="I484" s="103">
        <v>6.6000000000000003E-2</v>
      </c>
      <c r="J484" s="104">
        <v>2.5999999999999999E-2</v>
      </c>
      <c r="K484" s="54">
        <f>((10/3)*L482)+((2/3)*L494)</f>
        <v>58231</v>
      </c>
      <c r="L484" s="113"/>
      <c r="M484" s="98">
        <f t="shared" si="52"/>
        <v>0.6</v>
      </c>
      <c r="N484" s="98">
        <v>0.26</v>
      </c>
      <c r="O484" s="98">
        <f t="shared" si="53"/>
        <v>0.61</v>
      </c>
      <c r="P484" s="98">
        <v>0.34620000000000001</v>
      </c>
      <c r="Q484" s="98">
        <v>0.69640000000000002</v>
      </c>
      <c r="R484" s="98">
        <v>0.6</v>
      </c>
      <c r="S484" s="98">
        <v>0.61</v>
      </c>
    </row>
    <row r="485" spans="1:19" s="60" customFormat="1">
      <c r="A485" s="59">
        <f t="shared" si="56"/>
        <v>52200</v>
      </c>
      <c r="B485" s="59">
        <f t="shared" si="55"/>
        <v>52564</v>
      </c>
      <c r="C485" s="102">
        <f t="shared" si="59"/>
        <v>0.26800000000000002</v>
      </c>
      <c r="D485" s="102">
        <f t="shared" si="59"/>
        <v>0.28599999999999998</v>
      </c>
      <c r="E485" s="102">
        <f t="shared" si="59"/>
        <v>6.6000000000000003E-2</v>
      </c>
      <c r="F485" s="102">
        <f t="shared" si="59"/>
        <v>2.5999999999999999E-2</v>
      </c>
      <c r="G485" s="104">
        <v>0.26800000000000002</v>
      </c>
      <c r="H485" s="104">
        <v>0.28599999999999998</v>
      </c>
      <c r="I485" s="103">
        <v>6.6000000000000003E-2</v>
      </c>
      <c r="J485" s="104">
        <v>2.5999999999999999E-2</v>
      </c>
      <c r="K485" s="54">
        <f>((9/3)*L482)+((3/3)*L494)</f>
        <v>58471</v>
      </c>
      <c r="L485" s="113"/>
      <c r="M485" s="98">
        <f t="shared" si="52"/>
        <v>0.6</v>
      </c>
      <c r="N485" s="98">
        <v>0.26</v>
      </c>
      <c r="O485" s="98">
        <f t="shared" si="53"/>
        <v>0.61</v>
      </c>
      <c r="P485" s="98">
        <v>0.34620000000000001</v>
      </c>
      <c r="Q485" s="98">
        <v>0.69640000000000002</v>
      </c>
      <c r="R485" s="98">
        <v>0.6</v>
      </c>
      <c r="S485" s="98">
        <v>0.61</v>
      </c>
    </row>
    <row r="486" spans="1:19" s="60" customFormat="1">
      <c r="A486" s="59">
        <f t="shared" si="56"/>
        <v>52231</v>
      </c>
      <c r="B486" s="59">
        <f t="shared" si="55"/>
        <v>52595</v>
      </c>
      <c r="C486" s="102">
        <f t="shared" si="59"/>
        <v>0.26800000000000002</v>
      </c>
      <c r="D486" s="102">
        <f t="shared" si="59"/>
        <v>0.28599999999999998</v>
      </c>
      <c r="E486" s="102">
        <f t="shared" si="59"/>
        <v>6.6000000000000003E-2</v>
      </c>
      <c r="F486" s="102">
        <f t="shared" si="59"/>
        <v>2.5999999999999999E-2</v>
      </c>
      <c r="G486" s="104">
        <v>0.26800000000000002</v>
      </c>
      <c r="H486" s="104">
        <v>0.28599999999999998</v>
      </c>
      <c r="I486" s="103">
        <v>6.6000000000000003E-2</v>
      </c>
      <c r="J486" s="104">
        <v>2.5999999999999999E-2</v>
      </c>
      <c r="K486" s="54">
        <f>((8/3)*L482)+((4/3)*L494)</f>
        <v>58712</v>
      </c>
      <c r="L486" s="113"/>
      <c r="M486" s="98">
        <f t="shared" si="52"/>
        <v>0.6</v>
      </c>
      <c r="N486" s="98">
        <v>0.26</v>
      </c>
      <c r="O486" s="98">
        <f t="shared" si="53"/>
        <v>0.61</v>
      </c>
      <c r="P486" s="98">
        <v>0.34620000000000001</v>
      </c>
      <c r="Q486" s="98">
        <v>0.69640000000000002</v>
      </c>
      <c r="R486" s="98">
        <v>0.6</v>
      </c>
      <c r="S486" s="98">
        <v>0.61</v>
      </c>
    </row>
    <row r="487" spans="1:19" s="60" customFormat="1">
      <c r="A487" s="59">
        <f t="shared" si="56"/>
        <v>52262</v>
      </c>
      <c r="B487" s="59">
        <f t="shared" si="55"/>
        <v>52626</v>
      </c>
      <c r="C487" s="102">
        <f t="shared" si="59"/>
        <v>0.26800000000000002</v>
      </c>
      <c r="D487" s="102">
        <f t="shared" si="59"/>
        <v>0.28599999999999998</v>
      </c>
      <c r="E487" s="102">
        <f t="shared" si="59"/>
        <v>6.6000000000000003E-2</v>
      </c>
      <c r="F487" s="102">
        <f t="shared" si="59"/>
        <v>2.5999999999999999E-2</v>
      </c>
      <c r="G487" s="104">
        <v>0.26800000000000002</v>
      </c>
      <c r="H487" s="104">
        <v>0.28599999999999998</v>
      </c>
      <c r="I487" s="103">
        <v>6.6000000000000003E-2</v>
      </c>
      <c r="J487" s="104">
        <v>2.5999999999999999E-2</v>
      </c>
      <c r="K487" s="54">
        <f>((7/3)*L482)+((5/3)*L494)</f>
        <v>58952</v>
      </c>
      <c r="L487" s="113"/>
      <c r="M487" s="98">
        <f t="shared" si="52"/>
        <v>0.6</v>
      </c>
      <c r="N487" s="98">
        <v>0.26</v>
      </c>
      <c r="O487" s="98">
        <f t="shared" si="53"/>
        <v>0.61</v>
      </c>
      <c r="P487" s="98">
        <v>0.34620000000000001</v>
      </c>
      <c r="Q487" s="98">
        <v>0.69640000000000002</v>
      </c>
      <c r="R487" s="98">
        <v>0.6</v>
      </c>
      <c r="S487" s="98">
        <v>0.61</v>
      </c>
    </row>
    <row r="488" spans="1:19" s="60" customFormat="1">
      <c r="A488" s="59">
        <f t="shared" si="56"/>
        <v>52290</v>
      </c>
      <c r="B488" s="59">
        <f t="shared" si="55"/>
        <v>52655</v>
      </c>
      <c r="C488" s="102">
        <f t="shared" si="59"/>
        <v>0.26800000000000002</v>
      </c>
      <c r="D488" s="102">
        <f t="shared" si="59"/>
        <v>0.28599999999999998</v>
      </c>
      <c r="E488" s="102">
        <f t="shared" si="59"/>
        <v>6.6000000000000003E-2</v>
      </c>
      <c r="F488" s="102">
        <f t="shared" si="59"/>
        <v>2.5999999999999999E-2</v>
      </c>
      <c r="G488" s="104">
        <v>0.26800000000000002</v>
      </c>
      <c r="H488" s="104">
        <v>0.28599999999999998</v>
      </c>
      <c r="I488" s="103">
        <v>6.6000000000000003E-2</v>
      </c>
      <c r="J488" s="104">
        <v>2.5999999999999999E-2</v>
      </c>
      <c r="K488" s="54">
        <f>((6/3)*L482)+((6/3)*L494)</f>
        <v>59193</v>
      </c>
      <c r="L488" s="113"/>
      <c r="M488" s="98">
        <f t="shared" si="52"/>
        <v>0.6</v>
      </c>
      <c r="N488" s="98">
        <v>0.26</v>
      </c>
      <c r="O488" s="98">
        <f t="shared" si="53"/>
        <v>0.61</v>
      </c>
      <c r="P488" s="98">
        <v>0.34620000000000001</v>
      </c>
      <c r="Q488" s="98">
        <v>0.69640000000000002</v>
      </c>
      <c r="R488" s="98">
        <v>0.6</v>
      </c>
      <c r="S488" s="98">
        <v>0.61</v>
      </c>
    </row>
    <row r="489" spans="1:19" s="60" customFormat="1">
      <c r="A489" s="59">
        <f t="shared" si="56"/>
        <v>52321</v>
      </c>
      <c r="B489" s="59">
        <f t="shared" si="55"/>
        <v>52686</v>
      </c>
      <c r="C489" s="102">
        <f t="shared" si="59"/>
        <v>0.26800000000000002</v>
      </c>
      <c r="D489" s="102">
        <f t="shared" si="59"/>
        <v>0.28599999999999998</v>
      </c>
      <c r="E489" s="102">
        <f t="shared" si="59"/>
        <v>6.6000000000000003E-2</v>
      </c>
      <c r="F489" s="102">
        <f t="shared" si="59"/>
        <v>2.5999999999999999E-2</v>
      </c>
      <c r="G489" s="104">
        <v>0.26800000000000002</v>
      </c>
      <c r="H489" s="104">
        <v>0.28599999999999998</v>
      </c>
      <c r="I489" s="103">
        <v>6.6000000000000003E-2</v>
      </c>
      <c r="J489" s="104">
        <v>2.5999999999999999E-2</v>
      </c>
      <c r="K489" s="54">
        <f>((5/3)*L482)+((7/3)*L494)</f>
        <v>59434</v>
      </c>
      <c r="L489" s="113"/>
      <c r="M489" s="98">
        <f t="shared" si="52"/>
        <v>0.6</v>
      </c>
      <c r="N489" s="98">
        <v>0.26</v>
      </c>
      <c r="O489" s="98">
        <f t="shared" si="53"/>
        <v>0.61</v>
      </c>
      <c r="P489" s="98">
        <v>0.34620000000000001</v>
      </c>
      <c r="Q489" s="98">
        <v>0.69640000000000002</v>
      </c>
      <c r="R489" s="98">
        <v>0.6</v>
      </c>
      <c r="S489" s="98">
        <v>0.61</v>
      </c>
    </row>
    <row r="490" spans="1:19" s="60" customFormat="1">
      <c r="A490" s="59">
        <f t="shared" si="56"/>
        <v>52351</v>
      </c>
      <c r="B490" s="59">
        <f t="shared" si="55"/>
        <v>52716</v>
      </c>
      <c r="C490" s="102">
        <f t="shared" si="59"/>
        <v>0.26800000000000002</v>
      </c>
      <c r="D490" s="102">
        <f t="shared" si="59"/>
        <v>0.28599999999999998</v>
      </c>
      <c r="E490" s="102">
        <f t="shared" si="59"/>
        <v>6.6000000000000003E-2</v>
      </c>
      <c r="F490" s="102">
        <f t="shared" si="59"/>
        <v>2.5999999999999999E-2</v>
      </c>
      <c r="G490" s="104">
        <v>0.26800000000000002</v>
      </c>
      <c r="H490" s="104">
        <v>0.28599999999999998</v>
      </c>
      <c r="I490" s="103">
        <v>6.6000000000000003E-2</v>
      </c>
      <c r="J490" s="104">
        <v>2.5999999999999999E-2</v>
      </c>
      <c r="K490" s="54">
        <f>((4/3)*L482)+((8/3)*L494)</f>
        <v>59674</v>
      </c>
      <c r="L490" s="113"/>
      <c r="M490" s="98">
        <f t="shared" si="52"/>
        <v>0.6</v>
      </c>
      <c r="N490" s="98">
        <v>0.26</v>
      </c>
      <c r="O490" s="98">
        <f t="shared" si="53"/>
        <v>0.61</v>
      </c>
      <c r="P490" s="98">
        <v>0.34620000000000001</v>
      </c>
      <c r="Q490" s="98">
        <v>0.69640000000000002</v>
      </c>
      <c r="R490" s="98">
        <v>0.6</v>
      </c>
      <c r="S490" s="98">
        <v>0.61</v>
      </c>
    </row>
    <row r="491" spans="1:19" s="60" customFormat="1">
      <c r="A491" s="59">
        <f t="shared" si="56"/>
        <v>52382</v>
      </c>
      <c r="B491" s="59">
        <f t="shared" si="55"/>
        <v>52747</v>
      </c>
      <c r="C491" s="102">
        <f t="shared" si="59"/>
        <v>0.26800000000000002</v>
      </c>
      <c r="D491" s="102">
        <f t="shared" si="59"/>
        <v>0.28599999999999998</v>
      </c>
      <c r="E491" s="102">
        <f t="shared" si="59"/>
        <v>6.6000000000000003E-2</v>
      </c>
      <c r="F491" s="102">
        <f t="shared" si="59"/>
        <v>2.5999999999999999E-2</v>
      </c>
      <c r="G491" s="104">
        <v>0.26800000000000002</v>
      </c>
      <c r="H491" s="104">
        <v>0.28599999999999998</v>
      </c>
      <c r="I491" s="103">
        <v>6.6000000000000003E-2</v>
      </c>
      <c r="J491" s="104">
        <v>2.5999999999999999E-2</v>
      </c>
      <c r="K491" s="54">
        <f>((3/3)*L482)+((9/3)*L494)</f>
        <v>59915</v>
      </c>
      <c r="L491" s="113"/>
      <c r="M491" s="98">
        <f t="shared" si="52"/>
        <v>0.6</v>
      </c>
      <c r="N491" s="98">
        <v>0.26</v>
      </c>
      <c r="O491" s="98">
        <f t="shared" si="53"/>
        <v>0.61</v>
      </c>
      <c r="P491" s="98">
        <v>0.34620000000000001</v>
      </c>
      <c r="Q491" s="98">
        <v>0.69640000000000002</v>
      </c>
      <c r="R491" s="98">
        <v>0.6</v>
      </c>
      <c r="S491" s="98">
        <v>0.61</v>
      </c>
    </row>
    <row r="492" spans="1:19" s="60" customFormat="1">
      <c r="A492" s="59">
        <f t="shared" si="56"/>
        <v>52412</v>
      </c>
      <c r="B492" s="59">
        <f t="shared" si="55"/>
        <v>52777</v>
      </c>
      <c r="C492" s="102">
        <f t="shared" si="59"/>
        <v>0.26800000000000002</v>
      </c>
      <c r="D492" s="102">
        <f t="shared" si="59"/>
        <v>0.28599999999999998</v>
      </c>
      <c r="E492" s="102">
        <f t="shared" si="59"/>
        <v>6.6000000000000003E-2</v>
      </c>
      <c r="F492" s="102">
        <f t="shared" si="59"/>
        <v>2.5999999999999999E-2</v>
      </c>
      <c r="G492" s="104">
        <v>0.26800000000000002</v>
      </c>
      <c r="H492" s="104">
        <v>0.28599999999999998</v>
      </c>
      <c r="I492" s="103">
        <v>6.6000000000000003E-2</v>
      </c>
      <c r="J492" s="104">
        <v>2.5999999999999999E-2</v>
      </c>
      <c r="K492" s="54">
        <f>((2/3)*L482)+((10/3)*L494)</f>
        <v>60156</v>
      </c>
      <c r="L492" s="113"/>
      <c r="M492" s="98">
        <f t="shared" si="52"/>
        <v>0.6</v>
      </c>
      <c r="N492" s="98">
        <v>0.26</v>
      </c>
      <c r="O492" s="98">
        <f t="shared" si="53"/>
        <v>0.61</v>
      </c>
      <c r="P492" s="98">
        <v>0.34620000000000001</v>
      </c>
      <c r="Q492" s="98">
        <v>0.69640000000000002</v>
      </c>
      <c r="R492" s="98">
        <v>0.6</v>
      </c>
      <c r="S492" s="98">
        <v>0.61</v>
      </c>
    </row>
    <row r="493" spans="1:19" s="60" customFormat="1">
      <c r="A493" s="59">
        <f t="shared" si="56"/>
        <v>52443</v>
      </c>
      <c r="B493" s="59">
        <f t="shared" si="55"/>
        <v>52808</v>
      </c>
      <c r="C493" s="99">
        <f t="shared" si="59"/>
        <v>0.26800000000000002</v>
      </c>
      <c r="D493" s="99">
        <f t="shared" si="59"/>
        <v>0.28599999999999998</v>
      </c>
      <c r="E493" s="99">
        <f t="shared" si="59"/>
        <v>6.6000000000000003E-2</v>
      </c>
      <c r="F493" s="99">
        <f t="shared" si="59"/>
        <v>2.5999999999999999E-2</v>
      </c>
      <c r="G493" s="104">
        <v>0.26800000000000002</v>
      </c>
      <c r="H493" s="104">
        <v>0.28599999999999998</v>
      </c>
      <c r="I493" s="103">
        <v>6.6000000000000003E-2</v>
      </c>
      <c r="J493" s="104">
        <v>2.5999999999999999E-2</v>
      </c>
      <c r="K493" s="54">
        <f>((1/3)*L482)+((11/3)*L494)</f>
        <v>60396</v>
      </c>
      <c r="L493" s="113"/>
      <c r="M493" s="98">
        <f t="shared" si="52"/>
        <v>0.6</v>
      </c>
      <c r="N493" s="98">
        <v>0.26</v>
      </c>
      <c r="O493" s="98">
        <f t="shared" si="53"/>
        <v>0.61</v>
      </c>
      <c r="P493" s="98">
        <v>0.34620000000000001</v>
      </c>
      <c r="Q493" s="98">
        <v>0.69640000000000002</v>
      </c>
      <c r="R493" s="98">
        <v>0.6</v>
      </c>
      <c r="S493" s="98">
        <v>0.61</v>
      </c>
    </row>
    <row r="494" spans="1:19" s="96" customFormat="1">
      <c r="A494" s="95">
        <f t="shared" si="56"/>
        <v>52474</v>
      </c>
      <c r="B494" s="95">
        <f t="shared" si="55"/>
        <v>52839</v>
      </c>
      <c r="C494" s="105">
        <f t="shared" si="59"/>
        <v>0.26800000000000002</v>
      </c>
      <c r="D494" s="105">
        <f t="shared" si="59"/>
        <v>0.28599999999999998</v>
      </c>
      <c r="E494" s="105">
        <f t="shared" si="59"/>
        <v>6.6000000000000003E-2</v>
      </c>
      <c r="F494" s="105">
        <f t="shared" si="59"/>
        <v>2.5999999999999999E-2</v>
      </c>
      <c r="G494" s="107">
        <v>0.26800000000000002</v>
      </c>
      <c r="H494" s="107">
        <v>0.28599999999999998</v>
      </c>
      <c r="I494" s="106">
        <v>6.6000000000000003E-2</v>
      </c>
      <c r="J494" s="107">
        <v>2.5999999999999999E-2</v>
      </c>
      <c r="K494" s="94">
        <f>(L494*4)</f>
        <v>60637</v>
      </c>
      <c r="L494" s="114">
        <f>L482*1.05</f>
        <v>15159.19</v>
      </c>
      <c r="M494" s="421">
        <f t="shared" si="52"/>
        <v>0.6</v>
      </c>
      <c r="N494" s="421">
        <v>0.26</v>
      </c>
      <c r="O494" s="421">
        <f t="shared" si="53"/>
        <v>0.61</v>
      </c>
      <c r="P494" s="421">
        <v>0.34620000000000001</v>
      </c>
      <c r="Q494" s="421">
        <v>0.69640000000000002</v>
      </c>
      <c r="R494" s="421">
        <v>0.6</v>
      </c>
      <c r="S494" s="421">
        <v>0.61</v>
      </c>
    </row>
    <row r="495" spans="1:19" s="96" customFormat="1">
      <c r="A495" s="95">
        <f t="shared" si="56"/>
        <v>52504</v>
      </c>
      <c r="B495" s="95">
        <f t="shared" si="55"/>
        <v>52869</v>
      </c>
      <c r="C495" s="105">
        <f t="shared" si="59"/>
        <v>0.26800000000000002</v>
      </c>
      <c r="D495" s="105">
        <f t="shared" si="59"/>
        <v>0.28599999999999998</v>
      </c>
      <c r="E495" s="105">
        <f t="shared" si="59"/>
        <v>6.6000000000000003E-2</v>
      </c>
      <c r="F495" s="105">
        <f t="shared" si="59"/>
        <v>2.5999999999999999E-2</v>
      </c>
      <c r="G495" s="107">
        <v>0.26800000000000002</v>
      </c>
      <c r="H495" s="107">
        <v>0.28599999999999998</v>
      </c>
      <c r="I495" s="106">
        <v>6.6000000000000003E-2</v>
      </c>
      <c r="J495" s="107">
        <v>2.5999999999999999E-2</v>
      </c>
      <c r="K495" s="94">
        <f>((11/3)*L494)+((1/3)*L506)</f>
        <v>60889</v>
      </c>
      <c r="L495" s="114"/>
      <c r="M495" s="421">
        <f t="shared" ref="M495:M558" si="60">AVERAGE(R495:R506)</f>
        <v>0.6</v>
      </c>
      <c r="N495" s="421">
        <v>0.26</v>
      </c>
      <c r="O495" s="421">
        <f t="shared" ref="O495:O558" si="61">AVERAGE(S495:S506)</f>
        <v>0.61</v>
      </c>
      <c r="P495" s="421">
        <v>0.34620000000000001</v>
      </c>
      <c r="Q495" s="421">
        <v>0.69640000000000002</v>
      </c>
      <c r="R495" s="421">
        <v>0.6</v>
      </c>
      <c r="S495" s="421">
        <v>0.61</v>
      </c>
    </row>
    <row r="496" spans="1:19" s="96" customFormat="1">
      <c r="A496" s="95">
        <f t="shared" si="56"/>
        <v>52535</v>
      </c>
      <c r="B496" s="95">
        <f t="shared" si="55"/>
        <v>52900</v>
      </c>
      <c r="C496" s="105">
        <f t="shared" si="59"/>
        <v>0.26800000000000002</v>
      </c>
      <c r="D496" s="105">
        <f t="shared" si="59"/>
        <v>0.28599999999999998</v>
      </c>
      <c r="E496" s="105">
        <f t="shared" si="59"/>
        <v>6.6000000000000003E-2</v>
      </c>
      <c r="F496" s="105">
        <f t="shared" si="59"/>
        <v>2.5999999999999999E-2</v>
      </c>
      <c r="G496" s="107">
        <v>0.26800000000000002</v>
      </c>
      <c r="H496" s="107">
        <v>0.28599999999999998</v>
      </c>
      <c r="I496" s="106">
        <v>6.6000000000000003E-2</v>
      </c>
      <c r="J496" s="107">
        <v>2.5999999999999999E-2</v>
      </c>
      <c r="K496" s="94">
        <f>((10/3)*L494)+((2/3)*L506)</f>
        <v>61142</v>
      </c>
      <c r="L496" s="114"/>
      <c r="M496" s="421">
        <f t="shared" si="60"/>
        <v>0.6</v>
      </c>
      <c r="N496" s="421">
        <v>0.26</v>
      </c>
      <c r="O496" s="421">
        <f t="shared" si="61"/>
        <v>0.61</v>
      </c>
      <c r="P496" s="421">
        <v>0.34620000000000001</v>
      </c>
      <c r="Q496" s="421">
        <v>0.69640000000000002</v>
      </c>
      <c r="R496" s="421">
        <v>0.6</v>
      </c>
      <c r="S496" s="421">
        <v>0.61</v>
      </c>
    </row>
    <row r="497" spans="1:19" s="96" customFormat="1">
      <c r="A497" s="95">
        <f t="shared" si="56"/>
        <v>52565</v>
      </c>
      <c r="B497" s="95">
        <f t="shared" si="55"/>
        <v>52930</v>
      </c>
      <c r="C497" s="105">
        <f t="shared" si="59"/>
        <v>0.26800000000000002</v>
      </c>
      <c r="D497" s="105">
        <f t="shared" si="59"/>
        <v>0.28599999999999998</v>
      </c>
      <c r="E497" s="105">
        <f t="shared" si="59"/>
        <v>6.6000000000000003E-2</v>
      </c>
      <c r="F497" s="105">
        <f t="shared" si="59"/>
        <v>2.5999999999999999E-2</v>
      </c>
      <c r="G497" s="107">
        <v>0.26800000000000002</v>
      </c>
      <c r="H497" s="107">
        <v>0.28599999999999998</v>
      </c>
      <c r="I497" s="106">
        <v>6.6000000000000003E-2</v>
      </c>
      <c r="J497" s="107">
        <v>2.5999999999999999E-2</v>
      </c>
      <c r="K497" s="94">
        <f>((9/3)*L494)+((3/3)*L506)</f>
        <v>61395</v>
      </c>
      <c r="L497" s="114"/>
      <c r="M497" s="421">
        <f t="shared" si="60"/>
        <v>0.6</v>
      </c>
      <c r="N497" s="421">
        <v>0.26</v>
      </c>
      <c r="O497" s="421">
        <f t="shared" si="61"/>
        <v>0.61</v>
      </c>
      <c r="P497" s="421">
        <v>0.34620000000000001</v>
      </c>
      <c r="Q497" s="421">
        <v>0.69640000000000002</v>
      </c>
      <c r="R497" s="421">
        <v>0.6</v>
      </c>
      <c r="S497" s="421">
        <v>0.61</v>
      </c>
    </row>
    <row r="498" spans="1:19" s="96" customFormat="1">
      <c r="A498" s="95">
        <f t="shared" si="56"/>
        <v>52596</v>
      </c>
      <c r="B498" s="95">
        <f t="shared" si="55"/>
        <v>52961</v>
      </c>
      <c r="C498" s="105">
        <f t="shared" si="59"/>
        <v>0.26800000000000002</v>
      </c>
      <c r="D498" s="105">
        <f t="shared" si="59"/>
        <v>0.28599999999999998</v>
      </c>
      <c r="E498" s="105">
        <f t="shared" si="59"/>
        <v>6.6000000000000003E-2</v>
      </c>
      <c r="F498" s="105">
        <f t="shared" si="59"/>
        <v>2.5999999999999999E-2</v>
      </c>
      <c r="G498" s="107">
        <v>0.26800000000000002</v>
      </c>
      <c r="H498" s="107">
        <v>0.28599999999999998</v>
      </c>
      <c r="I498" s="106">
        <v>6.6000000000000003E-2</v>
      </c>
      <c r="J498" s="107">
        <v>2.5999999999999999E-2</v>
      </c>
      <c r="K498" s="94">
        <f>((8/3)*L494)+((4/3)*L506)</f>
        <v>61647</v>
      </c>
      <c r="L498" s="114"/>
      <c r="M498" s="421">
        <f t="shared" si="60"/>
        <v>0.6</v>
      </c>
      <c r="N498" s="421">
        <v>0.26</v>
      </c>
      <c r="O498" s="421">
        <f t="shared" si="61"/>
        <v>0.61</v>
      </c>
      <c r="P498" s="421">
        <v>0.34620000000000001</v>
      </c>
      <c r="Q498" s="421">
        <v>0.69640000000000002</v>
      </c>
      <c r="R498" s="421">
        <v>0.6</v>
      </c>
      <c r="S498" s="421">
        <v>0.61</v>
      </c>
    </row>
    <row r="499" spans="1:19" s="96" customFormat="1">
      <c r="A499" s="95">
        <f t="shared" si="56"/>
        <v>52627</v>
      </c>
      <c r="B499" s="95">
        <f t="shared" si="55"/>
        <v>52992</v>
      </c>
      <c r="C499" s="105">
        <f t="shared" ref="C499:F514" si="62">AVERAGE(G499:G510)</f>
        <v>0.26800000000000002</v>
      </c>
      <c r="D499" s="105">
        <f t="shared" si="62"/>
        <v>0.28599999999999998</v>
      </c>
      <c r="E499" s="105">
        <f t="shared" si="62"/>
        <v>6.6000000000000003E-2</v>
      </c>
      <c r="F499" s="105">
        <f t="shared" si="62"/>
        <v>2.5999999999999999E-2</v>
      </c>
      <c r="G499" s="107">
        <v>0.26800000000000002</v>
      </c>
      <c r="H499" s="107">
        <v>0.28599999999999998</v>
      </c>
      <c r="I499" s="106">
        <v>6.6000000000000003E-2</v>
      </c>
      <c r="J499" s="107">
        <v>2.5999999999999999E-2</v>
      </c>
      <c r="K499" s="94">
        <f>((7/3)*L494)+((5/3)*L506)</f>
        <v>61900</v>
      </c>
      <c r="L499" s="114"/>
      <c r="M499" s="421">
        <f t="shared" si="60"/>
        <v>0.6</v>
      </c>
      <c r="N499" s="421">
        <v>0.26</v>
      </c>
      <c r="O499" s="421">
        <f t="shared" si="61"/>
        <v>0.61</v>
      </c>
      <c r="P499" s="421">
        <v>0.34620000000000001</v>
      </c>
      <c r="Q499" s="421">
        <v>0.69640000000000002</v>
      </c>
      <c r="R499" s="421">
        <v>0.6</v>
      </c>
      <c r="S499" s="421">
        <v>0.61</v>
      </c>
    </row>
    <row r="500" spans="1:19" s="96" customFormat="1">
      <c r="A500" s="95">
        <f t="shared" si="56"/>
        <v>52656</v>
      </c>
      <c r="B500" s="95">
        <f t="shared" si="55"/>
        <v>53020</v>
      </c>
      <c r="C500" s="105">
        <f t="shared" si="62"/>
        <v>0.26800000000000002</v>
      </c>
      <c r="D500" s="105">
        <f t="shared" si="62"/>
        <v>0.28599999999999998</v>
      </c>
      <c r="E500" s="105">
        <f t="shared" si="62"/>
        <v>6.6000000000000003E-2</v>
      </c>
      <c r="F500" s="105">
        <f t="shared" si="62"/>
        <v>2.5999999999999999E-2</v>
      </c>
      <c r="G500" s="107">
        <v>0.26800000000000002</v>
      </c>
      <c r="H500" s="107">
        <v>0.28599999999999998</v>
      </c>
      <c r="I500" s="106">
        <v>6.6000000000000003E-2</v>
      </c>
      <c r="J500" s="107">
        <v>2.5999999999999999E-2</v>
      </c>
      <c r="K500" s="94">
        <f>((6/3)*L494)+((6/3)*L506)</f>
        <v>62153</v>
      </c>
      <c r="L500" s="114"/>
      <c r="M500" s="421">
        <f t="shared" si="60"/>
        <v>0.6</v>
      </c>
      <c r="N500" s="421">
        <v>0.26</v>
      </c>
      <c r="O500" s="421">
        <f t="shared" si="61"/>
        <v>0.61</v>
      </c>
      <c r="P500" s="421">
        <v>0.34620000000000001</v>
      </c>
      <c r="Q500" s="421">
        <v>0.69640000000000002</v>
      </c>
      <c r="R500" s="421">
        <v>0.6</v>
      </c>
      <c r="S500" s="421">
        <v>0.61</v>
      </c>
    </row>
    <row r="501" spans="1:19" s="96" customFormat="1">
      <c r="A501" s="95">
        <f t="shared" si="56"/>
        <v>52687</v>
      </c>
      <c r="B501" s="95">
        <f t="shared" si="55"/>
        <v>53051</v>
      </c>
      <c r="C501" s="105">
        <f t="shared" si="62"/>
        <v>0.26800000000000002</v>
      </c>
      <c r="D501" s="105">
        <f t="shared" si="62"/>
        <v>0.28599999999999998</v>
      </c>
      <c r="E501" s="105">
        <f t="shared" si="62"/>
        <v>6.6000000000000003E-2</v>
      </c>
      <c r="F501" s="105">
        <f t="shared" si="62"/>
        <v>2.5999999999999999E-2</v>
      </c>
      <c r="G501" s="107">
        <v>0.26800000000000002</v>
      </c>
      <c r="H501" s="107">
        <v>0.28599999999999998</v>
      </c>
      <c r="I501" s="106">
        <v>6.6000000000000003E-2</v>
      </c>
      <c r="J501" s="107">
        <v>2.5999999999999999E-2</v>
      </c>
      <c r="K501" s="94">
        <f>((5/3)*L494)+((7/3)*L506)</f>
        <v>62405</v>
      </c>
      <c r="L501" s="114"/>
      <c r="M501" s="421">
        <f t="shared" si="60"/>
        <v>0.6</v>
      </c>
      <c r="N501" s="421">
        <v>0.26</v>
      </c>
      <c r="O501" s="421">
        <f t="shared" si="61"/>
        <v>0.61</v>
      </c>
      <c r="P501" s="421">
        <v>0.34620000000000001</v>
      </c>
      <c r="Q501" s="421">
        <v>0.69640000000000002</v>
      </c>
      <c r="R501" s="421">
        <v>0.6</v>
      </c>
      <c r="S501" s="421">
        <v>0.61</v>
      </c>
    </row>
    <row r="502" spans="1:19" s="96" customFormat="1">
      <c r="A502" s="95">
        <f t="shared" si="56"/>
        <v>52717</v>
      </c>
      <c r="B502" s="95">
        <f t="shared" si="55"/>
        <v>53081</v>
      </c>
      <c r="C502" s="105">
        <f t="shared" si="62"/>
        <v>0.26800000000000002</v>
      </c>
      <c r="D502" s="105">
        <f t="shared" si="62"/>
        <v>0.28599999999999998</v>
      </c>
      <c r="E502" s="105">
        <f t="shared" si="62"/>
        <v>6.6000000000000003E-2</v>
      </c>
      <c r="F502" s="105">
        <f t="shared" si="62"/>
        <v>2.5999999999999999E-2</v>
      </c>
      <c r="G502" s="107">
        <v>0.26800000000000002</v>
      </c>
      <c r="H502" s="107">
        <v>0.28599999999999998</v>
      </c>
      <c r="I502" s="106">
        <v>6.6000000000000003E-2</v>
      </c>
      <c r="J502" s="107">
        <v>2.5999999999999999E-2</v>
      </c>
      <c r="K502" s="94">
        <f>((4/3)*L494)+((8/3)*L506)</f>
        <v>62658</v>
      </c>
      <c r="L502" s="114"/>
      <c r="M502" s="421">
        <f t="shared" si="60"/>
        <v>0.6</v>
      </c>
      <c r="N502" s="421">
        <v>0.26</v>
      </c>
      <c r="O502" s="421">
        <f t="shared" si="61"/>
        <v>0.61</v>
      </c>
      <c r="P502" s="421">
        <v>0.34620000000000001</v>
      </c>
      <c r="Q502" s="421">
        <v>0.69640000000000002</v>
      </c>
      <c r="R502" s="421">
        <v>0.6</v>
      </c>
      <c r="S502" s="421">
        <v>0.61</v>
      </c>
    </row>
    <row r="503" spans="1:19" s="96" customFormat="1">
      <c r="A503" s="95">
        <f t="shared" si="56"/>
        <v>52748</v>
      </c>
      <c r="B503" s="95">
        <f t="shared" si="55"/>
        <v>53112</v>
      </c>
      <c r="C503" s="105">
        <f t="shared" si="62"/>
        <v>0.26800000000000002</v>
      </c>
      <c r="D503" s="105">
        <f t="shared" si="62"/>
        <v>0.28599999999999998</v>
      </c>
      <c r="E503" s="105">
        <f t="shared" si="62"/>
        <v>6.6000000000000003E-2</v>
      </c>
      <c r="F503" s="105">
        <f t="shared" si="62"/>
        <v>2.5999999999999999E-2</v>
      </c>
      <c r="G503" s="107">
        <v>0.26800000000000002</v>
      </c>
      <c r="H503" s="107">
        <v>0.28599999999999998</v>
      </c>
      <c r="I503" s="106">
        <v>6.6000000000000003E-2</v>
      </c>
      <c r="J503" s="107">
        <v>2.5999999999999999E-2</v>
      </c>
      <c r="K503" s="94">
        <f>((3/3)*L494)+((9/3)*L506)</f>
        <v>62911</v>
      </c>
      <c r="L503" s="114"/>
      <c r="M503" s="421">
        <f t="shared" si="60"/>
        <v>0.6</v>
      </c>
      <c r="N503" s="421">
        <v>0.26</v>
      </c>
      <c r="O503" s="421">
        <f t="shared" si="61"/>
        <v>0.61</v>
      </c>
      <c r="P503" s="421">
        <v>0.34620000000000001</v>
      </c>
      <c r="Q503" s="421">
        <v>0.69640000000000002</v>
      </c>
      <c r="R503" s="421">
        <v>0.6</v>
      </c>
      <c r="S503" s="421">
        <v>0.61</v>
      </c>
    </row>
    <row r="504" spans="1:19" s="96" customFormat="1">
      <c r="A504" s="95">
        <f t="shared" si="56"/>
        <v>52778</v>
      </c>
      <c r="B504" s="95">
        <f t="shared" si="55"/>
        <v>53142</v>
      </c>
      <c r="C504" s="105">
        <f t="shared" si="62"/>
        <v>0.26800000000000002</v>
      </c>
      <c r="D504" s="105">
        <f t="shared" si="62"/>
        <v>0.28599999999999998</v>
      </c>
      <c r="E504" s="105">
        <f t="shared" si="62"/>
        <v>6.6000000000000003E-2</v>
      </c>
      <c r="F504" s="105">
        <f t="shared" si="62"/>
        <v>2.5999999999999999E-2</v>
      </c>
      <c r="G504" s="107">
        <v>0.26800000000000002</v>
      </c>
      <c r="H504" s="107">
        <v>0.28599999999999998</v>
      </c>
      <c r="I504" s="106">
        <v>6.6000000000000003E-2</v>
      </c>
      <c r="J504" s="107">
        <v>2.5999999999999999E-2</v>
      </c>
      <c r="K504" s="94">
        <f>((2/3)*L494)+((10/3)*L506)</f>
        <v>63163</v>
      </c>
      <c r="L504" s="114"/>
      <c r="M504" s="421">
        <f t="shared" si="60"/>
        <v>0.6</v>
      </c>
      <c r="N504" s="421">
        <v>0.26</v>
      </c>
      <c r="O504" s="421">
        <f t="shared" si="61"/>
        <v>0.61</v>
      </c>
      <c r="P504" s="421">
        <v>0.34620000000000001</v>
      </c>
      <c r="Q504" s="421">
        <v>0.69640000000000002</v>
      </c>
      <c r="R504" s="421">
        <v>0.6</v>
      </c>
      <c r="S504" s="421">
        <v>0.61</v>
      </c>
    </row>
    <row r="505" spans="1:19" s="96" customFormat="1">
      <c r="A505" s="95">
        <f t="shared" si="56"/>
        <v>52809</v>
      </c>
      <c r="B505" s="95">
        <f t="shared" si="55"/>
        <v>53173</v>
      </c>
      <c r="C505" s="105">
        <f t="shared" si="62"/>
        <v>0.26800000000000002</v>
      </c>
      <c r="D505" s="105">
        <f t="shared" si="62"/>
        <v>0.28599999999999998</v>
      </c>
      <c r="E505" s="105">
        <f t="shared" si="62"/>
        <v>6.6000000000000003E-2</v>
      </c>
      <c r="F505" s="105">
        <f t="shared" si="62"/>
        <v>2.5999999999999999E-2</v>
      </c>
      <c r="G505" s="107">
        <v>0.26800000000000002</v>
      </c>
      <c r="H505" s="107">
        <v>0.28599999999999998</v>
      </c>
      <c r="I505" s="106">
        <v>6.6000000000000003E-2</v>
      </c>
      <c r="J505" s="107">
        <v>2.5999999999999999E-2</v>
      </c>
      <c r="K505" s="94">
        <f>((1/3)*L494)+((11/3)*L506)</f>
        <v>63416</v>
      </c>
      <c r="L505" s="114"/>
      <c r="M505" s="421">
        <f t="shared" si="60"/>
        <v>0.6</v>
      </c>
      <c r="N505" s="421">
        <v>0.26</v>
      </c>
      <c r="O505" s="421">
        <f t="shared" si="61"/>
        <v>0.61</v>
      </c>
      <c r="P505" s="421">
        <v>0.34620000000000001</v>
      </c>
      <c r="Q505" s="421">
        <v>0.69640000000000002</v>
      </c>
      <c r="R505" s="421">
        <v>0.6</v>
      </c>
      <c r="S505" s="421">
        <v>0.61</v>
      </c>
    </row>
    <row r="506" spans="1:19" s="60" customFormat="1">
      <c r="A506" s="59">
        <f t="shared" si="56"/>
        <v>52840</v>
      </c>
      <c r="B506" s="59">
        <f t="shared" si="55"/>
        <v>53204</v>
      </c>
      <c r="C506" s="102">
        <f t="shared" si="62"/>
        <v>0.26800000000000002</v>
      </c>
      <c r="D506" s="102">
        <f t="shared" si="62"/>
        <v>0.28599999999999998</v>
      </c>
      <c r="E506" s="102">
        <f t="shared" si="62"/>
        <v>6.6000000000000003E-2</v>
      </c>
      <c r="F506" s="102">
        <f t="shared" si="62"/>
        <v>2.5999999999999999E-2</v>
      </c>
      <c r="G506" s="104">
        <v>0.26800000000000002</v>
      </c>
      <c r="H506" s="104">
        <v>0.28599999999999998</v>
      </c>
      <c r="I506" s="103">
        <v>6.6000000000000003E-2</v>
      </c>
      <c r="J506" s="104">
        <v>2.5999999999999999E-2</v>
      </c>
      <c r="K506" s="54">
        <f>(L506*4)</f>
        <v>63669</v>
      </c>
      <c r="L506" s="113">
        <f>L494*1.05</f>
        <v>15917.15</v>
      </c>
      <c r="M506" s="98">
        <f t="shared" si="60"/>
        <v>0.6</v>
      </c>
      <c r="N506" s="98">
        <v>0.26</v>
      </c>
      <c r="O506" s="98">
        <f t="shared" si="61"/>
        <v>0.61</v>
      </c>
      <c r="P506" s="98">
        <v>0.34620000000000001</v>
      </c>
      <c r="Q506" s="98">
        <v>0.69640000000000002</v>
      </c>
      <c r="R506" s="98">
        <v>0.6</v>
      </c>
      <c r="S506" s="98">
        <v>0.61</v>
      </c>
    </row>
    <row r="507" spans="1:19" s="60" customFormat="1">
      <c r="A507" s="59">
        <f t="shared" si="56"/>
        <v>52870</v>
      </c>
      <c r="B507" s="59">
        <f t="shared" si="55"/>
        <v>53234</v>
      </c>
      <c r="C507" s="102">
        <f t="shared" si="62"/>
        <v>0.26800000000000002</v>
      </c>
      <c r="D507" s="102">
        <f t="shared" si="62"/>
        <v>0.28599999999999998</v>
      </c>
      <c r="E507" s="102">
        <f t="shared" si="62"/>
        <v>6.6000000000000003E-2</v>
      </c>
      <c r="F507" s="102">
        <f t="shared" si="62"/>
        <v>2.5999999999999999E-2</v>
      </c>
      <c r="G507" s="104">
        <v>0.26800000000000002</v>
      </c>
      <c r="H507" s="104">
        <v>0.28599999999999998</v>
      </c>
      <c r="I507" s="103">
        <v>6.6000000000000003E-2</v>
      </c>
      <c r="J507" s="104">
        <v>2.5999999999999999E-2</v>
      </c>
      <c r="K507" s="54">
        <f>((11/3)*L506)+((1/3)*L518)</f>
        <v>63934</v>
      </c>
      <c r="L507" s="113"/>
      <c r="M507" s="98">
        <f t="shared" si="60"/>
        <v>0.6</v>
      </c>
      <c r="N507" s="98">
        <v>0.26</v>
      </c>
      <c r="O507" s="98">
        <f t="shared" si="61"/>
        <v>0.61</v>
      </c>
      <c r="P507" s="98">
        <v>0.34620000000000001</v>
      </c>
      <c r="Q507" s="98">
        <v>0.69640000000000002</v>
      </c>
      <c r="R507" s="98">
        <v>0.6</v>
      </c>
      <c r="S507" s="98">
        <v>0.61</v>
      </c>
    </row>
    <row r="508" spans="1:19" s="60" customFormat="1">
      <c r="A508" s="59">
        <f t="shared" si="56"/>
        <v>52901</v>
      </c>
      <c r="B508" s="59">
        <f t="shared" si="55"/>
        <v>53265</v>
      </c>
      <c r="C508" s="102">
        <f t="shared" si="62"/>
        <v>0.26800000000000002</v>
      </c>
      <c r="D508" s="102">
        <f t="shared" si="62"/>
        <v>0.28599999999999998</v>
      </c>
      <c r="E508" s="102">
        <f t="shared" si="62"/>
        <v>6.6000000000000003E-2</v>
      </c>
      <c r="F508" s="102">
        <f t="shared" si="62"/>
        <v>2.5999999999999999E-2</v>
      </c>
      <c r="G508" s="104">
        <v>0.26800000000000002</v>
      </c>
      <c r="H508" s="104">
        <v>0.28599999999999998</v>
      </c>
      <c r="I508" s="103">
        <v>6.6000000000000003E-2</v>
      </c>
      <c r="J508" s="104">
        <v>2.5999999999999999E-2</v>
      </c>
      <c r="K508" s="54">
        <f>((10/3)*L506)+((2/3)*L518)</f>
        <v>64199</v>
      </c>
      <c r="L508" s="113"/>
      <c r="M508" s="98">
        <f t="shared" si="60"/>
        <v>0.6</v>
      </c>
      <c r="N508" s="98">
        <v>0.26</v>
      </c>
      <c r="O508" s="98">
        <f t="shared" si="61"/>
        <v>0.61</v>
      </c>
      <c r="P508" s="98">
        <v>0.34620000000000001</v>
      </c>
      <c r="Q508" s="98">
        <v>0.69640000000000002</v>
      </c>
      <c r="R508" s="98">
        <v>0.6</v>
      </c>
      <c r="S508" s="98">
        <v>0.61</v>
      </c>
    </row>
    <row r="509" spans="1:19" s="60" customFormat="1">
      <c r="A509" s="59">
        <f t="shared" si="56"/>
        <v>52931</v>
      </c>
      <c r="B509" s="59">
        <f t="shared" si="55"/>
        <v>53295</v>
      </c>
      <c r="C509" s="102">
        <f t="shared" si="62"/>
        <v>0.26800000000000002</v>
      </c>
      <c r="D509" s="102">
        <f t="shared" si="62"/>
        <v>0.28599999999999998</v>
      </c>
      <c r="E509" s="102">
        <f t="shared" si="62"/>
        <v>6.6000000000000003E-2</v>
      </c>
      <c r="F509" s="102">
        <f t="shared" si="62"/>
        <v>2.5999999999999999E-2</v>
      </c>
      <c r="G509" s="104">
        <v>0.26800000000000002</v>
      </c>
      <c r="H509" s="104">
        <v>0.28599999999999998</v>
      </c>
      <c r="I509" s="103">
        <v>6.6000000000000003E-2</v>
      </c>
      <c r="J509" s="104">
        <v>2.5999999999999999E-2</v>
      </c>
      <c r="K509" s="54">
        <f>((9/3)*L506)+((3/3)*L518)</f>
        <v>64464</v>
      </c>
      <c r="L509" s="113"/>
      <c r="M509" s="98">
        <f t="shared" si="60"/>
        <v>0.6</v>
      </c>
      <c r="N509" s="98">
        <v>0.26</v>
      </c>
      <c r="O509" s="98">
        <f t="shared" si="61"/>
        <v>0.61</v>
      </c>
      <c r="P509" s="98">
        <v>0.34620000000000001</v>
      </c>
      <c r="Q509" s="98">
        <v>0.69640000000000002</v>
      </c>
      <c r="R509" s="98">
        <v>0.6</v>
      </c>
      <c r="S509" s="98">
        <v>0.61</v>
      </c>
    </row>
    <row r="510" spans="1:19" s="60" customFormat="1">
      <c r="A510" s="59">
        <f t="shared" si="56"/>
        <v>52962</v>
      </c>
      <c r="B510" s="59">
        <f t="shared" si="55"/>
        <v>53326</v>
      </c>
      <c r="C510" s="102">
        <f t="shared" si="62"/>
        <v>0.26800000000000002</v>
      </c>
      <c r="D510" s="102">
        <f t="shared" si="62"/>
        <v>0.28599999999999998</v>
      </c>
      <c r="E510" s="102">
        <f t="shared" si="62"/>
        <v>6.6000000000000003E-2</v>
      </c>
      <c r="F510" s="102">
        <f t="shared" si="62"/>
        <v>2.5999999999999999E-2</v>
      </c>
      <c r="G510" s="104">
        <v>0.26800000000000002</v>
      </c>
      <c r="H510" s="104">
        <v>0.28599999999999998</v>
      </c>
      <c r="I510" s="103">
        <v>6.6000000000000003E-2</v>
      </c>
      <c r="J510" s="104">
        <v>2.5999999999999999E-2</v>
      </c>
      <c r="K510" s="54">
        <f>((8/3)*L506)+((4/3)*L518)</f>
        <v>64730</v>
      </c>
      <c r="L510" s="113"/>
      <c r="M510" s="98">
        <f t="shared" si="60"/>
        <v>0.6</v>
      </c>
      <c r="N510" s="98">
        <v>0.26</v>
      </c>
      <c r="O510" s="98">
        <f t="shared" si="61"/>
        <v>0.61</v>
      </c>
      <c r="P510" s="98">
        <v>0.34620000000000001</v>
      </c>
      <c r="Q510" s="98">
        <v>0.69640000000000002</v>
      </c>
      <c r="R510" s="98">
        <v>0.6</v>
      </c>
      <c r="S510" s="98">
        <v>0.61</v>
      </c>
    </row>
    <row r="511" spans="1:19" s="60" customFormat="1">
      <c r="A511" s="59">
        <f t="shared" si="56"/>
        <v>52993</v>
      </c>
      <c r="B511" s="59">
        <f t="shared" si="55"/>
        <v>53357</v>
      </c>
      <c r="C511" s="102">
        <f t="shared" si="62"/>
        <v>0.26800000000000002</v>
      </c>
      <c r="D511" s="102">
        <f t="shared" si="62"/>
        <v>0.28599999999999998</v>
      </c>
      <c r="E511" s="102">
        <f t="shared" si="62"/>
        <v>6.6000000000000003E-2</v>
      </c>
      <c r="F511" s="102">
        <f t="shared" si="62"/>
        <v>2.5999999999999999E-2</v>
      </c>
      <c r="G511" s="104">
        <v>0.26800000000000002</v>
      </c>
      <c r="H511" s="104">
        <v>0.28599999999999998</v>
      </c>
      <c r="I511" s="103">
        <v>6.6000000000000003E-2</v>
      </c>
      <c r="J511" s="104">
        <v>2.5999999999999999E-2</v>
      </c>
      <c r="K511" s="54">
        <f>((7/3)*L506)+((5/3)*L518)</f>
        <v>64995</v>
      </c>
      <c r="L511" s="113"/>
      <c r="M511" s="98">
        <f t="shared" si="60"/>
        <v>0.6</v>
      </c>
      <c r="N511" s="98">
        <v>0.26</v>
      </c>
      <c r="O511" s="98">
        <f t="shared" si="61"/>
        <v>0.61</v>
      </c>
      <c r="P511" s="98">
        <v>0.34620000000000001</v>
      </c>
      <c r="Q511" s="98">
        <v>0.69640000000000002</v>
      </c>
      <c r="R511" s="98">
        <v>0.6</v>
      </c>
      <c r="S511" s="98">
        <v>0.61</v>
      </c>
    </row>
    <row r="512" spans="1:19" s="60" customFormat="1">
      <c r="A512" s="59">
        <f t="shared" si="56"/>
        <v>53021</v>
      </c>
      <c r="B512" s="59">
        <f t="shared" si="55"/>
        <v>53385</v>
      </c>
      <c r="C512" s="102">
        <f t="shared" si="62"/>
        <v>0.26800000000000002</v>
      </c>
      <c r="D512" s="102">
        <f t="shared" si="62"/>
        <v>0.28599999999999998</v>
      </c>
      <c r="E512" s="102">
        <f t="shared" si="62"/>
        <v>6.6000000000000003E-2</v>
      </c>
      <c r="F512" s="102">
        <f t="shared" si="62"/>
        <v>2.5999999999999999E-2</v>
      </c>
      <c r="G512" s="104">
        <v>0.26800000000000002</v>
      </c>
      <c r="H512" s="104">
        <v>0.28599999999999998</v>
      </c>
      <c r="I512" s="103">
        <v>6.6000000000000003E-2</v>
      </c>
      <c r="J512" s="104">
        <v>2.5999999999999999E-2</v>
      </c>
      <c r="K512" s="54">
        <f>((6/3)*L506)+((6/3)*L518)</f>
        <v>65260</v>
      </c>
      <c r="L512" s="113"/>
      <c r="M512" s="98">
        <f t="shared" si="60"/>
        <v>0.6</v>
      </c>
      <c r="N512" s="98">
        <v>0.26</v>
      </c>
      <c r="O512" s="98">
        <f t="shared" si="61"/>
        <v>0.61</v>
      </c>
      <c r="P512" s="98">
        <v>0.34620000000000001</v>
      </c>
      <c r="Q512" s="98">
        <v>0.69640000000000002</v>
      </c>
      <c r="R512" s="98">
        <v>0.6</v>
      </c>
      <c r="S512" s="98">
        <v>0.61</v>
      </c>
    </row>
    <row r="513" spans="1:19" s="60" customFormat="1">
      <c r="A513" s="59">
        <f t="shared" si="56"/>
        <v>53052</v>
      </c>
      <c r="B513" s="59">
        <f t="shared" si="55"/>
        <v>53416</v>
      </c>
      <c r="C513" s="102">
        <f t="shared" si="62"/>
        <v>0.26800000000000002</v>
      </c>
      <c r="D513" s="102">
        <f t="shared" si="62"/>
        <v>0.28599999999999998</v>
      </c>
      <c r="E513" s="102">
        <f t="shared" si="62"/>
        <v>6.6000000000000003E-2</v>
      </c>
      <c r="F513" s="102">
        <f t="shared" si="62"/>
        <v>2.5999999999999999E-2</v>
      </c>
      <c r="G513" s="104">
        <v>0.26800000000000002</v>
      </c>
      <c r="H513" s="104">
        <v>0.28599999999999998</v>
      </c>
      <c r="I513" s="103">
        <v>6.6000000000000003E-2</v>
      </c>
      <c r="J513" s="104">
        <v>2.5999999999999999E-2</v>
      </c>
      <c r="K513" s="54">
        <f>((5/3)*L506)+((7/3)*L518)</f>
        <v>65526</v>
      </c>
      <c r="L513" s="113"/>
      <c r="M513" s="98">
        <f t="shared" si="60"/>
        <v>0.6</v>
      </c>
      <c r="N513" s="98">
        <v>0.26</v>
      </c>
      <c r="O513" s="98">
        <f t="shared" si="61"/>
        <v>0.61</v>
      </c>
      <c r="P513" s="98">
        <v>0.34620000000000001</v>
      </c>
      <c r="Q513" s="98">
        <v>0.69640000000000002</v>
      </c>
      <c r="R513" s="98">
        <v>0.6</v>
      </c>
      <c r="S513" s="98">
        <v>0.61</v>
      </c>
    </row>
    <row r="514" spans="1:19" s="60" customFormat="1">
      <c r="A514" s="59">
        <f t="shared" si="56"/>
        <v>53082</v>
      </c>
      <c r="B514" s="59">
        <f t="shared" ref="B514:B577" si="63">EDATE(A514,12)-1</f>
        <v>53446</v>
      </c>
      <c r="C514" s="102">
        <f t="shared" si="62"/>
        <v>0.26800000000000002</v>
      </c>
      <c r="D514" s="102">
        <f t="shared" si="62"/>
        <v>0.28599999999999998</v>
      </c>
      <c r="E514" s="102">
        <f t="shared" si="62"/>
        <v>6.6000000000000003E-2</v>
      </c>
      <c r="F514" s="102">
        <f t="shared" si="62"/>
        <v>2.5999999999999999E-2</v>
      </c>
      <c r="G514" s="104">
        <v>0.26800000000000002</v>
      </c>
      <c r="H514" s="104">
        <v>0.28599999999999998</v>
      </c>
      <c r="I514" s="103">
        <v>6.6000000000000003E-2</v>
      </c>
      <c r="J514" s="104">
        <v>2.5999999999999999E-2</v>
      </c>
      <c r="K514" s="54">
        <f>((4/3)*L506)+((8/3)*L518)</f>
        <v>65791</v>
      </c>
      <c r="L514" s="113"/>
      <c r="M514" s="98">
        <f t="shared" si="60"/>
        <v>0.6</v>
      </c>
      <c r="N514" s="98">
        <v>0.26</v>
      </c>
      <c r="O514" s="98">
        <f t="shared" si="61"/>
        <v>0.61</v>
      </c>
      <c r="P514" s="98">
        <v>0.34620000000000001</v>
      </c>
      <c r="Q514" s="98">
        <v>0.69640000000000002</v>
      </c>
      <c r="R514" s="98">
        <v>0.6</v>
      </c>
      <c r="S514" s="98">
        <v>0.61</v>
      </c>
    </row>
    <row r="515" spans="1:19" s="60" customFormat="1">
      <c r="A515" s="59">
        <f t="shared" ref="A515:A578" si="64">EDATE(A514,1)</f>
        <v>53113</v>
      </c>
      <c r="B515" s="59">
        <f t="shared" si="63"/>
        <v>53477</v>
      </c>
      <c r="C515" s="102">
        <f t="shared" ref="C515:F530" si="65">AVERAGE(G515:G526)</f>
        <v>0.26800000000000002</v>
      </c>
      <c r="D515" s="102">
        <f t="shared" si="65"/>
        <v>0.28599999999999998</v>
      </c>
      <c r="E515" s="102">
        <f t="shared" si="65"/>
        <v>6.6000000000000003E-2</v>
      </c>
      <c r="F515" s="102">
        <f t="shared" si="65"/>
        <v>2.5999999999999999E-2</v>
      </c>
      <c r="G515" s="104">
        <v>0.26800000000000002</v>
      </c>
      <c r="H515" s="104">
        <v>0.28599999999999998</v>
      </c>
      <c r="I515" s="103">
        <v>6.6000000000000003E-2</v>
      </c>
      <c r="J515" s="104">
        <v>2.5999999999999999E-2</v>
      </c>
      <c r="K515" s="54">
        <f>((3/3)*L506)+((9/3)*L518)</f>
        <v>66056</v>
      </c>
      <c r="L515" s="113"/>
      <c r="M515" s="98">
        <f t="shared" si="60"/>
        <v>0.6</v>
      </c>
      <c r="N515" s="98">
        <v>0.26</v>
      </c>
      <c r="O515" s="98">
        <f t="shared" si="61"/>
        <v>0.61</v>
      </c>
      <c r="P515" s="98">
        <v>0.34620000000000001</v>
      </c>
      <c r="Q515" s="98">
        <v>0.69640000000000002</v>
      </c>
      <c r="R515" s="98">
        <v>0.6</v>
      </c>
      <c r="S515" s="98">
        <v>0.61</v>
      </c>
    </row>
    <row r="516" spans="1:19" s="60" customFormat="1">
      <c r="A516" s="59">
        <f t="shared" si="64"/>
        <v>53143</v>
      </c>
      <c r="B516" s="59">
        <f t="shared" si="63"/>
        <v>53507</v>
      </c>
      <c r="C516" s="102">
        <f t="shared" si="65"/>
        <v>0.26800000000000002</v>
      </c>
      <c r="D516" s="102">
        <f t="shared" si="65"/>
        <v>0.28599999999999998</v>
      </c>
      <c r="E516" s="102">
        <f t="shared" si="65"/>
        <v>6.6000000000000003E-2</v>
      </c>
      <c r="F516" s="102">
        <f t="shared" si="65"/>
        <v>2.5999999999999999E-2</v>
      </c>
      <c r="G516" s="104">
        <v>0.26800000000000002</v>
      </c>
      <c r="H516" s="104">
        <v>0.28599999999999998</v>
      </c>
      <c r="I516" s="103">
        <v>6.6000000000000003E-2</v>
      </c>
      <c r="J516" s="104">
        <v>2.5999999999999999E-2</v>
      </c>
      <c r="K516" s="54">
        <f>((2/3)*L506)+((10/3)*L518)</f>
        <v>66321</v>
      </c>
      <c r="L516" s="113"/>
      <c r="M516" s="98">
        <f t="shared" si="60"/>
        <v>0.6</v>
      </c>
      <c r="N516" s="98">
        <v>0.26</v>
      </c>
      <c r="O516" s="98">
        <f t="shared" si="61"/>
        <v>0.61</v>
      </c>
      <c r="P516" s="98">
        <v>0.34620000000000001</v>
      </c>
      <c r="Q516" s="98">
        <v>0.69640000000000002</v>
      </c>
      <c r="R516" s="98">
        <v>0.6</v>
      </c>
      <c r="S516" s="98">
        <v>0.61</v>
      </c>
    </row>
    <row r="517" spans="1:19" s="60" customFormat="1">
      <c r="A517" s="59">
        <f t="shared" si="64"/>
        <v>53174</v>
      </c>
      <c r="B517" s="59">
        <f t="shared" si="63"/>
        <v>53538</v>
      </c>
      <c r="C517" s="99">
        <f t="shared" si="65"/>
        <v>0.26800000000000002</v>
      </c>
      <c r="D517" s="99">
        <f t="shared" si="65"/>
        <v>0.28599999999999998</v>
      </c>
      <c r="E517" s="99">
        <f t="shared" si="65"/>
        <v>6.6000000000000003E-2</v>
      </c>
      <c r="F517" s="99">
        <f t="shared" si="65"/>
        <v>2.5999999999999999E-2</v>
      </c>
      <c r="G517" s="104">
        <v>0.26800000000000002</v>
      </c>
      <c r="H517" s="104">
        <v>0.28599999999999998</v>
      </c>
      <c r="I517" s="103">
        <v>6.6000000000000003E-2</v>
      </c>
      <c r="J517" s="104">
        <v>2.5999999999999999E-2</v>
      </c>
      <c r="K517" s="54">
        <f>((1/3)*L506)+((11/3)*L518)</f>
        <v>66587</v>
      </c>
      <c r="L517" s="113"/>
      <c r="M517" s="98">
        <f t="shared" si="60"/>
        <v>0.6</v>
      </c>
      <c r="N517" s="98">
        <v>0.26</v>
      </c>
      <c r="O517" s="98">
        <f t="shared" si="61"/>
        <v>0.61</v>
      </c>
      <c r="P517" s="98">
        <v>0.34620000000000001</v>
      </c>
      <c r="Q517" s="98">
        <v>0.69640000000000002</v>
      </c>
      <c r="R517" s="98">
        <v>0.6</v>
      </c>
      <c r="S517" s="98">
        <v>0.61</v>
      </c>
    </row>
    <row r="518" spans="1:19" s="96" customFormat="1">
      <c r="A518" s="95">
        <f t="shared" si="64"/>
        <v>53205</v>
      </c>
      <c r="B518" s="95">
        <f t="shared" si="63"/>
        <v>53569</v>
      </c>
      <c r="C518" s="105">
        <f t="shared" si="65"/>
        <v>0.26800000000000002</v>
      </c>
      <c r="D518" s="105">
        <f t="shared" si="65"/>
        <v>0.28599999999999998</v>
      </c>
      <c r="E518" s="105">
        <f t="shared" si="65"/>
        <v>6.6000000000000003E-2</v>
      </c>
      <c r="F518" s="105">
        <f t="shared" si="65"/>
        <v>2.5999999999999999E-2</v>
      </c>
      <c r="G518" s="107">
        <v>0.26800000000000002</v>
      </c>
      <c r="H518" s="107">
        <v>0.28599999999999998</v>
      </c>
      <c r="I518" s="106">
        <v>6.6000000000000003E-2</v>
      </c>
      <c r="J518" s="107">
        <v>2.5999999999999999E-2</v>
      </c>
      <c r="K518" s="94">
        <f>(L518*4)</f>
        <v>66852</v>
      </c>
      <c r="L518" s="114">
        <f>L506*1.05</f>
        <v>16713.009999999998</v>
      </c>
      <c r="M518" s="421">
        <f t="shared" si="60"/>
        <v>0.6</v>
      </c>
      <c r="N518" s="421">
        <v>0.26</v>
      </c>
      <c r="O518" s="421">
        <f t="shared" si="61"/>
        <v>0.61</v>
      </c>
      <c r="P518" s="421">
        <v>0.34620000000000001</v>
      </c>
      <c r="Q518" s="421">
        <v>0.69640000000000002</v>
      </c>
      <c r="R518" s="421">
        <v>0.6</v>
      </c>
      <c r="S518" s="421">
        <v>0.61</v>
      </c>
    </row>
    <row r="519" spans="1:19" s="96" customFormat="1">
      <c r="A519" s="95">
        <f t="shared" si="64"/>
        <v>53235</v>
      </c>
      <c r="B519" s="95">
        <f t="shared" si="63"/>
        <v>53599</v>
      </c>
      <c r="C519" s="105">
        <f t="shared" si="65"/>
        <v>0.26800000000000002</v>
      </c>
      <c r="D519" s="105">
        <f t="shared" si="65"/>
        <v>0.28599999999999998</v>
      </c>
      <c r="E519" s="105">
        <f t="shared" si="65"/>
        <v>6.6000000000000003E-2</v>
      </c>
      <c r="F519" s="105">
        <f t="shared" si="65"/>
        <v>2.5999999999999999E-2</v>
      </c>
      <c r="G519" s="107">
        <v>0.26800000000000002</v>
      </c>
      <c r="H519" s="107">
        <v>0.28599999999999998</v>
      </c>
      <c r="I519" s="106">
        <v>6.6000000000000003E-2</v>
      </c>
      <c r="J519" s="107">
        <v>2.5999999999999999E-2</v>
      </c>
      <c r="K519" s="94">
        <f>((11/3)*L518)+((1/3)*L530)</f>
        <v>67131</v>
      </c>
      <c r="L519" s="114"/>
      <c r="M519" s="421">
        <f t="shared" si="60"/>
        <v>0.6</v>
      </c>
      <c r="N519" s="421">
        <v>0.26</v>
      </c>
      <c r="O519" s="421">
        <f t="shared" si="61"/>
        <v>0.61</v>
      </c>
      <c r="P519" s="421">
        <v>0.34620000000000001</v>
      </c>
      <c r="Q519" s="421">
        <v>0.69640000000000002</v>
      </c>
      <c r="R519" s="421">
        <v>0.6</v>
      </c>
      <c r="S519" s="421">
        <v>0.61</v>
      </c>
    </row>
    <row r="520" spans="1:19" s="96" customFormat="1">
      <c r="A520" s="95">
        <f t="shared" si="64"/>
        <v>53266</v>
      </c>
      <c r="B520" s="95">
        <f t="shared" si="63"/>
        <v>53630</v>
      </c>
      <c r="C520" s="105">
        <f t="shared" si="65"/>
        <v>0.26800000000000002</v>
      </c>
      <c r="D520" s="105">
        <f t="shared" si="65"/>
        <v>0.28599999999999998</v>
      </c>
      <c r="E520" s="105">
        <f t="shared" si="65"/>
        <v>6.6000000000000003E-2</v>
      </c>
      <c r="F520" s="105">
        <f t="shared" si="65"/>
        <v>2.5999999999999999E-2</v>
      </c>
      <c r="G520" s="107">
        <v>0.26800000000000002</v>
      </c>
      <c r="H520" s="107">
        <v>0.28599999999999998</v>
      </c>
      <c r="I520" s="106">
        <v>6.6000000000000003E-2</v>
      </c>
      <c r="J520" s="107">
        <v>2.5999999999999999E-2</v>
      </c>
      <c r="K520" s="94">
        <f>((10/3)*L518)+((2/3)*L530)</f>
        <v>67409</v>
      </c>
      <c r="L520" s="114"/>
      <c r="M520" s="421">
        <f t="shared" si="60"/>
        <v>0.6</v>
      </c>
      <c r="N520" s="421">
        <v>0.26</v>
      </c>
      <c r="O520" s="421">
        <f t="shared" si="61"/>
        <v>0.61</v>
      </c>
      <c r="P520" s="421">
        <v>0.34620000000000001</v>
      </c>
      <c r="Q520" s="421">
        <v>0.69640000000000002</v>
      </c>
      <c r="R520" s="421">
        <v>0.6</v>
      </c>
      <c r="S520" s="421">
        <v>0.61</v>
      </c>
    </row>
    <row r="521" spans="1:19" s="96" customFormat="1">
      <c r="A521" s="95">
        <f t="shared" si="64"/>
        <v>53296</v>
      </c>
      <c r="B521" s="95">
        <f t="shared" si="63"/>
        <v>53660</v>
      </c>
      <c r="C521" s="105">
        <f t="shared" si="65"/>
        <v>0.26800000000000002</v>
      </c>
      <c r="D521" s="105">
        <f t="shared" si="65"/>
        <v>0.28599999999999998</v>
      </c>
      <c r="E521" s="105">
        <f t="shared" si="65"/>
        <v>6.6000000000000003E-2</v>
      </c>
      <c r="F521" s="105">
        <f t="shared" si="65"/>
        <v>2.5999999999999999E-2</v>
      </c>
      <c r="G521" s="107">
        <v>0.26800000000000002</v>
      </c>
      <c r="H521" s="107">
        <v>0.28599999999999998</v>
      </c>
      <c r="I521" s="106">
        <v>6.6000000000000003E-2</v>
      </c>
      <c r="J521" s="107">
        <v>2.5999999999999999E-2</v>
      </c>
      <c r="K521" s="94">
        <f>((9/3)*L518)+((3/3)*L530)</f>
        <v>67688</v>
      </c>
      <c r="L521" s="114"/>
      <c r="M521" s="421">
        <f t="shared" si="60"/>
        <v>0.6</v>
      </c>
      <c r="N521" s="421">
        <v>0.26</v>
      </c>
      <c r="O521" s="421">
        <f t="shared" si="61"/>
        <v>0.61</v>
      </c>
      <c r="P521" s="421">
        <v>0.34620000000000001</v>
      </c>
      <c r="Q521" s="421">
        <v>0.69640000000000002</v>
      </c>
      <c r="R521" s="421">
        <v>0.6</v>
      </c>
      <c r="S521" s="421">
        <v>0.61</v>
      </c>
    </row>
    <row r="522" spans="1:19" s="96" customFormat="1">
      <c r="A522" s="95">
        <f t="shared" si="64"/>
        <v>53327</v>
      </c>
      <c r="B522" s="95">
        <f t="shared" si="63"/>
        <v>53691</v>
      </c>
      <c r="C522" s="105">
        <f t="shared" si="65"/>
        <v>0.26800000000000002</v>
      </c>
      <c r="D522" s="105">
        <f t="shared" si="65"/>
        <v>0.28599999999999998</v>
      </c>
      <c r="E522" s="105">
        <f t="shared" si="65"/>
        <v>6.6000000000000003E-2</v>
      </c>
      <c r="F522" s="105">
        <f t="shared" si="65"/>
        <v>2.5999999999999999E-2</v>
      </c>
      <c r="G522" s="107">
        <v>0.26800000000000002</v>
      </c>
      <c r="H522" s="107">
        <v>0.28599999999999998</v>
      </c>
      <c r="I522" s="106">
        <v>6.6000000000000003E-2</v>
      </c>
      <c r="J522" s="107">
        <v>2.5999999999999999E-2</v>
      </c>
      <c r="K522" s="94">
        <f>((8/3)*L518)+((4/3)*L530)</f>
        <v>67966</v>
      </c>
      <c r="L522" s="114"/>
      <c r="M522" s="421">
        <f t="shared" si="60"/>
        <v>0.6</v>
      </c>
      <c r="N522" s="421">
        <v>0.26</v>
      </c>
      <c r="O522" s="421">
        <f t="shared" si="61"/>
        <v>0.61</v>
      </c>
      <c r="P522" s="421">
        <v>0.34620000000000001</v>
      </c>
      <c r="Q522" s="421">
        <v>0.69640000000000002</v>
      </c>
      <c r="R522" s="421">
        <v>0.6</v>
      </c>
      <c r="S522" s="421">
        <v>0.61</v>
      </c>
    </row>
    <row r="523" spans="1:19" s="96" customFormat="1">
      <c r="A523" s="95">
        <f t="shared" si="64"/>
        <v>53358</v>
      </c>
      <c r="B523" s="95">
        <f t="shared" si="63"/>
        <v>53722</v>
      </c>
      <c r="C523" s="105">
        <f t="shared" si="65"/>
        <v>0.26800000000000002</v>
      </c>
      <c r="D523" s="105">
        <f t="shared" si="65"/>
        <v>0.28599999999999998</v>
      </c>
      <c r="E523" s="105">
        <f t="shared" si="65"/>
        <v>6.6000000000000003E-2</v>
      </c>
      <c r="F523" s="105">
        <f t="shared" si="65"/>
        <v>2.5999999999999999E-2</v>
      </c>
      <c r="G523" s="107">
        <v>0.26800000000000002</v>
      </c>
      <c r="H523" s="107">
        <v>0.28599999999999998</v>
      </c>
      <c r="I523" s="106">
        <v>6.6000000000000003E-2</v>
      </c>
      <c r="J523" s="107">
        <v>2.5999999999999999E-2</v>
      </c>
      <c r="K523" s="94">
        <f>((7/3)*L518)+((5/3)*L530)</f>
        <v>68245</v>
      </c>
      <c r="L523" s="114"/>
      <c r="M523" s="421">
        <f t="shared" si="60"/>
        <v>0.6</v>
      </c>
      <c r="N523" s="421">
        <v>0.26</v>
      </c>
      <c r="O523" s="421">
        <f t="shared" si="61"/>
        <v>0.61</v>
      </c>
      <c r="P523" s="421">
        <v>0.34620000000000001</v>
      </c>
      <c r="Q523" s="421">
        <v>0.69640000000000002</v>
      </c>
      <c r="R523" s="421">
        <v>0.6</v>
      </c>
      <c r="S523" s="421">
        <v>0.61</v>
      </c>
    </row>
    <row r="524" spans="1:19" s="96" customFormat="1">
      <c r="A524" s="95">
        <f t="shared" si="64"/>
        <v>53386</v>
      </c>
      <c r="B524" s="95">
        <f t="shared" si="63"/>
        <v>53750</v>
      </c>
      <c r="C524" s="105">
        <f t="shared" si="65"/>
        <v>0.26800000000000002</v>
      </c>
      <c r="D524" s="105">
        <f t="shared" si="65"/>
        <v>0.28599999999999998</v>
      </c>
      <c r="E524" s="105">
        <f t="shared" si="65"/>
        <v>6.6000000000000003E-2</v>
      </c>
      <c r="F524" s="105">
        <f t="shared" si="65"/>
        <v>2.5999999999999999E-2</v>
      </c>
      <c r="G524" s="107">
        <v>0.26800000000000002</v>
      </c>
      <c r="H524" s="107">
        <v>0.28599999999999998</v>
      </c>
      <c r="I524" s="106">
        <v>6.6000000000000003E-2</v>
      </c>
      <c r="J524" s="107">
        <v>2.5999999999999999E-2</v>
      </c>
      <c r="K524" s="94">
        <f>((6/3)*L518)+((6/3)*L530)</f>
        <v>68523</v>
      </c>
      <c r="L524" s="114"/>
      <c r="M524" s="421">
        <f t="shared" si="60"/>
        <v>0.6</v>
      </c>
      <c r="N524" s="421">
        <v>0.26</v>
      </c>
      <c r="O524" s="421">
        <f t="shared" si="61"/>
        <v>0.61</v>
      </c>
      <c r="P524" s="421">
        <v>0.34620000000000001</v>
      </c>
      <c r="Q524" s="421">
        <v>0.69640000000000002</v>
      </c>
      <c r="R524" s="421">
        <v>0.6</v>
      </c>
      <c r="S524" s="421">
        <v>0.61</v>
      </c>
    </row>
    <row r="525" spans="1:19" s="96" customFormat="1">
      <c r="A525" s="95">
        <f t="shared" si="64"/>
        <v>53417</v>
      </c>
      <c r="B525" s="95">
        <f t="shared" si="63"/>
        <v>53781</v>
      </c>
      <c r="C525" s="105">
        <f t="shared" si="65"/>
        <v>0.26800000000000002</v>
      </c>
      <c r="D525" s="105">
        <f t="shared" si="65"/>
        <v>0.28599999999999998</v>
      </c>
      <c r="E525" s="105">
        <f t="shared" si="65"/>
        <v>6.6000000000000003E-2</v>
      </c>
      <c r="F525" s="105">
        <f t="shared" si="65"/>
        <v>2.5999999999999999E-2</v>
      </c>
      <c r="G525" s="107">
        <v>0.26800000000000002</v>
      </c>
      <c r="H525" s="107">
        <v>0.28599999999999998</v>
      </c>
      <c r="I525" s="106">
        <v>6.6000000000000003E-2</v>
      </c>
      <c r="J525" s="107">
        <v>2.5999999999999999E-2</v>
      </c>
      <c r="K525" s="94">
        <f>((5/3)*L518)+((7/3)*L530)</f>
        <v>68802</v>
      </c>
      <c r="L525" s="114"/>
      <c r="M525" s="421">
        <f t="shared" si="60"/>
        <v>0.6</v>
      </c>
      <c r="N525" s="421">
        <v>0.26</v>
      </c>
      <c r="O525" s="421">
        <f t="shared" si="61"/>
        <v>0.61</v>
      </c>
      <c r="P525" s="421">
        <v>0.34620000000000001</v>
      </c>
      <c r="Q525" s="421">
        <v>0.69640000000000002</v>
      </c>
      <c r="R525" s="421">
        <v>0.6</v>
      </c>
      <c r="S525" s="421">
        <v>0.61</v>
      </c>
    </row>
    <row r="526" spans="1:19" s="96" customFormat="1">
      <c r="A526" s="95">
        <f t="shared" si="64"/>
        <v>53447</v>
      </c>
      <c r="B526" s="95">
        <f t="shared" si="63"/>
        <v>53811</v>
      </c>
      <c r="C526" s="105">
        <f t="shared" si="65"/>
        <v>0.26800000000000002</v>
      </c>
      <c r="D526" s="105">
        <f t="shared" si="65"/>
        <v>0.28599999999999998</v>
      </c>
      <c r="E526" s="105">
        <f t="shared" si="65"/>
        <v>6.6000000000000003E-2</v>
      </c>
      <c r="F526" s="105">
        <f t="shared" si="65"/>
        <v>2.5999999999999999E-2</v>
      </c>
      <c r="G526" s="107">
        <v>0.26800000000000002</v>
      </c>
      <c r="H526" s="107">
        <v>0.28599999999999998</v>
      </c>
      <c r="I526" s="106">
        <v>6.6000000000000003E-2</v>
      </c>
      <c r="J526" s="107">
        <v>2.5999999999999999E-2</v>
      </c>
      <c r="K526" s="94">
        <f>((4/3)*L518)+((8/3)*L530)</f>
        <v>69080</v>
      </c>
      <c r="L526" s="114"/>
      <c r="M526" s="421">
        <f t="shared" si="60"/>
        <v>0.6</v>
      </c>
      <c r="N526" s="421">
        <v>0.26</v>
      </c>
      <c r="O526" s="421">
        <f t="shared" si="61"/>
        <v>0.61</v>
      </c>
      <c r="P526" s="421">
        <v>0.34620000000000001</v>
      </c>
      <c r="Q526" s="421">
        <v>0.69640000000000002</v>
      </c>
      <c r="R526" s="421">
        <v>0.6</v>
      </c>
      <c r="S526" s="421">
        <v>0.61</v>
      </c>
    </row>
    <row r="527" spans="1:19" s="96" customFormat="1">
      <c r="A527" s="95">
        <f t="shared" si="64"/>
        <v>53478</v>
      </c>
      <c r="B527" s="95">
        <f t="shared" si="63"/>
        <v>53842</v>
      </c>
      <c r="C527" s="105">
        <f t="shared" si="65"/>
        <v>0.26800000000000002</v>
      </c>
      <c r="D527" s="105">
        <f t="shared" si="65"/>
        <v>0.28599999999999998</v>
      </c>
      <c r="E527" s="105">
        <f t="shared" si="65"/>
        <v>6.6000000000000003E-2</v>
      </c>
      <c r="F527" s="105">
        <f t="shared" si="65"/>
        <v>2.5999999999999999E-2</v>
      </c>
      <c r="G527" s="107">
        <v>0.26800000000000002</v>
      </c>
      <c r="H527" s="107">
        <v>0.28599999999999998</v>
      </c>
      <c r="I527" s="106">
        <v>6.6000000000000003E-2</v>
      </c>
      <c r="J527" s="107">
        <v>2.5999999999999999E-2</v>
      </c>
      <c r="K527" s="94">
        <f>((3/3)*L518)+((9/3)*L530)</f>
        <v>69359</v>
      </c>
      <c r="L527" s="114"/>
      <c r="M527" s="421">
        <f t="shared" si="60"/>
        <v>0.6</v>
      </c>
      <c r="N527" s="421">
        <v>0.26</v>
      </c>
      <c r="O527" s="421">
        <f t="shared" si="61"/>
        <v>0.61</v>
      </c>
      <c r="P527" s="421">
        <v>0.34620000000000001</v>
      </c>
      <c r="Q527" s="421">
        <v>0.69640000000000002</v>
      </c>
      <c r="R527" s="421">
        <v>0.6</v>
      </c>
      <c r="S527" s="421">
        <v>0.61</v>
      </c>
    </row>
    <row r="528" spans="1:19" s="96" customFormat="1">
      <c r="A528" s="95">
        <f t="shared" si="64"/>
        <v>53508</v>
      </c>
      <c r="B528" s="95">
        <f t="shared" si="63"/>
        <v>53872</v>
      </c>
      <c r="C528" s="105">
        <f t="shared" si="65"/>
        <v>0.26800000000000002</v>
      </c>
      <c r="D528" s="105">
        <f t="shared" si="65"/>
        <v>0.28599999999999998</v>
      </c>
      <c r="E528" s="105">
        <f t="shared" si="65"/>
        <v>6.6000000000000003E-2</v>
      </c>
      <c r="F528" s="105">
        <f t="shared" si="65"/>
        <v>2.5999999999999999E-2</v>
      </c>
      <c r="G528" s="107">
        <v>0.26800000000000002</v>
      </c>
      <c r="H528" s="107">
        <v>0.28599999999999998</v>
      </c>
      <c r="I528" s="106">
        <v>6.6000000000000003E-2</v>
      </c>
      <c r="J528" s="107">
        <v>2.5999999999999999E-2</v>
      </c>
      <c r="K528" s="94">
        <f>((2/3)*L518)+((10/3)*L530)</f>
        <v>69638</v>
      </c>
      <c r="L528" s="114"/>
      <c r="M528" s="421">
        <f t="shared" si="60"/>
        <v>0.6</v>
      </c>
      <c r="N528" s="421">
        <v>0.26</v>
      </c>
      <c r="O528" s="421">
        <f t="shared" si="61"/>
        <v>0.61</v>
      </c>
      <c r="P528" s="421">
        <v>0.34620000000000001</v>
      </c>
      <c r="Q528" s="421">
        <v>0.69640000000000002</v>
      </c>
      <c r="R528" s="421">
        <v>0.6</v>
      </c>
      <c r="S528" s="421">
        <v>0.61</v>
      </c>
    </row>
    <row r="529" spans="1:19" s="96" customFormat="1">
      <c r="A529" s="95">
        <f t="shared" si="64"/>
        <v>53539</v>
      </c>
      <c r="B529" s="95">
        <f t="shared" si="63"/>
        <v>53903</v>
      </c>
      <c r="C529" s="105">
        <f t="shared" si="65"/>
        <v>0.26800000000000002</v>
      </c>
      <c r="D529" s="105">
        <f t="shared" si="65"/>
        <v>0.28599999999999998</v>
      </c>
      <c r="E529" s="105">
        <f t="shared" si="65"/>
        <v>6.6000000000000003E-2</v>
      </c>
      <c r="F529" s="105">
        <f t="shared" si="65"/>
        <v>2.5999999999999999E-2</v>
      </c>
      <c r="G529" s="107">
        <v>0.26800000000000002</v>
      </c>
      <c r="H529" s="107">
        <v>0.28599999999999998</v>
      </c>
      <c r="I529" s="106">
        <v>6.6000000000000003E-2</v>
      </c>
      <c r="J529" s="107">
        <v>2.5999999999999999E-2</v>
      </c>
      <c r="K529" s="94">
        <f>((1/3)*L518)+((11/3)*L530)</f>
        <v>69916</v>
      </c>
      <c r="L529" s="114"/>
      <c r="M529" s="421">
        <f t="shared" si="60"/>
        <v>0.6</v>
      </c>
      <c r="N529" s="421">
        <v>0.26</v>
      </c>
      <c r="O529" s="421">
        <f t="shared" si="61"/>
        <v>0.61</v>
      </c>
      <c r="P529" s="421">
        <v>0.34620000000000001</v>
      </c>
      <c r="Q529" s="421">
        <v>0.69640000000000002</v>
      </c>
      <c r="R529" s="421">
        <v>0.6</v>
      </c>
      <c r="S529" s="421">
        <v>0.61</v>
      </c>
    </row>
    <row r="530" spans="1:19" s="60" customFormat="1">
      <c r="A530" s="59">
        <f t="shared" si="64"/>
        <v>53570</v>
      </c>
      <c r="B530" s="59">
        <f t="shared" si="63"/>
        <v>53934</v>
      </c>
      <c r="C530" s="102">
        <f t="shared" si="65"/>
        <v>0.26800000000000002</v>
      </c>
      <c r="D530" s="102">
        <f t="shared" si="65"/>
        <v>0.28599999999999998</v>
      </c>
      <c r="E530" s="102">
        <f t="shared" si="65"/>
        <v>6.6000000000000003E-2</v>
      </c>
      <c r="F530" s="102">
        <f t="shared" si="65"/>
        <v>2.5999999999999999E-2</v>
      </c>
      <c r="G530" s="104">
        <v>0.26800000000000002</v>
      </c>
      <c r="H530" s="104">
        <v>0.28599999999999998</v>
      </c>
      <c r="I530" s="103">
        <v>6.6000000000000003E-2</v>
      </c>
      <c r="J530" s="104">
        <v>2.5999999999999999E-2</v>
      </c>
      <c r="K530" s="54">
        <f>(L530*4)</f>
        <v>70195</v>
      </c>
      <c r="L530" s="113">
        <f>L518*1.05</f>
        <v>17548.66</v>
      </c>
      <c r="M530" s="98">
        <f t="shared" si="60"/>
        <v>0.6</v>
      </c>
      <c r="N530" s="98">
        <v>0.26</v>
      </c>
      <c r="O530" s="98">
        <f t="shared" si="61"/>
        <v>0.61</v>
      </c>
      <c r="P530" s="98">
        <v>0.34620000000000001</v>
      </c>
      <c r="Q530" s="98">
        <v>0.69640000000000002</v>
      </c>
      <c r="R530" s="98">
        <v>0.6</v>
      </c>
      <c r="S530" s="98">
        <v>0.61</v>
      </c>
    </row>
    <row r="531" spans="1:19" s="60" customFormat="1">
      <c r="A531" s="59">
        <f t="shared" si="64"/>
        <v>53600</v>
      </c>
      <c r="B531" s="59">
        <f t="shared" si="63"/>
        <v>53964</v>
      </c>
      <c r="C531" s="102">
        <f t="shared" ref="C531:F546" si="66">AVERAGE(G531:G542)</f>
        <v>0.26800000000000002</v>
      </c>
      <c r="D531" s="102">
        <f t="shared" si="66"/>
        <v>0.28599999999999998</v>
      </c>
      <c r="E531" s="102">
        <f t="shared" si="66"/>
        <v>6.6000000000000003E-2</v>
      </c>
      <c r="F531" s="102">
        <f t="shared" si="66"/>
        <v>2.5999999999999999E-2</v>
      </c>
      <c r="G531" s="104">
        <v>0.26800000000000002</v>
      </c>
      <c r="H531" s="104">
        <v>0.28599999999999998</v>
      </c>
      <c r="I531" s="103">
        <v>6.6000000000000003E-2</v>
      </c>
      <c r="J531" s="104">
        <v>2.5999999999999999E-2</v>
      </c>
      <c r="K531" s="54">
        <f>((11/3)*L530)+((1/3)*L542)</f>
        <v>70487</v>
      </c>
      <c r="L531" s="113"/>
      <c r="M531" s="98">
        <f t="shared" si="60"/>
        <v>0.6</v>
      </c>
      <c r="N531" s="98">
        <v>0.26</v>
      </c>
      <c r="O531" s="98">
        <f t="shared" si="61"/>
        <v>0.61</v>
      </c>
      <c r="P531" s="98">
        <v>0.34620000000000001</v>
      </c>
      <c r="Q531" s="98">
        <v>0.69640000000000002</v>
      </c>
      <c r="R531" s="98">
        <v>0.6</v>
      </c>
      <c r="S531" s="98">
        <v>0.61</v>
      </c>
    </row>
    <row r="532" spans="1:19" s="60" customFormat="1">
      <c r="A532" s="59">
        <f t="shared" si="64"/>
        <v>53631</v>
      </c>
      <c r="B532" s="59">
        <f t="shared" si="63"/>
        <v>53995</v>
      </c>
      <c r="C532" s="102">
        <f t="shared" si="66"/>
        <v>0.26800000000000002</v>
      </c>
      <c r="D532" s="102">
        <f t="shared" si="66"/>
        <v>0.28599999999999998</v>
      </c>
      <c r="E532" s="102">
        <f t="shared" si="66"/>
        <v>6.6000000000000003E-2</v>
      </c>
      <c r="F532" s="102">
        <f t="shared" si="66"/>
        <v>2.5999999999999999E-2</v>
      </c>
      <c r="G532" s="104">
        <v>0.26800000000000002</v>
      </c>
      <c r="H532" s="104">
        <v>0.28599999999999998</v>
      </c>
      <c r="I532" s="103">
        <v>6.6000000000000003E-2</v>
      </c>
      <c r="J532" s="104">
        <v>2.5999999999999999E-2</v>
      </c>
      <c r="K532" s="54">
        <f>((10/3)*L530)+((2/3)*L542)</f>
        <v>70780</v>
      </c>
      <c r="L532" s="113"/>
      <c r="M532" s="98">
        <f t="shared" si="60"/>
        <v>0.6</v>
      </c>
      <c r="N532" s="98">
        <v>0.26</v>
      </c>
      <c r="O532" s="98">
        <f t="shared" si="61"/>
        <v>0.61</v>
      </c>
      <c r="P532" s="98">
        <v>0.34620000000000001</v>
      </c>
      <c r="Q532" s="98">
        <v>0.69640000000000002</v>
      </c>
      <c r="R532" s="98">
        <v>0.6</v>
      </c>
      <c r="S532" s="98">
        <v>0.61</v>
      </c>
    </row>
    <row r="533" spans="1:19" s="60" customFormat="1">
      <c r="A533" s="59">
        <f t="shared" si="64"/>
        <v>53661</v>
      </c>
      <c r="B533" s="59">
        <f t="shared" si="63"/>
        <v>54025</v>
      </c>
      <c r="C533" s="102">
        <f t="shared" si="66"/>
        <v>0.26800000000000002</v>
      </c>
      <c r="D533" s="102">
        <f t="shared" si="66"/>
        <v>0.28599999999999998</v>
      </c>
      <c r="E533" s="102">
        <f t="shared" si="66"/>
        <v>6.6000000000000003E-2</v>
      </c>
      <c r="F533" s="102">
        <f t="shared" si="66"/>
        <v>2.5999999999999999E-2</v>
      </c>
      <c r="G533" s="104">
        <v>0.26800000000000002</v>
      </c>
      <c r="H533" s="104">
        <v>0.28599999999999998</v>
      </c>
      <c r="I533" s="103">
        <v>6.6000000000000003E-2</v>
      </c>
      <c r="J533" s="104">
        <v>2.5999999999999999E-2</v>
      </c>
      <c r="K533" s="54">
        <f>((9/3)*L530)+((3/3)*L542)</f>
        <v>71072</v>
      </c>
      <c r="L533" s="113"/>
      <c r="M533" s="98">
        <f t="shared" si="60"/>
        <v>0.6</v>
      </c>
      <c r="N533" s="98">
        <v>0.26</v>
      </c>
      <c r="O533" s="98">
        <f t="shared" si="61"/>
        <v>0.61</v>
      </c>
      <c r="P533" s="98">
        <v>0.34620000000000001</v>
      </c>
      <c r="Q533" s="98">
        <v>0.69640000000000002</v>
      </c>
      <c r="R533" s="98">
        <v>0.6</v>
      </c>
      <c r="S533" s="98">
        <v>0.61</v>
      </c>
    </row>
    <row r="534" spans="1:19" s="60" customFormat="1">
      <c r="A534" s="59">
        <f t="shared" si="64"/>
        <v>53692</v>
      </c>
      <c r="B534" s="59">
        <f t="shared" si="63"/>
        <v>54056</v>
      </c>
      <c r="C534" s="102">
        <f t="shared" si="66"/>
        <v>0.26800000000000002</v>
      </c>
      <c r="D534" s="102">
        <f t="shared" si="66"/>
        <v>0.28599999999999998</v>
      </c>
      <c r="E534" s="102">
        <f t="shared" si="66"/>
        <v>6.6000000000000003E-2</v>
      </c>
      <c r="F534" s="102">
        <f t="shared" si="66"/>
        <v>2.5999999999999999E-2</v>
      </c>
      <c r="G534" s="104">
        <v>0.26800000000000002</v>
      </c>
      <c r="H534" s="104">
        <v>0.28599999999999998</v>
      </c>
      <c r="I534" s="103">
        <v>6.6000000000000003E-2</v>
      </c>
      <c r="J534" s="104">
        <v>2.5999999999999999E-2</v>
      </c>
      <c r="K534" s="54">
        <f>((8/3)*L530)+((4/3)*L542)</f>
        <v>71365</v>
      </c>
      <c r="L534" s="113"/>
      <c r="M534" s="98">
        <f t="shared" si="60"/>
        <v>0.6</v>
      </c>
      <c r="N534" s="98">
        <v>0.26</v>
      </c>
      <c r="O534" s="98">
        <f t="shared" si="61"/>
        <v>0.61</v>
      </c>
      <c r="P534" s="98">
        <v>0.34620000000000001</v>
      </c>
      <c r="Q534" s="98">
        <v>0.69640000000000002</v>
      </c>
      <c r="R534" s="98">
        <v>0.6</v>
      </c>
      <c r="S534" s="98">
        <v>0.61</v>
      </c>
    </row>
    <row r="535" spans="1:19" s="60" customFormat="1">
      <c r="A535" s="59">
        <f t="shared" si="64"/>
        <v>53723</v>
      </c>
      <c r="B535" s="59">
        <f t="shared" si="63"/>
        <v>54087</v>
      </c>
      <c r="C535" s="102">
        <f t="shared" si="66"/>
        <v>0.26800000000000002</v>
      </c>
      <c r="D535" s="102">
        <f t="shared" si="66"/>
        <v>0.28599999999999998</v>
      </c>
      <c r="E535" s="102">
        <f t="shared" si="66"/>
        <v>6.6000000000000003E-2</v>
      </c>
      <c r="F535" s="102">
        <f t="shared" si="66"/>
        <v>2.5999999999999999E-2</v>
      </c>
      <c r="G535" s="104">
        <v>0.26800000000000002</v>
      </c>
      <c r="H535" s="104">
        <v>0.28599999999999998</v>
      </c>
      <c r="I535" s="103">
        <v>6.6000000000000003E-2</v>
      </c>
      <c r="J535" s="104">
        <v>2.5999999999999999E-2</v>
      </c>
      <c r="K535" s="54">
        <f>((7/3)*L530)+((5/3)*L542)</f>
        <v>71657</v>
      </c>
      <c r="L535" s="113"/>
      <c r="M535" s="98">
        <f t="shared" si="60"/>
        <v>0.6</v>
      </c>
      <c r="N535" s="98">
        <v>0.26</v>
      </c>
      <c r="O535" s="98">
        <f t="shared" si="61"/>
        <v>0.61</v>
      </c>
      <c r="P535" s="98">
        <v>0.34620000000000001</v>
      </c>
      <c r="Q535" s="98">
        <v>0.69640000000000002</v>
      </c>
      <c r="R535" s="98">
        <v>0.6</v>
      </c>
      <c r="S535" s="98">
        <v>0.61</v>
      </c>
    </row>
    <row r="536" spans="1:19" s="60" customFormat="1">
      <c r="A536" s="59">
        <f t="shared" si="64"/>
        <v>53751</v>
      </c>
      <c r="B536" s="59">
        <f t="shared" si="63"/>
        <v>54116</v>
      </c>
      <c r="C536" s="102">
        <f t="shared" si="66"/>
        <v>0.26800000000000002</v>
      </c>
      <c r="D536" s="102">
        <f t="shared" si="66"/>
        <v>0.28599999999999998</v>
      </c>
      <c r="E536" s="102">
        <f t="shared" si="66"/>
        <v>6.6000000000000003E-2</v>
      </c>
      <c r="F536" s="102">
        <f t="shared" si="66"/>
        <v>2.5999999999999999E-2</v>
      </c>
      <c r="G536" s="104">
        <v>0.26800000000000002</v>
      </c>
      <c r="H536" s="104">
        <v>0.28599999999999998</v>
      </c>
      <c r="I536" s="103">
        <v>6.6000000000000003E-2</v>
      </c>
      <c r="J536" s="104">
        <v>2.5999999999999999E-2</v>
      </c>
      <c r="K536" s="54">
        <f>((6/3)*L530)+((6/3)*L542)</f>
        <v>71950</v>
      </c>
      <c r="L536" s="113"/>
      <c r="M536" s="98">
        <f t="shared" si="60"/>
        <v>0.6</v>
      </c>
      <c r="N536" s="98">
        <v>0.26</v>
      </c>
      <c r="O536" s="98">
        <f t="shared" si="61"/>
        <v>0.61</v>
      </c>
      <c r="P536" s="98">
        <v>0.34620000000000001</v>
      </c>
      <c r="Q536" s="98">
        <v>0.69640000000000002</v>
      </c>
      <c r="R536" s="98">
        <v>0.6</v>
      </c>
      <c r="S536" s="98">
        <v>0.61</v>
      </c>
    </row>
    <row r="537" spans="1:19" s="60" customFormat="1">
      <c r="A537" s="59">
        <f t="shared" si="64"/>
        <v>53782</v>
      </c>
      <c r="B537" s="59">
        <f t="shared" si="63"/>
        <v>54147</v>
      </c>
      <c r="C537" s="102">
        <f t="shared" si="66"/>
        <v>0.26800000000000002</v>
      </c>
      <c r="D537" s="102">
        <f t="shared" si="66"/>
        <v>0.28599999999999998</v>
      </c>
      <c r="E537" s="102">
        <f t="shared" si="66"/>
        <v>6.6000000000000003E-2</v>
      </c>
      <c r="F537" s="102">
        <f t="shared" si="66"/>
        <v>2.5999999999999999E-2</v>
      </c>
      <c r="G537" s="104">
        <v>0.26800000000000002</v>
      </c>
      <c r="H537" s="104">
        <v>0.28599999999999998</v>
      </c>
      <c r="I537" s="103">
        <v>6.6000000000000003E-2</v>
      </c>
      <c r="J537" s="104">
        <v>2.5999999999999999E-2</v>
      </c>
      <c r="K537" s="54">
        <f>((5/3)*L530)+((7/3)*L542)</f>
        <v>72242</v>
      </c>
      <c r="L537" s="113"/>
      <c r="M537" s="98">
        <f t="shared" si="60"/>
        <v>0.6</v>
      </c>
      <c r="N537" s="98">
        <v>0.26</v>
      </c>
      <c r="O537" s="98">
        <f t="shared" si="61"/>
        <v>0.61</v>
      </c>
      <c r="P537" s="98">
        <v>0.34620000000000001</v>
      </c>
      <c r="Q537" s="98">
        <v>0.69640000000000002</v>
      </c>
      <c r="R537" s="98">
        <v>0.6</v>
      </c>
      <c r="S537" s="98">
        <v>0.61</v>
      </c>
    </row>
    <row r="538" spans="1:19" s="60" customFormat="1">
      <c r="A538" s="59">
        <f t="shared" si="64"/>
        <v>53812</v>
      </c>
      <c r="B538" s="59">
        <f t="shared" si="63"/>
        <v>54177</v>
      </c>
      <c r="C538" s="102">
        <f t="shared" si="66"/>
        <v>0.26800000000000002</v>
      </c>
      <c r="D538" s="102">
        <f t="shared" si="66"/>
        <v>0.28599999999999998</v>
      </c>
      <c r="E538" s="102">
        <f t="shared" si="66"/>
        <v>6.6000000000000003E-2</v>
      </c>
      <c r="F538" s="102">
        <f t="shared" si="66"/>
        <v>2.5999999999999999E-2</v>
      </c>
      <c r="G538" s="104">
        <v>0.26800000000000002</v>
      </c>
      <c r="H538" s="104">
        <v>0.28599999999999998</v>
      </c>
      <c r="I538" s="103">
        <v>6.6000000000000003E-2</v>
      </c>
      <c r="J538" s="104">
        <v>2.5999999999999999E-2</v>
      </c>
      <c r="K538" s="54">
        <f>((4/3)*L530)+((8/3)*L542)</f>
        <v>72534</v>
      </c>
      <c r="L538" s="113"/>
      <c r="M538" s="98">
        <f t="shared" si="60"/>
        <v>0.6</v>
      </c>
      <c r="N538" s="98">
        <v>0.26</v>
      </c>
      <c r="O538" s="98">
        <f t="shared" si="61"/>
        <v>0.61</v>
      </c>
      <c r="P538" s="98">
        <v>0.34620000000000001</v>
      </c>
      <c r="Q538" s="98">
        <v>0.69640000000000002</v>
      </c>
      <c r="R538" s="98">
        <v>0.6</v>
      </c>
      <c r="S538" s="98">
        <v>0.61</v>
      </c>
    </row>
    <row r="539" spans="1:19" s="60" customFormat="1">
      <c r="A539" s="59">
        <f t="shared" si="64"/>
        <v>53843</v>
      </c>
      <c r="B539" s="59">
        <f t="shared" si="63"/>
        <v>54208</v>
      </c>
      <c r="C539" s="102">
        <f t="shared" si="66"/>
        <v>0.26800000000000002</v>
      </c>
      <c r="D539" s="102">
        <f t="shared" si="66"/>
        <v>0.28599999999999998</v>
      </c>
      <c r="E539" s="102">
        <f t="shared" si="66"/>
        <v>6.6000000000000003E-2</v>
      </c>
      <c r="F539" s="102">
        <f t="shared" si="66"/>
        <v>2.5999999999999999E-2</v>
      </c>
      <c r="G539" s="104">
        <v>0.26800000000000002</v>
      </c>
      <c r="H539" s="104">
        <v>0.28599999999999998</v>
      </c>
      <c r="I539" s="103">
        <v>6.6000000000000003E-2</v>
      </c>
      <c r="J539" s="104">
        <v>2.5999999999999999E-2</v>
      </c>
      <c r="K539" s="54">
        <f>((3/3)*L530)+((9/3)*L542)</f>
        <v>72827</v>
      </c>
      <c r="L539" s="113"/>
      <c r="M539" s="98">
        <f t="shared" si="60"/>
        <v>0.6</v>
      </c>
      <c r="N539" s="98">
        <v>0.26</v>
      </c>
      <c r="O539" s="98">
        <f t="shared" si="61"/>
        <v>0.61</v>
      </c>
      <c r="P539" s="98">
        <v>0.34620000000000001</v>
      </c>
      <c r="Q539" s="98">
        <v>0.69640000000000002</v>
      </c>
      <c r="R539" s="98">
        <v>0.6</v>
      </c>
      <c r="S539" s="98">
        <v>0.61</v>
      </c>
    </row>
    <row r="540" spans="1:19" s="60" customFormat="1">
      <c r="A540" s="59">
        <f t="shared" si="64"/>
        <v>53873</v>
      </c>
      <c r="B540" s="59">
        <f t="shared" si="63"/>
        <v>54238</v>
      </c>
      <c r="C540" s="102">
        <f t="shared" si="66"/>
        <v>0.26800000000000002</v>
      </c>
      <c r="D540" s="102">
        <f t="shared" si="66"/>
        <v>0.28599999999999998</v>
      </c>
      <c r="E540" s="102">
        <f t="shared" si="66"/>
        <v>6.6000000000000003E-2</v>
      </c>
      <c r="F540" s="102">
        <f t="shared" si="66"/>
        <v>2.5999999999999999E-2</v>
      </c>
      <c r="G540" s="104">
        <v>0.26800000000000002</v>
      </c>
      <c r="H540" s="104">
        <v>0.28599999999999998</v>
      </c>
      <c r="I540" s="103">
        <v>6.6000000000000003E-2</v>
      </c>
      <c r="J540" s="104">
        <v>2.5999999999999999E-2</v>
      </c>
      <c r="K540" s="54">
        <f>((2/3)*L530)+((10/3)*L542)</f>
        <v>73119</v>
      </c>
      <c r="L540" s="113"/>
      <c r="M540" s="98">
        <f t="shared" si="60"/>
        <v>0.6</v>
      </c>
      <c r="N540" s="98">
        <v>0.26</v>
      </c>
      <c r="O540" s="98">
        <f t="shared" si="61"/>
        <v>0.61</v>
      </c>
      <c r="P540" s="98">
        <v>0.34620000000000001</v>
      </c>
      <c r="Q540" s="98">
        <v>0.69640000000000002</v>
      </c>
      <c r="R540" s="98">
        <v>0.6</v>
      </c>
      <c r="S540" s="98">
        <v>0.61</v>
      </c>
    </row>
    <row r="541" spans="1:19" s="60" customFormat="1">
      <c r="A541" s="59">
        <f t="shared" si="64"/>
        <v>53904</v>
      </c>
      <c r="B541" s="59">
        <f t="shared" si="63"/>
        <v>54269</v>
      </c>
      <c r="C541" s="99">
        <f t="shared" si="66"/>
        <v>0.26800000000000002</v>
      </c>
      <c r="D541" s="99">
        <f t="shared" si="66"/>
        <v>0.28599999999999998</v>
      </c>
      <c r="E541" s="99">
        <f t="shared" si="66"/>
        <v>6.6000000000000003E-2</v>
      </c>
      <c r="F541" s="99">
        <f t="shared" si="66"/>
        <v>2.5999999999999999E-2</v>
      </c>
      <c r="G541" s="104">
        <v>0.26800000000000002</v>
      </c>
      <c r="H541" s="104">
        <v>0.28599999999999998</v>
      </c>
      <c r="I541" s="103">
        <v>6.6000000000000003E-2</v>
      </c>
      <c r="J541" s="104">
        <v>2.5999999999999999E-2</v>
      </c>
      <c r="K541" s="54">
        <f>((1/3)*L530)+((11/3)*L542)</f>
        <v>73412</v>
      </c>
      <c r="L541" s="113"/>
      <c r="M541" s="98">
        <f t="shared" si="60"/>
        <v>0.6</v>
      </c>
      <c r="N541" s="98">
        <v>0.26</v>
      </c>
      <c r="O541" s="98">
        <f t="shared" si="61"/>
        <v>0.61</v>
      </c>
      <c r="P541" s="98">
        <v>0.34620000000000001</v>
      </c>
      <c r="Q541" s="98">
        <v>0.69640000000000002</v>
      </c>
      <c r="R541" s="98">
        <v>0.6</v>
      </c>
      <c r="S541" s="98">
        <v>0.61</v>
      </c>
    </row>
    <row r="542" spans="1:19" s="96" customFormat="1">
      <c r="A542" s="95">
        <f t="shared" si="64"/>
        <v>53935</v>
      </c>
      <c r="B542" s="95">
        <f t="shared" si="63"/>
        <v>54300</v>
      </c>
      <c r="C542" s="105">
        <f t="shared" si="66"/>
        <v>0.26800000000000002</v>
      </c>
      <c r="D542" s="105">
        <f t="shared" si="66"/>
        <v>0.28599999999999998</v>
      </c>
      <c r="E542" s="105">
        <f t="shared" si="66"/>
        <v>6.6000000000000003E-2</v>
      </c>
      <c r="F542" s="105">
        <f t="shared" si="66"/>
        <v>2.5999999999999999E-2</v>
      </c>
      <c r="G542" s="107">
        <v>0.26800000000000002</v>
      </c>
      <c r="H542" s="107">
        <v>0.28599999999999998</v>
      </c>
      <c r="I542" s="106">
        <v>6.6000000000000003E-2</v>
      </c>
      <c r="J542" s="107">
        <v>2.5999999999999999E-2</v>
      </c>
      <c r="K542" s="94">
        <f>(L542*4)</f>
        <v>73704</v>
      </c>
      <c r="L542" s="114">
        <f>L530*1.05</f>
        <v>18426.09</v>
      </c>
      <c r="M542" s="421">
        <f t="shared" si="60"/>
        <v>0.6</v>
      </c>
      <c r="N542" s="421">
        <v>0.26</v>
      </c>
      <c r="O542" s="421">
        <f t="shared" si="61"/>
        <v>0.61</v>
      </c>
      <c r="P542" s="421">
        <v>0.34620000000000001</v>
      </c>
      <c r="Q542" s="421">
        <v>0.69640000000000002</v>
      </c>
      <c r="R542" s="421">
        <v>0.6</v>
      </c>
      <c r="S542" s="421">
        <v>0.61</v>
      </c>
    </row>
    <row r="543" spans="1:19" s="96" customFormat="1">
      <c r="A543" s="95">
        <f t="shared" si="64"/>
        <v>53965</v>
      </c>
      <c r="B543" s="95">
        <f t="shared" si="63"/>
        <v>54330</v>
      </c>
      <c r="C543" s="105">
        <f t="shared" si="66"/>
        <v>0.26800000000000002</v>
      </c>
      <c r="D543" s="105">
        <f t="shared" si="66"/>
        <v>0.28599999999999998</v>
      </c>
      <c r="E543" s="105">
        <f t="shared" si="66"/>
        <v>6.6000000000000003E-2</v>
      </c>
      <c r="F543" s="105">
        <f t="shared" si="66"/>
        <v>2.5999999999999999E-2</v>
      </c>
      <c r="G543" s="107">
        <v>0.26800000000000002</v>
      </c>
      <c r="H543" s="107">
        <v>0.28599999999999998</v>
      </c>
      <c r="I543" s="106">
        <v>6.6000000000000003E-2</v>
      </c>
      <c r="J543" s="107">
        <v>2.5999999999999999E-2</v>
      </c>
      <c r="K543" s="94">
        <f>((11/3)*L542)+((1/3)*L554)</f>
        <v>74011</v>
      </c>
      <c r="L543" s="114"/>
      <c r="M543" s="421">
        <f t="shared" si="60"/>
        <v>0.6</v>
      </c>
      <c r="N543" s="421">
        <v>0.26</v>
      </c>
      <c r="O543" s="421">
        <f t="shared" si="61"/>
        <v>0.61</v>
      </c>
      <c r="P543" s="421">
        <v>0.34620000000000001</v>
      </c>
      <c r="Q543" s="421">
        <v>0.69640000000000002</v>
      </c>
      <c r="R543" s="421">
        <v>0.6</v>
      </c>
      <c r="S543" s="421">
        <v>0.61</v>
      </c>
    </row>
    <row r="544" spans="1:19" s="96" customFormat="1">
      <c r="A544" s="95">
        <f t="shared" si="64"/>
        <v>53996</v>
      </c>
      <c r="B544" s="95">
        <f t="shared" si="63"/>
        <v>54361</v>
      </c>
      <c r="C544" s="105">
        <f t="shared" si="66"/>
        <v>0.26800000000000002</v>
      </c>
      <c r="D544" s="105">
        <f t="shared" si="66"/>
        <v>0.28599999999999998</v>
      </c>
      <c r="E544" s="105">
        <f t="shared" si="66"/>
        <v>6.6000000000000003E-2</v>
      </c>
      <c r="F544" s="105">
        <f t="shared" si="66"/>
        <v>2.5999999999999999E-2</v>
      </c>
      <c r="G544" s="107">
        <v>0.26800000000000002</v>
      </c>
      <c r="H544" s="107">
        <v>0.28599999999999998</v>
      </c>
      <c r="I544" s="106">
        <v>6.6000000000000003E-2</v>
      </c>
      <c r="J544" s="107">
        <v>2.5999999999999999E-2</v>
      </c>
      <c r="K544" s="94">
        <f>((10/3)*L542)+((2/3)*L554)</f>
        <v>74319</v>
      </c>
      <c r="L544" s="114"/>
      <c r="M544" s="421">
        <f t="shared" si="60"/>
        <v>0.6</v>
      </c>
      <c r="N544" s="421">
        <v>0.26</v>
      </c>
      <c r="O544" s="421">
        <f t="shared" si="61"/>
        <v>0.61</v>
      </c>
      <c r="P544" s="421">
        <v>0.34620000000000001</v>
      </c>
      <c r="Q544" s="421">
        <v>0.69640000000000002</v>
      </c>
      <c r="R544" s="421">
        <v>0.6</v>
      </c>
      <c r="S544" s="421">
        <v>0.61</v>
      </c>
    </row>
    <row r="545" spans="1:19" s="96" customFormat="1">
      <c r="A545" s="95">
        <f t="shared" si="64"/>
        <v>54026</v>
      </c>
      <c r="B545" s="95">
        <f t="shared" si="63"/>
        <v>54391</v>
      </c>
      <c r="C545" s="105">
        <f t="shared" si="66"/>
        <v>0.26800000000000002</v>
      </c>
      <c r="D545" s="105">
        <f t="shared" si="66"/>
        <v>0.28599999999999998</v>
      </c>
      <c r="E545" s="105">
        <f t="shared" si="66"/>
        <v>6.6000000000000003E-2</v>
      </c>
      <c r="F545" s="105">
        <f t="shared" si="66"/>
        <v>2.5999999999999999E-2</v>
      </c>
      <c r="G545" s="107">
        <v>0.26800000000000002</v>
      </c>
      <c r="H545" s="107">
        <v>0.28599999999999998</v>
      </c>
      <c r="I545" s="106">
        <v>6.6000000000000003E-2</v>
      </c>
      <c r="J545" s="107">
        <v>2.5999999999999999E-2</v>
      </c>
      <c r="K545" s="94">
        <f>((9/3)*L542)+((3/3)*L554)</f>
        <v>74626</v>
      </c>
      <c r="L545" s="114"/>
      <c r="M545" s="421">
        <f t="shared" si="60"/>
        <v>0.6</v>
      </c>
      <c r="N545" s="421">
        <v>0.26</v>
      </c>
      <c r="O545" s="421">
        <f t="shared" si="61"/>
        <v>0.61</v>
      </c>
      <c r="P545" s="421">
        <v>0.34620000000000001</v>
      </c>
      <c r="Q545" s="421">
        <v>0.69640000000000002</v>
      </c>
      <c r="R545" s="421">
        <v>0.6</v>
      </c>
      <c r="S545" s="421">
        <v>0.61</v>
      </c>
    </row>
    <row r="546" spans="1:19" s="96" customFormat="1">
      <c r="A546" s="95">
        <f t="shared" si="64"/>
        <v>54057</v>
      </c>
      <c r="B546" s="95">
        <f t="shared" si="63"/>
        <v>54422</v>
      </c>
      <c r="C546" s="105">
        <f t="shared" si="66"/>
        <v>0.26800000000000002</v>
      </c>
      <c r="D546" s="105">
        <f t="shared" si="66"/>
        <v>0.28599999999999998</v>
      </c>
      <c r="E546" s="105">
        <f t="shared" si="66"/>
        <v>6.6000000000000003E-2</v>
      </c>
      <c r="F546" s="105">
        <f t="shared" si="66"/>
        <v>2.5999999999999999E-2</v>
      </c>
      <c r="G546" s="107">
        <v>0.26800000000000002</v>
      </c>
      <c r="H546" s="107">
        <v>0.28599999999999998</v>
      </c>
      <c r="I546" s="106">
        <v>6.6000000000000003E-2</v>
      </c>
      <c r="J546" s="107">
        <v>2.5999999999999999E-2</v>
      </c>
      <c r="K546" s="94">
        <f>((8/3)*L542)+((4/3)*L554)</f>
        <v>74933</v>
      </c>
      <c r="L546" s="114"/>
      <c r="M546" s="421">
        <f t="shared" si="60"/>
        <v>0.6</v>
      </c>
      <c r="N546" s="421">
        <v>0.26</v>
      </c>
      <c r="O546" s="421">
        <f t="shared" si="61"/>
        <v>0.61</v>
      </c>
      <c r="P546" s="421">
        <v>0.34620000000000001</v>
      </c>
      <c r="Q546" s="421">
        <v>0.69640000000000002</v>
      </c>
      <c r="R546" s="421">
        <v>0.6</v>
      </c>
      <c r="S546" s="421">
        <v>0.61</v>
      </c>
    </row>
    <row r="547" spans="1:19" s="96" customFormat="1">
      <c r="A547" s="95">
        <f t="shared" si="64"/>
        <v>54088</v>
      </c>
      <c r="B547" s="95">
        <f t="shared" si="63"/>
        <v>54453</v>
      </c>
      <c r="C547" s="105">
        <f t="shared" ref="C547:F562" si="67">AVERAGE(G547:G558)</f>
        <v>0.26800000000000002</v>
      </c>
      <c r="D547" s="105">
        <f t="shared" si="67"/>
        <v>0.28599999999999998</v>
      </c>
      <c r="E547" s="105">
        <f t="shared" si="67"/>
        <v>6.6000000000000003E-2</v>
      </c>
      <c r="F547" s="105">
        <f t="shared" si="67"/>
        <v>2.5999999999999999E-2</v>
      </c>
      <c r="G547" s="107">
        <v>0.26800000000000002</v>
      </c>
      <c r="H547" s="107">
        <v>0.28599999999999998</v>
      </c>
      <c r="I547" s="106">
        <v>6.6000000000000003E-2</v>
      </c>
      <c r="J547" s="107">
        <v>2.5999999999999999E-2</v>
      </c>
      <c r="K547" s="94">
        <f>((7/3)*L542)+((5/3)*L554)</f>
        <v>75240</v>
      </c>
      <c r="L547" s="114"/>
      <c r="M547" s="421">
        <f t="shared" si="60"/>
        <v>0.6</v>
      </c>
      <c r="N547" s="421">
        <v>0.26</v>
      </c>
      <c r="O547" s="421">
        <f t="shared" si="61"/>
        <v>0.61</v>
      </c>
      <c r="P547" s="421">
        <v>0.34620000000000001</v>
      </c>
      <c r="Q547" s="421">
        <v>0.69640000000000002</v>
      </c>
      <c r="R547" s="421">
        <v>0.6</v>
      </c>
      <c r="S547" s="421">
        <v>0.61</v>
      </c>
    </row>
    <row r="548" spans="1:19" s="96" customFormat="1">
      <c r="A548" s="95">
        <f t="shared" si="64"/>
        <v>54117</v>
      </c>
      <c r="B548" s="95">
        <f t="shared" si="63"/>
        <v>54481</v>
      </c>
      <c r="C548" s="105">
        <f t="shared" si="67"/>
        <v>0.26800000000000002</v>
      </c>
      <c r="D548" s="105">
        <f t="shared" si="67"/>
        <v>0.28599999999999998</v>
      </c>
      <c r="E548" s="105">
        <f t="shared" si="67"/>
        <v>6.6000000000000003E-2</v>
      </c>
      <c r="F548" s="105">
        <f t="shared" si="67"/>
        <v>2.5999999999999999E-2</v>
      </c>
      <c r="G548" s="107">
        <v>0.26800000000000002</v>
      </c>
      <c r="H548" s="107">
        <v>0.28599999999999998</v>
      </c>
      <c r="I548" s="106">
        <v>6.6000000000000003E-2</v>
      </c>
      <c r="J548" s="107">
        <v>2.5999999999999999E-2</v>
      </c>
      <c r="K548" s="94">
        <f>((6/3)*L542)+((6/3)*L554)</f>
        <v>75547</v>
      </c>
      <c r="L548" s="114"/>
      <c r="M548" s="421">
        <f t="shared" si="60"/>
        <v>0.6</v>
      </c>
      <c r="N548" s="421">
        <v>0.26</v>
      </c>
      <c r="O548" s="421">
        <f t="shared" si="61"/>
        <v>0.61</v>
      </c>
      <c r="P548" s="421">
        <v>0.34620000000000001</v>
      </c>
      <c r="Q548" s="421">
        <v>0.69640000000000002</v>
      </c>
      <c r="R548" s="421">
        <v>0.6</v>
      </c>
      <c r="S548" s="421">
        <v>0.61</v>
      </c>
    </row>
    <row r="549" spans="1:19" s="96" customFormat="1">
      <c r="A549" s="95">
        <f t="shared" si="64"/>
        <v>54148</v>
      </c>
      <c r="B549" s="95">
        <f t="shared" si="63"/>
        <v>54512</v>
      </c>
      <c r="C549" s="105">
        <f t="shared" si="67"/>
        <v>0.26800000000000002</v>
      </c>
      <c r="D549" s="105">
        <f t="shared" si="67"/>
        <v>0.28599999999999998</v>
      </c>
      <c r="E549" s="105">
        <f t="shared" si="67"/>
        <v>6.6000000000000003E-2</v>
      </c>
      <c r="F549" s="105">
        <f t="shared" si="67"/>
        <v>2.5999999999999999E-2</v>
      </c>
      <c r="G549" s="107">
        <v>0.26800000000000002</v>
      </c>
      <c r="H549" s="107">
        <v>0.28599999999999998</v>
      </c>
      <c r="I549" s="106">
        <v>6.6000000000000003E-2</v>
      </c>
      <c r="J549" s="107">
        <v>2.5999999999999999E-2</v>
      </c>
      <c r="K549" s="94">
        <f>((5/3)*L542)+((7/3)*L554)</f>
        <v>75854</v>
      </c>
      <c r="L549" s="114"/>
      <c r="M549" s="421">
        <f t="shared" si="60"/>
        <v>0.6</v>
      </c>
      <c r="N549" s="421">
        <v>0.26</v>
      </c>
      <c r="O549" s="421">
        <f t="shared" si="61"/>
        <v>0.61</v>
      </c>
      <c r="P549" s="421">
        <v>0.34620000000000001</v>
      </c>
      <c r="Q549" s="421">
        <v>0.69640000000000002</v>
      </c>
      <c r="R549" s="421">
        <v>0.6</v>
      </c>
      <c r="S549" s="421">
        <v>0.61</v>
      </c>
    </row>
    <row r="550" spans="1:19" s="96" customFormat="1">
      <c r="A550" s="95">
        <f t="shared" si="64"/>
        <v>54178</v>
      </c>
      <c r="B550" s="95">
        <f t="shared" si="63"/>
        <v>54542</v>
      </c>
      <c r="C550" s="105">
        <f t="shared" si="67"/>
        <v>0.26800000000000002</v>
      </c>
      <c r="D550" s="105">
        <f t="shared" si="67"/>
        <v>0.28599999999999998</v>
      </c>
      <c r="E550" s="105">
        <f t="shared" si="67"/>
        <v>6.6000000000000003E-2</v>
      </c>
      <c r="F550" s="105">
        <f t="shared" si="67"/>
        <v>2.5999999999999999E-2</v>
      </c>
      <c r="G550" s="107">
        <v>0.26800000000000002</v>
      </c>
      <c r="H550" s="107">
        <v>0.28599999999999998</v>
      </c>
      <c r="I550" s="106">
        <v>6.6000000000000003E-2</v>
      </c>
      <c r="J550" s="107">
        <v>2.5999999999999999E-2</v>
      </c>
      <c r="K550" s="94">
        <f>((4/3)*L542)+((8/3)*L554)</f>
        <v>76161</v>
      </c>
      <c r="L550" s="114"/>
      <c r="M550" s="421">
        <f t="shared" si="60"/>
        <v>0.6</v>
      </c>
      <c r="N550" s="421">
        <v>0.26</v>
      </c>
      <c r="O550" s="421">
        <f t="shared" si="61"/>
        <v>0.61</v>
      </c>
      <c r="P550" s="421">
        <v>0.34620000000000001</v>
      </c>
      <c r="Q550" s="421">
        <v>0.69640000000000002</v>
      </c>
      <c r="R550" s="421">
        <v>0.6</v>
      </c>
      <c r="S550" s="421">
        <v>0.61</v>
      </c>
    </row>
    <row r="551" spans="1:19" s="96" customFormat="1">
      <c r="A551" s="95">
        <f t="shared" si="64"/>
        <v>54209</v>
      </c>
      <c r="B551" s="95">
        <f t="shared" si="63"/>
        <v>54573</v>
      </c>
      <c r="C551" s="105">
        <f t="shared" si="67"/>
        <v>0.26800000000000002</v>
      </c>
      <c r="D551" s="105">
        <f t="shared" si="67"/>
        <v>0.28599999999999998</v>
      </c>
      <c r="E551" s="105">
        <f t="shared" si="67"/>
        <v>6.6000000000000003E-2</v>
      </c>
      <c r="F551" s="105">
        <f t="shared" si="67"/>
        <v>2.5999999999999999E-2</v>
      </c>
      <c r="G551" s="107">
        <v>0.26800000000000002</v>
      </c>
      <c r="H551" s="107">
        <v>0.28599999999999998</v>
      </c>
      <c r="I551" s="106">
        <v>6.6000000000000003E-2</v>
      </c>
      <c r="J551" s="107">
        <v>2.5999999999999999E-2</v>
      </c>
      <c r="K551" s="94">
        <f>((3/3)*L542)+((9/3)*L554)</f>
        <v>76468</v>
      </c>
      <c r="L551" s="114"/>
      <c r="M551" s="421">
        <f t="shared" si="60"/>
        <v>0.6</v>
      </c>
      <c r="N551" s="421">
        <v>0.26</v>
      </c>
      <c r="O551" s="421">
        <f t="shared" si="61"/>
        <v>0.61</v>
      </c>
      <c r="P551" s="421">
        <v>0.34620000000000001</v>
      </c>
      <c r="Q551" s="421">
        <v>0.69640000000000002</v>
      </c>
      <c r="R551" s="421">
        <v>0.6</v>
      </c>
      <c r="S551" s="421">
        <v>0.61</v>
      </c>
    </row>
    <row r="552" spans="1:19" s="96" customFormat="1">
      <c r="A552" s="95">
        <f t="shared" si="64"/>
        <v>54239</v>
      </c>
      <c r="B552" s="95">
        <f t="shared" si="63"/>
        <v>54603</v>
      </c>
      <c r="C552" s="105">
        <f t="shared" si="67"/>
        <v>0.26800000000000002</v>
      </c>
      <c r="D552" s="105">
        <f t="shared" si="67"/>
        <v>0.28599999999999998</v>
      </c>
      <c r="E552" s="105">
        <f t="shared" si="67"/>
        <v>6.6000000000000003E-2</v>
      </c>
      <c r="F552" s="105">
        <f t="shared" si="67"/>
        <v>2.5999999999999999E-2</v>
      </c>
      <c r="G552" s="107">
        <v>0.26800000000000002</v>
      </c>
      <c r="H552" s="107">
        <v>0.28599999999999998</v>
      </c>
      <c r="I552" s="106">
        <v>6.6000000000000003E-2</v>
      </c>
      <c r="J552" s="107">
        <v>2.5999999999999999E-2</v>
      </c>
      <c r="K552" s="94">
        <f>((2/3)*L542)+((10/3)*L554)</f>
        <v>76775</v>
      </c>
      <c r="L552" s="114"/>
      <c r="M552" s="421">
        <f t="shared" si="60"/>
        <v>0.6</v>
      </c>
      <c r="N552" s="421">
        <v>0.26</v>
      </c>
      <c r="O552" s="421">
        <f t="shared" si="61"/>
        <v>0.61</v>
      </c>
      <c r="P552" s="421">
        <v>0.34620000000000001</v>
      </c>
      <c r="Q552" s="421">
        <v>0.69640000000000002</v>
      </c>
      <c r="R552" s="421">
        <v>0.6</v>
      </c>
      <c r="S552" s="421">
        <v>0.61</v>
      </c>
    </row>
    <row r="553" spans="1:19" s="96" customFormat="1">
      <c r="A553" s="95">
        <f t="shared" si="64"/>
        <v>54270</v>
      </c>
      <c r="B553" s="95">
        <f t="shared" si="63"/>
        <v>54634</v>
      </c>
      <c r="C553" s="105">
        <f t="shared" si="67"/>
        <v>0.26800000000000002</v>
      </c>
      <c r="D553" s="105">
        <f t="shared" si="67"/>
        <v>0.28599999999999998</v>
      </c>
      <c r="E553" s="105">
        <f t="shared" si="67"/>
        <v>6.6000000000000003E-2</v>
      </c>
      <c r="F553" s="105">
        <f t="shared" si="67"/>
        <v>2.5999999999999999E-2</v>
      </c>
      <c r="G553" s="107">
        <v>0.26800000000000002</v>
      </c>
      <c r="H553" s="107">
        <v>0.28599999999999998</v>
      </c>
      <c r="I553" s="106">
        <v>6.6000000000000003E-2</v>
      </c>
      <c r="J553" s="107">
        <v>2.5999999999999999E-2</v>
      </c>
      <c r="K553" s="94">
        <f>((1/3)*L542)+((11/3)*L554)</f>
        <v>77082</v>
      </c>
      <c r="L553" s="114"/>
      <c r="M553" s="421">
        <f t="shared" si="60"/>
        <v>0.6</v>
      </c>
      <c r="N553" s="421">
        <v>0.26</v>
      </c>
      <c r="O553" s="421">
        <f t="shared" si="61"/>
        <v>0.61</v>
      </c>
      <c r="P553" s="421">
        <v>0.34620000000000001</v>
      </c>
      <c r="Q553" s="421">
        <v>0.69640000000000002</v>
      </c>
      <c r="R553" s="421">
        <v>0.6</v>
      </c>
      <c r="S553" s="421">
        <v>0.61</v>
      </c>
    </row>
    <row r="554" spans="1:19" s="60" customFormat="1">
      <c r="A554" s="59">
        <f t="shared" si="64"/>
        <v>54301</v>
      </c>
      <c r="B554" s="59">
        <f t="shared" si="63"/>
        <v>54665</v>
      </c>
      <c r="C554" s="102">
        <f t="shared" si="67"/>
        <v>0.26800000000000002</v>
      </c>
      <c r="D554" s="102">
        <f t="shared" si="67"/>
        <v>0.28599999999999998</v>
      </c>
      <c r="E554" s="102">
        <f t="shared" si="67"/>
        <v>6.6000000000000003E-2</v>
      </c>
      <c r="F554" s="102">
        <f t="shared" si="67"/>
        <v>2.5999999999999999E-2</v>
      </c>
      <c r="G554" s="104">
        <v>0.26800000000000002</v>
      </c>
      <c r="H554" s="104">
        <v>0.28599999999999998</v>
      </c>
      <c r="I554" s="103">
        <v>6.6000000000000003E-2</v>
      </c>
      <c r="J554" s="104">
        <v>2.5999999999999999E-2</v>
      </c>
      <c r="K554" s="54">
        <f>(L554*4)</f>
        <v>77390</v>
      </c>
      <c r="L554" s="113">
        <f>L542*1.05</f>
        <v>19347.39</v>
      </c>
      <c r="M554" s="98">
        <f t="shared" si="60"/>
        <v>0.6</v>
      </c>
      <c r="N554" s="98">
        <v>0.26</v>
      </c>
      <c r="O554" s="98">
        <f t="shared" si="61"/>
        <v>0.61</v>
      </c>
      <c r="P554" s="98">
        <v>0.34620000000000001</v>
      </c>
      <c r="Q554" s="98">
        <v>0.69640000000000002</v>
      </c>
      <c r="R554" s="98">
        <v>0.6</v>
      </c>
      <c r="S554" s="98">
        <v>0.61</v>
      </c>
    </row>
    <row r="555" spans="1:19" s="60" customFormat="1">
      <c r="A555" s="59">
        <f t="shared" si="64"/>
        <v>54331</v>
      </c>
      <c r="B555" s="59">
        <f t="shared" si="63"/>
        <v>54695</v>
      </c>
      <c r="C555" s="102">
        <f t="shared" si="67"/>
        <v>0.26800000000000002</v>
      </c>
      <c r="D555" s="102">
        <f t="shared" si="67"/>
        <v>0.28599999999999998</v>
      </c>
      <c r="E555" s="102">
        <f t="shared" si="67"/>
        <v>6.6000000000000003E-2</v>
      </c>
      <c r="F555" s="102">
        <f t="shared" si="67"/>
        <v>2.5999999999999999E-2</v>
      </c>
      <c r="G555" s="104">
        <v>0.26800000000000002</v>
      </c>
      <c r="H555" s="104">
        <v>0.28599999999999998</v>
      </c>
      <c r="I555" s="103">
        <v>6.6000000000000003E-2</v>
      </c>
      <c r="J555" s="104">
        <v>2.5999999999999999E-2</v>
      </c>
      <c r="K555" s="54">
        <f>((11/3)*L554)+((1/3)*L566)</f>
        <v>77712</v>
      </c>
      <c r="L555" s="113"/>
      <c r="M555" s="98">
        <f t="shared" si="60"/>
        <v>0.6</v>
      </c>
      <c r="N555" s="98">
        <v>0.26</v>
      </c>
      <c r="O555" s="98">
        <f t="shared" si="61"/>
        <v>0.61</v>
      </c>
      <c r="P555" s="98">
        <v>0.34620000000000001</v>
      </c>
      <c r="Q555" s="98">
        <v>0.69640000000000002</v>
      </c>
      <c r="R555" s="98">
        <v>0.6</v>
      </c>
      <c r="S555" s="98">
        <v>0.61</v>
      </c>
    </row>
    <row r="556" spans="1:19" s="60" customFormat="1">
      <c r="A556" s="59">
        <f t="shared" si="64"/>
        <v>54362</v>
      </c>
      <c r="B556" s="59">
        <f t="shared" si="63"/>
        <v>54726</v>
      </c>
      <c r="C556" s="102">
        <f t="shared" si="67"/>
        <v>0.26800000000000002</v>
      </c>
      <c r="D556" s="102">
        <f t="shared" si="67"/>
        <v>0.28599999999999998</v>
      </c>
      <c r="E556" s="102">
        <f t="shared" si="67"/>
        <v>6.6000000000000003E-2</v>
      </c>
      <c r="F556" s="102">
        <f t="shared" si="67"/>
        <v>2.5999999999999999E-2</v>
      </c>
      <c r="G556" s="104">
        <v>0.26800000000000002</v>
      </c>
      <c r="H556" s="104">
        <v>0.28599999999999998</v>
      </c>
      <c r="I556" s="103">
        <v>6.6000000000000003E-2</v>
      </c>
      <c r="J556" s="104">
        <v>2.5999999999999999E-2</v>
      </c>
      <c r="K556" s="54">
        <f>((10/3)*L554)+((2/3)*L566)</f>
        <v>78034</v>
      </c>
      <c r="L556" s="113"/>
      <c r="M556" s="98">
        <f t="shared" si="60"/>
        <v>0.6</v>
      </c>
      <c r="N556" s="98">
        <v>0.26</v>
      </c>
      <c r="O556" s="98">
        <f t="shared" si="61"/>
        <v>0.61</v>
      </c>
      <c r="P556" s="98">
        <v>0.34620000000000001</v>
      </c>
      <c r="Q556" s="98">
        <v>0.69640000000000002</v>
      </c>
      <c r="R556" s="98">
        <v>0.6</v>
      </c>
      <c r="S556" s="98">
        <v>0.61</v>
      </c>
    </row>
    <row r="557" spans="1:19" s="60" customFormat="1">
      <c r="A557" s="59">
        <f t="shared" si="64"/>
        <v>54392</v>
      </c>
      <c r="B557" s="59">
        <f t="shared" si="63"/>
        <v>54756</v>
      </c>
      <c r="C557" s="102">
        <f t="shared" si="67"/>
        <v>0.26800000000000002</v>
      </c>
      <c r="D557" s="102">
        <f t="shared" si="67"/>
        <v>0.28599999999999998</v>
      </c>
      <c r="E557" s="102">
        <f t="shared" si="67"/>
        <v>6.6000000000000003E-2</v>
      </c>
      <c r="F557" s="102">
        <f t="shared" si="67"/>
        <v>2.5999999999999999E-2</v>
      </c>
      <c r="G557" s="104">
        <v>0.26800000000000002</v>
      </c>
      <c r="H557" s="104">
        <v>0.28599999999999998</v>
      </c>
      <c r="I557" s="103">
        <v>6.6000000000000003E-2</v>
      </c>
      <c r="J557" s="104">
        <v>2.5999999999999999E-2</v>
      </c>
      <c r="K557" s="54">
        <f>((9/3)*L554)+((3/3)*L566)</f>
        <v>78357</v>
      </c>
      <c r="L557" s="113"/>
      <c r="M557" s="98">
        <f t="shared" si="60"/>
        <v>0.6</v>
      </c>
      <c r="N557" s="98">
        <v>0.26</v>
      </c>
      <c r="O557" s="98">
        <f t="shared" si="61"/>
        <v>0.61</v>
      </c>
      <c r="P557" s="98">
        <v>0.34620000000000001</v>
      </c>
      <c r="Q557" s="98">
        <v>0.69640000000000002</v>
      </c>
      <c r="R557" s="98">
        <v>0.6</v>
      </c>
      <c r="S557" s="98">
        <v>0.61</v>
      </c>
    </row>
    <row r="558" spans="1:19" s="60" customFormat="1">
      <c r="A558" s="59">
        <f t="shared" si="64"/>
        <v>54423</v>
      </c>
      <c r="B558" s="59">
        <f t="shared" si="63"/>
        <v>54787</v>
      </c>
      <c r="C558" s="102">
        <f t="shared" si="67"/>
        <v>0.26800000000000002</v>
      </c>
      <c r="D558" s="102">
        <f t="shared" si="67"/>
        <v>0.28599999999999998</v>
      </c>
      <c r="E558" s="102">
        <f t="shared" si="67"/>
        <v>6.6000000000000003E-2</v>
      </c>
      <c r="F558" s="102">
        <f t="shared" si="67"/>
        <v>2.5999999999999999E-2</v>
      </c>
      <c r="G558" s="104">
        <v>0.26800000000000002</v>
      </c>
      <c r="H558" s="104">
        <v>0.28599999999999998</v>
      </c>
      <c r="I558" s="103">
        <v>6.6000000000000003E-2</v>
      </c>
      <c r="J558" s="104">
        <v>2.5999999999999999E-2</v>
      </c>
      <c r="K558" s="54">
        <f>((8/3)*L554)+((4/3)*L566)</f>
        <v>78679</v>
      </c>
      <c r="L558" s="113"/>
      <c r="M558" s="98">
        <f t="shared" si="60"/>
        <v>0.6</v>
      </c>
      <c r="N558" s="98">
        <v>0.26</v>
      </c>
      <c r="O558" s="98">
        <f t="shared" si="61"/>
        <v>0.61</v>
      </c>
      <c r="P558" s="98">
        <v>0.34620000000000001</v>
      </c>
      <c r="Q558" s="98">
        <v>0.69640000000000002</v>
      </c>
      <c r="R558" s="98">
        <v>0.6</v>
      </c>
      <c r="S558" s="98">
        <v>0.61</v>
      </c>
    </row>
    <row r="559" spans="1:19" s="60" customFormat="1">
      <c r="A559" s="59">
        <f t="shared" si="64"/>
        <v>54454</v>
      </c>
      <c r="B559" s="59">
        <f t="shared" si="63"/>
        <v>54818</v>
      </c>
      <c r="C559" s="102">
        <f t="shared" si="67"/>
        <v>0.26800000000000002</v>
      </c>
      <c r="D559" s="102">
        <f t="shared" si="67"/>
        <v>0.28599999999999998</v>
      </c>
      <c r="E559" s="102">
        <f t="shared" si="67"/>
        <v>6.6000000000000003E-2</v>
      </c>
      <c r="F559" s="102">
        <f t="shared" si="67"/>
        <v>2.5999999999999999E-2</v>
      </c>
      <c r="G559" s="104">
        <v>0.26800000000000002</v>
      </c>
      <c r="H559" s="104">
        <v>0.28599999999999998</v>
      </c>
      <c r="I559" s="103">
        <v>6.6000000000000003E-2</v>
      </c>
      <c r="J559" s="104">
        <v>2.5999999999999999E-2</v>
      </c>
      <c r="K559" s="54">
        <f>((7/3)*L554)+((5/3)*L566)</f>
        <v>79002</v>
      </c>
      <c r="L559" s="113"/>
      <c r="M559" s="98">
        <f t="shared" ref="M559:M622" si="68">AVERAGE(R559:R570)</f>
        <v>0.6</v>
      </c>
      <c r="N559" s="98">
        <v>0.26</v>
      </c>
      <c r="O559" s="98">
        <f t="shared" ref="O559:O622" si="69">AVERAGE(S559:S570)</f>
        <v>0.61</v>
      </c>
      <c r="P559" s="98">
        <v>0.34620000000000001</v>
      </c>
      <c r="Q559" s="98">
        <v>0.69640000000000002</v>
      </c>
      <c r="R559" s="98">
        <v>0.6</v>
      </c>
      <c r="S559" s="98">
        <v>0.61</v>
      </c>
    </row>
    <row r="560" spans="1:19" s="60" customFormat="1">
      <c r="A560" s="59">
        <f t="shared" si="64"/>
        <v>54482</v>
      </c>
      <c r="B560" s="59">
        <f t="shared" si="63"/>
        <v>54846</v>
      </c>
      <c r="C560" s="102">
        <f t="shared" si="67"/>
        <v>0.26800000000000002</v>
      </c>
      <c r="D560" s="102">
        <f t="shared" si="67"/>
        <v>0.28599999999999998</v>
      </c>
      <c r="E560" s="102">
        <f t="shared" si="67"/>
        <v>6.6000000000000003E-2</v>
      </c>
      <c r="F560" s="102">
        <f t="shared" si="67"/>
        <v>2.5999999999999999E-2</v>
      </c>
      <c r="G560" s="104">
        <v>0.26800000000000002</v>
      </c>
      <c r="H560" s="104">
        <v>0.28599999999999998</v>
      </c>
      <c r="I560" s="103">
        <v>6.6000000000000003E-2</v>
      </c>
      <c r="J560" s="104">
        <v>2.5999999999999999E-2</v>
      </c>
      <c r="K560" s="54">
        <f>((6/3)*L554)+((6/3)*L566)</f>
        <v>79324</v>
      </c>
      <c r="L560" s="113"/>
      <c r="M560" s="98">
        <f t="shared" si="68"/>
        <v>0.6</v>
      </c>
      <c r="N560" s="98">
        <v>0.26</v>
      </c>
      <c r="O560" s="98">
        <f t="shared" si="69"/>
        <v>0.61</v>
      </c>
      <c r="P560" s="98">
        <v>0.34620000000000001</v>
      </c>
      <c r="Q560" s="98">
        <v>0.69640000000000002</v>
      </c>
      <c r="R560" s="98">
        <v>0.6</v>
      </c>
      <c r="S560" s="98">
        <v>0.61</v>
      </c>
    </row>
    <row r="561" spans="1:19" s="60" customFormat="1">
      <c r="A561" s="59">
        <f t="shared" si="64"/>
        <v>54513</v>
      </c>
      <c r="B561" s="59">
        <f t="shared" si="63"/>
        <v>54877</v>
      </c>
      <c r="C561" s="102">
        <f t="shared" si="67"/>
        <v>0.26800000000000002</v>
      </c>
      <c r="D561" s="102">
        <f t="shared" si="67"/>
        <v>0.28599999999999998</v>
      </c>
      <c r="E561" s="102">
        <f t="shared" si="67"/>
        <v>6.6000000000000003E-2</v>
      </c>
      <c r="F561" s="102">
        <f t="shared" si="67"/>
        <v>2.5999999999999999E-2</v>
      </c>
      <c r="G561" s="104">
        <v>0.26800000000000002</v>
      </c>
      <c r="H561" s="104">
        <v>0.28599999999999998</v>
      </c>
      <c r="I561" s="103">
        <v>6.6000000000000003E-2</v>
      </c>
      <c r="J561" s="104">
        <v>2.5999999999999999E-2</v>
      </c>
      <c r="K561" s="54">
        <f>((5/3)*L554)+((7/3)*L566)</f>
        <v>79647</v>
      </c>
      <c r="L561" s="113"/>
      <c r="M561" s="98">
        <f t="shared" si="68"/>
        <v>0.6</v>
      </c>
      <c r="N561" s="98">
        <v>0.26</v>
      </c>
      <c r="O561" s="98">
        <f t="shared" si="69"/>
        <v>0.61</v>
      </c>
      <c r="P561" s="98">
        <v>0.34620000000000001</v>
      </c>
      <c r="Q561" s="98">
        <v>0.69640000000000002</v>
      </c>
      <c r="R561" s="98">
        <v>0.6</v>
      </c>
      <c r="S561" s="98">
        <v>0.61</v>
      </c>
    </row>
    <row r="562" spans="1:19" s="60" customFormat="1">
      <c r="A562" s="59">
        <f t="shared" si="64"/>
        <v>54543</v>
      </c>
      <c r="B562" s="59">
        <f t="shared" si="63"/>
        <v>54907</v>
      </c>
      <c r="C562" s="102">
        <f t="shared" si="67"/>
        <v>0.26800000000000002</v>
      </c>
      <c r="D562" s="102">
        <f t="shared" si="67"/>
        <v>0.28599999999999998</v>
      </c>
      <c r="E562" s="102">
        <f t="shared" si="67"/>
        <v>6.6000000000000003E-2</v>
      </c>
      <c r="F562" s="102">
        <f t="shared" si="67"/>
        <v>2.5999999999999999E-2</v>
      </c>
      <c r="G562" s="104">
        <v>0.26800000000000002</v>
      </c>
      <c r="H562" s="104">
        <v>0.28599999999999998</v>
      </c>
      <c r="I562" s="103">
        <v>6.6000000000000003E-2</v>
      </c>
      <c r="J562" s="104">
        <v>2.5999999999999999E-2</v>
      </c>
      <c r="K562" s="54">
        <f>((4/3)*L554)+((8/3)*L566)</f>
        <v>79969</v>
      </c>
      <c r="L562" s="113"/>
      <c r="M562" s="98">
        <f t="shared" si="68"/>
        <v>0.6</v>
      </c>
      <c r="N562" s="98">
        <v>0.26</v>
      </c>
      <c r="O562" s="98">
        <f t="shared" si="69"/>
        <v>0.61</v>
      </c>
      <c r="P562" s="98">
        <v>0.34620000000000001</v>
      </c>
      <c r="Q562" s="98">
        <v>0.69640000000000002</v>
      </c>
      <c r="R562" s="98">
        <v>0.6</v>
      </c>
      <c r="S562" s="98">
        <v>0.61</v>
      </c>
    </row>
    <row r="563" spans="1:19" s="60" customFormat="1">
      <c r="A563" s="59">
        <f t="shared" si="64"/>
        <v>54574</v>
      </c>
      <c r="B563" s="59">
        <f t="shared" si="63"/>
        <v>54938</v>
      </c>
      <c r="C563" s="102">
        <f t="shared" ref="C563:F578" si="70">AVERAGE(G563:G574)</f>
        <v>0.26800000000000002</v>
      </c>
      <c r="D563" s="102">
        <f t="shared" si="70"/>
        <v>0.28599999999999998</v>
      </c>
      <c r="E563" s="102">
        <f t="shared" si="70"/>
        <v>6.6000000000000003E-2</v>
      </c>
      <c r="F563" s="102">
        <f t="shared" si="70"/>
        <v>2.5999999999999999E-2</v>
      </c>
      <c r="G563" s="104">
        <v>0.26800000000000002</v>
      </c>
      <c r="H563" s="104">
        <v>0.28599999999999998</v>
      </c>
      <c r="I563" s="103">
        <v>6.6000000000000003E-2</v>
      </c>
      <c r="J563" s="104">
        <v>2.5999999999999999E-2</v>
      </c>
      <c r="K563" s="54">
        <f>((3/3)*L554)+((9/3)*L566)</f>
        <v>80292</v>
      </c>
      <c r="L563" s="113"/>
      <c r="M563" s="98">
        <f t="shared" si="68"/>
        <v>0.6</v>
      </c>
      <c r="N563" s="98">
        <v>0.26</v>
      </c>
      <c r="O563" s="98">
        <f t="shared" si="69"/>
        <v>0.61</v>
      </c>
      <c r="P563" s="98">
        <v>0.34620000000000001</v>
      </c>
      <c r="Q563" s="98">
        <v>0.69640000000000002</v>
      </c>
      <c r="R563" s="98">
        <v>0.6</v>
      </c>
      <c r="S563" s="98">
        <v>0.61</v>
      </c>
    </row>
    <row r="564" spans="1:19" s="60" customFormat="1">
      <c r="A564" s="59">
        <f t="shared" si="64"/>
        <v>54604</v>
      </c>
      <c r="B564" s="59">
        <f t="shared" si="63"/>
        <v>54968</v>
      </c>
      <c r="C564" s="102">
        <f t="shared" si="70"/>
        <v>0.26800000000000002</v>
      </c>
      <c r="D564" s="102">
        <f t="shared" si="70"/>
        <v>0.28599999999999998</v>
      </c>
      <c r="E564" s="102">
        <f t="shared" si="70"/>
        <v>6.6000000000000003E-2</v>
      </c>
      <c r="F564" s="102">
        <f t="shared" si="70"/>
        <v>2.5999999999999999E-2</v>
      </c>
      <c r="G564" s="104">
        <v>0.26800000000000002</v>
      </c>
      <c r="H564" s="104">
        <v>0.28599999999999998</v>
      </c>
      <c r="I564" s="103">
        <v>6.6000000000000003E-2</v>
      </c>
      <c r="J564" s="104">
        <v>2.5999999999999999E-2</v>
      </c>
      <c r="K564" s="54">
        <f>((2/3)*L554)+((10/3)*L566)</f>
        <v>80614</v>
      </c>
      <c r="L564" s="113"/>
      <c r="M564" s="98">
        <f t="shared" si="68"/>
        <v>0.6</v>
      </c>
      <c r="N564" s="98">
        <v>0.26</v>
      </c>
      <c r="O564" s="98">
        <f t="shared" si="69"/>
        <v>0.61</v>
      </c>
      <c r="P564" s="98">
        <v>0.34620000000000001</v>
      </c>
      <c r="Q564" s="98">
        <v>0.69640000000000002</v>
      </c>
      <c r="R564" s="98">
        <v>0.6</v>
      </c>
      <c r="S564" s="98">
        <v>0.61</v>
      </c>
    </row>
    <row r="565" spans="1:19" s="60" customFormat="1">
      <c r="A565" s="59">
        <f t="shared" si="64"/>
        <v>54635</v>
      </c>
      <c r="B565" s="59">
        <f t="shared" si="63"/>
        <v>54999</v>
      </c>
      <c r="C565" s="99">
        <f t="shared" si="70"/>
        <v>0.26800000000000002</v>
      </c>
      <c r="D565" s="99">
        <f t="shared" si="70"/>
        <v>0.28599999999999998</v>
      </c>
      <c r="E565" s="99">
        <f t="shared" si="70"/>
        <v>6.6000000000000003E-2</v>
      </c>
      <c r="F565" s="99">
        <f t="shared" si="70"/>
        <v>2.5999999999999999E-2</v>
      </c>
      <c r="G565" s="104">
        <v>0.26800000000000002</v>
      </c>
      <c r="H565" s="104">
        <v>0.28599999999999998</v>
      </c>
      <c r="I565" s="103">
        <v>6.6000000000000003E-2</v>
      </c>
      <c r="J565" s="104">
        <v>2.5999999999999999E-2</v>
      </c>
      <c r="K565" s="54">
        <f>((1/3)*L554)+((11/3)*L566)</f>
        <v>80937</v>
      </c>
      <c r="L565" s="113"/>
      <c r="M565" s="98">
        <f t="shared" si="68"/>
        <v>0.6</v>
      </c>
      <c r="N565" s="98">
        <v>0.26</v>
      </c>
      <c r="O565" s="98">
        <f t="shared" si="69"/>
        <v>0.61</v>
      </c>
      <c r="P565" s="98">
        <v>0.34620000000000001</v>
      </c>
      <c r="Q565" s="98">
        <v>0.69640000000000002</v>
      </c>
      <c r="R565" s="98">
        <v>0.6</v>
      </c>
      <c r="S565" s="98">
        <v>0.61</v>
      </c>
    </row>
    <row r="566" spans="1:19" s="96" customFormat="1">
      <c r="A566" s="95">
        <f t="shared" si="64"/>
        <v>54666</v>
      </c>
      <c r="B566" s="95">
        <f t="shared" si="63"/>
        <v>55030</v>
      </c>
      <c r="C566" s="105">
        <f t="shared" si="70"/>
        <v>0.26800000000000002</v>
      </c>
      <c r="D566" s="105">
        <f t="shared" si="70"/>
        <v>0.28599999999999998</v>
      </c>
      <c r="E566" s="105">
        <f t="shared" si="70"/>
        <v>6.6000000000000003E-2</v>
      </c>
      <c r="F566" s="105">
        <f t="shared" si="70"/>
        <v>2.5999999999999999E-2</v>
      </c>
      <c r="G566" s="107">
        <v>0.26800000000000002</v>
      </c>
      <c r="H566" s="107">
        <v>0.28599999999999998</v>
      </c>
      <c r="I566" s="106">
        <v>6.6000000000000003E-2</v>
      </c>
      <c r="J566" s="107">
        <v>2.5999999999999999E-2</v>
      </c>
      <c r="K566" s="94">
        <f>(L566*4)</f>
        <v>81259</v>
      </c>
      <c r="L566" s="114">
        <f>L554*1.05</f>
        <v>20314.759999999998</v>
      </c>
      <c r="M566" s="421">
        <f t="shared" si="68"/>
        <v>0.6</v>
      </c>
      <c r="N566" s="421">
        <v>0.26</v>
      </c>
      <c r="O566" s="421">
        <f t="shared" si="69"/>
        <v>0.61</v>
      </c>
      <c r="P566" s="421">
        <v>0.34620000000000001</v>
      </c>
      <c r="Q566" s="421">
        <v>0.69640000000000002</v>
      </c>
      <c r="R566" s="421">
        <v>0.6</v>
      </c>
      <c r="S566" s="421">
        <v>0.61</v>
      </c>
    </row>
    <row r="567" spans="1:19" s="96" customFormat="1">
      <c r="A567" s="95">
        <f t="shared" si="64"/>
        <v>54696</v>
      </c>
      <c r="B567" s="95">
        <f t="shared" si="63"/>
        <v>55060</v>
      </c>
      <c r="C567" s="105">
        <f t="shared" si="70"/>
        <v>0.26800000000000002</v>
      </c>
      <c r="D567" s="105">
        <f t="shared" si="70"/>
        <v>0.28599999999999998</v>
      </c>
      <c r="E567" s="105">
        <f t="shared" si="70"/>
        <v>6.6000000000000003E-2</v>
      </c>
      <c r="F567" s="105">
        <f t="shared" si="70"/>
        <v>2.5999999999999999E-2</v>
      </c>
      <c r="G567" s="107">
        <v>0.26800000000000002</v>
      </c>
      <c r="H567" s="107">
        <v>0.28599999999999998</v>
      </c>
      <c r="I567" s="106">
        <v>6.6000000000000003E-2</v>
      </c>
      <c r="J567" s="107">
        <v>2.5999999999999999E-2</v>
      </c>
      <c r="K567" s="94">
        <f>((11/3)*L566)+((1/3)*L578)</f>
        <v>81598</v>
      </c>
      <c r="L567" s="114"/>
      <c r="M567" s="421">
        <f t="shared" si="68"/>
        <v>0.6</v>
      </c>
      <c r="N567" s="421">
        <v>0.26</v>
      </c>
      <c r="O567" s="421">
        <f t="shared" si="69"/>
        <v>0.61</v>
      </c>
      <c r="P567" s="421">
        <v>0.34620000000000001</v>
      </c>
      <c r="Q567" s="421">
        <v>0.69640000000000002</v>
      </c>
      <c r="R567" s="421">
        <v>0.6</v>
      </c>
      <c r="S567" s="421">
        <v>0.61</v>
      </c>
    </row>
    <row r="568" spans="1:19" s="96" customFormat="1">
      <c r="A568" s="95">
        <f t="shared" si="64"/>
        <v>54727</v>
      </c>
      <c r="B568" s="95">
        <f t="shared" si="63"/>
        <v>55091</v>
      </c>
      <c r="C568" s="105">
        <f t="shared" si="70"/>
        <v>0.26800000000000002</v>
      </c>
      <c r="D568" s="105">
        <f t="shared" si="70"/>
        <v>0.28599999999999998</v>
      </c>
      <c r="E568" s="105">
        <f t="shared" si="70"/>
        <v>6.6000000000000003E-2</v>
      </c>
      <c r="F568" s="105">
        <f t="shared" si="70"/>
        <v>2.5999999999999999E-2</v>
      </c>
      <c r="G568" s="107">
        <v>0.26800000000000002</v>
      </c>
      <c r="H568" s="107">
        <v>0.28599999999999998</v>
      </c>
      <c r="I568" s="106">
        <v>6.6000000000000003E-2</v>
      </c>
      <c r="J568" s="107">
        <v>2.5999999999999999E-2</v>
      </c>
      <c r="K568" s="94">
        <f>((10/3)*L566)+((2/3)*L578)</f>
        <v>81936</v>
      </c>
      <c r="L568" s="114"/>
      <c r="M568" s="421">
        <f t="shared" si="68"/>
        <v>0.6</v>
      </c>
      <c r="N568" s="421">
        <v>0.26</v>
      </c>
      <c r="O568" s="421">
        <f t="shared" si="69"/>
        <v>0.61</v>
      </c>
      <c r="P568" s="421">
        <v>0.34620000000000001</v>
      </c>
      <c r="Q568" s="421">
        <v>0.69640000000000002</v>
      </c>
      <c r="R568" s="421">
        <v>0.6</v>
      </c>
      <c r="S568" s="421">
        <v>0.61</v>
      </c>
    </row>
    <row r="569" spans="1:19" s="96" customFormat="1">
      <c r="A569" s="95">
        <f t="shared" si="64"/>
        <v>54757</v>
      </c>
      <c r="B569" s="95">
        <f t="shared" si="63"/>
        <v>55121</v>
      </c>
      <c r="C569" s="105">
        <f t="shared" si="70"/>
        <v>0.26800000000000002</v>
      </c>
      <c r="D569" s="105">
        <f t="shared" si="70"/>
        <v>0.28599999999999998</v>
      </c>
      <c r="E569" s="105">
        <f t="shared" si="70"/>
        <v>6.6000000000000003E-2</v>
      </c>
      <c r="F569" s="105">
        <f t="shared" si="70"/>
        <v>2.5999999999999999E-2</v>
      </c>
      <c r="G569" s="107">
        <v>0.26800000000000002</v>
      </c>
      <c r="H569" s="107">
        <v>0.28599999999999998</v>
      </c>
      <c r="I569" s="106">
        <v>6.6000000000000003E-2</v>
      </c>
      <c r="J569" s="107">
        <v>2.5999999999999999E-2</v>
      </c>
      <c r="K569" s="94">
        <f>((9/3)*L566)+((3/3)*L578)</f>
        <v>82275</v>
      </c>
      <c r="L569" s="114"/>
      <c r="M569" s="421">
        <f t="shared" si="68"/>
        <v>0.6</v>
      </c>
      <c r="N569" s="421">
        <v>0.26</v>
      </c>
      <c r="O569" s="421">
        <f t="shared" si="69"/>
        <v>0.61</v>
      </c>
      <c r="P569" s="421">
        <v>0.34620000000000001</v>
      </c>
      <c r="Q569" s="421">
        <v>0.69640000000000002</v>
      </c>
      <c r="R569" s="421">
        <v>0.6</v>
      </c>
      <c r="S569" s="421">
        <v>0.61</v>
      </c>
    </row>
    <row r="570" spans="1:19" s="96" customFormat="1">
      <c r="A570" s="95">
        <f t="shared" si="64"/>
        <v>54788</v>
      </c>
      <c r="B570" s="95">
        <f t="shared" si="63"/>
        <v>55152</v>
      </c>
      <c r="C570" s="105">
        <f t="shared" si="70"/>
        <v>0.26800000000000002</v>
      </c>
      <c r="D570" s="105">
        <f t="shared" si="70"/>
        <v>0.28599999999999998</v>
      </c>
      <c r="E570" s="105">
        <f t="shared" si="70"/>
        <v>6.6000000000000003E-2</v>
      </c>
      <c r="F570" s="105">
        <f t="shared" si="70"/>
        <v>2.5999999999999999E-2</v>
      </c>
      <c r="G570" s="107">
        <v>0.26800000000000002</v>
      </c>
      <c r="H570" s="107">
        <v>0.28599999999999998</v>
      </c>
      <c r="I570" s="106">
        <v>6.6000000000000003E-2</v>
      </c>
      <c r="J570" s="107">
        <v>2.5999999999999999E-2</v>
      </c>
      <c r="K570" s="94">
        <f>((8/3)*L566)+((4/3)*L578)</f>
        <v>82613</v>
      </c>
      <c r="L570" s="114"/>
      <c r="M570" s="421">
        <f t="shared" si="68"/>
        <v>0.6</v>
      </c>
      <c r="N570" s="421">
        <v>0.26</v>
      </c>
      <c r="O570" s="421">
        <f t="shared" si="69"/>
        <v>0.61</v>
      </c>
      <c r="P570" s="421">
        <v>0.34620000000000001</v>
      </c>
      <c r="Q570" s="421">
        <v>0.69640000000000002</v>
      </c>
      <c r="R570" s="421">
        <v>0.6</v>
      </c>
      <c r="S570" s="421">
        <v>0.61</v>
      </c>
    </row>
    <row r="571" spans="1:19" s="96" customFormat="1">
      <c r="A571" s="95">
        <f t="shared" si="64"/>
        <v>54819</v>
      </c>
      <c r="B571" s="95">
        <f t="shared" si="63"/>
        <v>55183</v>
      </c>
      <c r="C571" s="105">
        <f t="shared" si="70"/>
        <v>0.26800000000000002</v>
      </c>
      <c r="D571" s="105">
        <f t="shared" si="70"/>
        <v>0.28599999999999998</v>
      </c>
      <c r="E571" s="105">
        <f t="shared" si="70"/>
        <v>6.6000000000000003E-2</v>
      </c>
      <c r="F571" s="105">
        <f t="shared" si="70"/>
        <v>2.5999999999999999E-2</v>
      </c>
      <c r="G571" s="107">
        <v>0.26800000000000002</v>
      </c>
      <c r="H571" s="107">
        <v>0.28599999999999998</v>
      </c>
      <c r="I571" s="106">
        <v>6.6000000000000003E-2</v>
      </c>
      <c r="J571" s="107">
        <v>2.5999999999999999E-2</v>
      </c>
      <c r="K571" s="94">
        <f>((7/3)*L566)+((5/3)*L578)</f>
        <v>82952</v>
      </c>
      <c r="L571" s="114"/>
      <c r="M571" s="421">
        <f t="shared" si="68"/>
        <v>0.6</v>
      </c>
      <c r="N571" s="421">
        <v>0.26</v>
      </c>
      <c r="O571" s="421">
        <f t="shared" si="69"/>
        <v>0.61</v>
      </c>
      <c r="P571" s="421">
        <v>0.34620000000000001</v>
      </c>
      <c r="Q571" s="421">
        <v>0.69640000000000002</v>
      </c>
      <c r="R571" s="421">
        <v>0.6</v>
      </c>
      <c r="S571" s="421">
        <v>0.61</v>
      </c>
    </row>
    <row r="572" spans="1:19" s="96" customFormat="1">
      <c r="A572" s="95">
        <f t="shared" si="64"/>
        <v>54847</v>
      </c>
      <c r="B572" s="95">
        <f t="shared" si="63"/>
        <v>55211</v>
      </c>
      <c r="C572" s="105">
        <f t="shared" si="70"/>
        <v>0.26800000000000002</v>
      </c>
      <c r="D572" s="105">
        <f t="shared" si="70"/>
        <v>0.28599999999999998</v>
      </c>
      <c r="E572" s="105">
        <f t="shared" si="70"/>
        <v>6.6000000000000003E-2</v>
      </c>
      <c r="F572" s="105">
        <f t="shared" si="70"/>
        <v>2.5999999999999999E-2</v>
      </c>
      <c r="G572" s="107">
        <v>0.26800000000000002</v>
      </c>
      <c r="H572" s="107">
        <v>0.28599999999999998</v>
      </c>
      <c r="I572" s="106">
        <v>6.6000000000000003E-2</v>
      </c>
      <c r="J572" s="107">
        <v>2.5999999999999999E-2</v>
      </c>
      <c r="K572" s="94">
        <f>((6/3)*L566)+((6/3)*L578)</f>
        <v>83291</v>
      </c>
      <c r="L572" s="114"/>
      <c r="M572" s="421">
        <f t="shared" si="68"/>
        <v>0.6</v>
      </c>
      <c r="N572" s="421">
        <v>0.26</v>
      </c>
      <c r="O572" s="421">
        <f t="shared" si="69"/>
        <v>0.61</v>
      </c>
      <c r="P572" s="421">
        <v>0.34620000000000001</v>
      </c>
      <c r="Q572" s="421">
        <v>0.69640000000000002</v>
      </c>
      <c r="R572" s="421">
        <v>0.6</v>
      </c>
      <c r="S572" s="421">
        <v>0.61</v>
      </c>
    </row>
    <row r="573" spans="1:19" s="96" customFormat="1">
      <c r="A573" s="95">
        <f t="shared" si="64"/>
        <v>54878</v>
      </c>
      <c r="B573" s="95">
        <f t="shared" si="63"/>
        <v>55242</v>
      </c>
      <c r="C573" s="105">
        <f t="shared" si="70"/>
        <v>0.26800000000000002</v>
      </c>
      <c r="D573" s="105">
        <f t="shared" si="70"/>
        <v>0.28599999999999998</v>
      </c>
      <c r="E573" s="105">
        <f t="shared" si="70"/>
        <v>6.6000000000000003E-2</v>
      </c>
      <c r="F573" s="105">
        <f t="shared" si="70"/>
        <v>2.5999999999999999E-2</v>
      </c>
      <c r="G573" s="107">
        <v>0.26800000000000002</v>
      </c>
      <c r="H573" s="107">
        <v>0.28599999999999998</v>
      </c>
      <c r="I573" s="106">
        <v>6.6000000000000003E-2</v>
      </c>
      <c r="J573" s="107">
        <v>2.5999999999999999E-2</v>
      </c>
      <c r="K573" s="94">
        <f>((5/3)*L566)+((7/3)*L578)</f>
        <v>83629</v>
      </c>
      <c r="L573" s="114"/>
      <c r="M573" s="421">
        <f t="shared" si="68"/>
        <v>0.6</v>
      </c>
      <c r="N573" s="421">
        <v>0.26</v>
      </c>
      <c r="O573" s="421">
        <f t="shared" si="69"/>
        <v>0.61</v>
      </c>
      <c r="P573" s="421">
        <v>0.34620000000000001</v>
      </c>
      <c r="Q573" s="421">
        <v>0.69640000000000002</v>
      </c>
      <c r="R573" s="421">
        <v>0.6</v>
      </c>
      <c r="S573" s="421">
        <v>0.61</v>
      </c>
    </row>
    <row r="574" spans="1:19" s="96" customFormat="1">
      <c r="A574" s="95">
        <f t="shared" si="64"/>
        <v>54908</v>
      </c>
      <c r="B574" s="95">
        <f t="shared" si="63"/>
        <v>55272</v>
      </c>
      <c r="C574" s="105">
        <f t="shared" si="70"/>
        <v>0.26800000000000002</v>
      </c>
      <c r="D574" s="105">
        <f t="shared" si="70"/>
        <v>0.28599999999999998</v>
      </c>
      <c r="E574" s="105">
        <f t="shared" si="70"/>
        <v>6.6000000000000003E-2</v>
      </c>
      <c r="F574" s="105">
        <f t="shared" si="70"/>
        <v>2.5999999999999999E-2</v>
      </c>
      <c r="G574" s="107">
        <v>0.26800000000000002</v>
      </c>
      <c r="H574" s="107">
        <v>0.28599999999999998</v>
      </c>
      <c r="I574" s="106">
        <v>6.6000000000000003E-2</v>
      </c>
      <c r="J574" s="107">
        <v>2.5999999999999999E-2</v>
      </c>
      <c r="K574" s="94">
        <f>((4/3)*L566)+((8/3)*L578)</f>
        <v>83968</v>
      </c>
      <c r="L574" s="114"/>
      <c r="M574" s="421">
        <f t="shared" si="68"/>
        <v>0.6</v>
      </c>
      <c r="N574" s="421">
        <v>0.26</v>
      </c>
      <c r="O574" s="421">
        <f t="shared" si="69"/>
        <v>0.61</v>
      </c>
      <c r="P574" s="421">
        <v>0.34620000000000001</v>
      </c>
      <c r="Q574" s="421">
        <v>0.69640000000000002</v>
      </c>
      <c r="R574" s="421">
        <v>0.6</v>
      </c>
      <c r="S574" s="421">
        <v>0.61</v>
      </c>
    </row>
    <row r="575" spans="1:19" s="96" customFormat="1">
      <c r="A575" s="95">
        <f t="shared" si="64"/>
        <v>54939</v>
      </c>
      <c r="B575" s="95">
        <f t="shared" si="63"/>
        <v>55303</v>
      </c>
      <c r="C575" s="105">
        <f t="shared" si="70"/>
        <v>0.26800000000000002</v>
      </c>
      <c r="D575" s="105">
        <f t="shared" si="70"/>
        <v>0.28599999999999998</v>
      </c>
      <c r="E575" s="105">
        <f t="shared" si="70"/>
        <v>6.6000000000000003E-2</v>
      </c>
      <c r="F575" s="105">
        <f t="shared" si="70"/>
        <v>2.5999999999999999E-2</v>
      </c>
      <c r="G575" s="107">
        <v>0.26800000000000002</v>
      </c>
      <c r="H575" s="107">
        <v>0.28599999999999998</v>
      </c>
      <c r="I575" s="106">
        <v>6.6000000000000003E-2</v>
      </c>
      <c r="J575" s="107">
        <v>2.5999999999999999E-2</v>
      </c>
      <c r="K575" s="94">
        <f>((3/3)*L566)+((9/3)*L578)</f>
        <v>84306</v>
      </c>
      <c r="L575" s="114"/>
      <c r="M575" s="421">
        <f t="shared" si="68"/>
        <v>0.6</v>
      </c>
      <c r="N575" s="421">
        <v>0.26</v>
      </c>
      <c r="O575" s="421">
        <f t="shared" si="69"/>
        <v>0.61</v>
      </c>
      <c r="P575" s="421">
        <v>0.34620000000000001</v>
      </c>
      <c r="Q575" s="421">
        <v>0.69640000000000002</v>
      </c>
      <c r="R575" s="421">
        <v>0.6</v>
      </c>
      <c r="S575" s="421">
        <v>0.61</v>
      </c>
    </row>
    <row r="576" spans="1:19" s="96" customFormat="1">
      <c r="A576" s="95">
        <f t="shared" si="64"/>
        <v>54969</v>
      </c>
      <c r="B576" s="95">
        <f t="shared" si="63"/>
        <v>55333</v>
      </c>
      <c r="C576" s="105">
        <f t="shared" si="70"/>
        <v>0.26800000000000002</v>
      </c>
      <c r="D576" s="105">
        <f t="shared" si="70"/>
        <v>0.28599999999999998</v>
      </c>
      <c r="E576" s="105">
        <f t="shared" si="70"/>
        <v>6.6000000000000003E-2</v>
      </c>
      <c r="F576" s="105">
        <f t="shared" si="70"/>
        <v>2.5999999999999999E-2</v>
      </c>
      <c r="G576" s="107">
        <v>0.26800000000000002</v>
      </c>
      <c r="H576" s="107">
        <v>0.28599999999999998</v>
      </c>
      <c r="I576" s="106">
        <v>6.6000000000000003E-2</v>
      </c>
      <c r="J576" s="107">
        <v>2.5999999999999999E-2</v>
      </c>
      <c r="K576" s="94">
        <f>((2/3)*L566)+((10/3)*L578)</f>
        <v>84645</v>
      </c>
      <c r="L576" s="114"/>
      <c r="M576" s="421">
        <f t="shared" si="68"/>
        <v>0.6</v>
      </c>
      <c r="N576" s="421">
        <v>0.26</v>
      </c>
      <c r="O576" s="421">
        <f t="shared" si="69"/>
        <v>0.61</v>
      </c>
      <c r="P576" s="421">
        <v>0.34620000000000001</v>
      </c>
      <c r="Q576" s="421">
        <v>0.69640000000000002</v>
      </c>
      <c r="R576" s="421">
        <v>0.6</v>
      </c>
      <c r="S576" s="421">
        <v>0.61</v>
      </c>
    </row>
    <row r="577" spans="1:19" s="96" customFormat="1">
      <c r="A577" s="95">
        <f t="shared" si="64"/>
        <v>55000</v>
      </c>
      <c r="B577" s="95">
        <f t="shared" si="63"/>
        <v>55364</v>
      </c>
      <c r="C577" s="105">
        <f t="shared" si="70"/>
        <v>0.26800000000000002</v>
      </c>
      <c r="D577" s="105">
        <f t="shared" si="70"/>
        <v>0.28599999999999998</v>
      </c>
      <c r="E577" s="105">
        <f t="shared" si="70"/>
        <v>6.6000000000000003E-2</v>
      </c>
      <c r="F577" s="105">
        <f t="shared" si="70"/>
        <v>2.5999999999999999E-2</v>
      </c>
      <c r="G577" s="107">
        <v>0.26800000000000002</v>
      </c>
      <c r="H577" s="107">
        <v>0.28599999999999998</v>
      </c>
      <c r="I577" s="106">
        <v>6.6000000000000003E-2</v>
      </c>
      <c r="J577" s="107">
        <v>2.5999999999999999E-2</v>
      </c>
      <c r="K577" s="94">
        <f>((1/3)*L566)+((11/3)*L578)</f>
        <v>84983</v>
      </c>
      <c r="L577" s="114"/>
      <c r="M577" s="421">
        <f t="shared" si="68"/>
        <v>0.6</v>
      </c>
      <c r="N577" s="421">
        <v>0.26</v>
      </c>
      <c r="O577" s="421">
        <f t="shared" si="69"/>
        <v>0.61</v>
      </c>
      <c r="P577" s="421">
        <v>0.34620000000000001</v>
      </c>
      <c r="Q577" s="421">
        <v>0.69640000000000002</v>
      </c>
      <c r="R577" s="421">
        <v>0.6</v>
      </c>
      <c r="S577" s="421">
        <v>0.61</v>
      </c>
    </row>
    <row r="578" spans="1:19" s="60" customFormat="1">
      <c r="A578" s="59">
        <f t="shared" si="64"/>
        <v>55031</v>
      </c>
      <c r="B578" s="59">
        <f t="shared" ref="B578:B641" si="71">EDATE(A578,12)-1</f>
        <v>55395</v>
      </c>
      <c r="C578" s="102">
        <f t="shared" si="70"/>
        <v>0.26800000000000002</v>
      </c>
      <c r="D578" s="102">
        <f t="shared" si="70"/>
        <v>0.28599999999999998</v>
      </c>
      <c r="E578" s="102">
        <f t="shared" si="70"/>
        <v>6.6000000000000003E-2</v>
      </c>
      <c r="F578" s="102">
        <f t="shared" si="70"/>
        <v>2.5999999999999999E-2</v>
      </c>
      <c r="G578" s="104">
        <v>0.26800000000000002</v>
      </c>
      <c r="H578" s="104">
        <v>0.28599999999999998</v>
      </c>
      <c r="I578" s="103">
        <v>6.6000000000000003E-2</v>
      </c>
      <c r="J578" s="104">
        <v>2.5999999999999999E-2</v>
      </c>
      <c r="K578" s="54">
        <f>(L578*4)</f>
        <v>85322</v>
      </c>
      <c r="L578" s="113">
        <f>L566*1.05</f>
        <v>21330.5</v>
      </c>
      <c r="M578" s="98">
        <f t="shared" si="68"/>
        <v>0.6</v>
      </c>
      <c r="N578" s="98">
        <v>0.26</v>
      </c>
      <c r="O578" s="98">
        <f t="shared" si="69"/>
        <v>0.61</v>
      </c>
      <c r="P578" s="98">
        <v>0.34620000000000001</v>
      </c>
      <c r="Q578" s="98">
        <v>0.69640000000000002</v>
      </c>
      <c r="R578" s="98">
        <v>0.6</v>
      </c>
      <c r="S578" s="98">
        <v>0.61</v>
      </c>
    </row>
    <row r="579" spans="1:19" s="60" customFormat="1">
      <c r="A579" s="59">
        <f t="shared" ref="A579:A642" si="72">EDATE(A578,1)</f>
        <v>55061</v>
      </c>
      <c r="B579" s="59">
        <f t="shared" si="71"/>
        <v>55425</v>
      </c>
      <c r="C579" s="102">
        <f t="shared" ref="C579:F594" si="73">AVERAGE(G579:G590)</f>
        <v>0.26800000000000002</v>
      </c>
      <c r="D579" s="102">
        <f t="shared" si="73"/>
        <v>0.28599999999999998</v>
      </c>
      <c r="E579" s="102">
        <f t="shared" si="73"/>
        <v>6.6000000000000003E-2</v>
      </c>
      <c r="F579" s="102">
        <f t="shared" si="73"/>
        <v>2.5999999999999999E-2</v>
      </c>
      <c r="G579" s="104">
        <v>0.26800000000000002</v>
      </c>
      <c r="H579" s="104">
        <v>0.28599999999999998</v>
      </c>
      <c r="I579" s="103">
        <v>6.6000000000000003E-2</v>
      </c>
      <c r="J579" s="104">
        <v>2.5999999999999999E-2</v>
      </c>
      <c r="K579" s="54">
        <f>((11/3)*L578)+((1/3)*L590)</f>
        <v>85678</v>
      </c>
      <c r="L579" s="113"/>
      <c r="M579" s="98">
        <f t="shared" si="68"/>
        <v>0.6</v>
      </c>
      <c r="N579" s="98">
        <v>0.26</v>
      </c>
      <c r="O579" s="98">
        <f t="shared" si="69"/>
        <v>0.61</v>
      </c>
      <c r="P579" s="98">
        <v>0.34620000000000001</v>
      </c>
      <c r="Q579" s="98">
        <v>0.69640000000000002</v>
      </c>
      <c r="R579" s="98">
        <v>0.6</v>
      </c>
      <c r="S579" s="98">
        <v>0.61</v>
      </c>
    </row>
    <row r="580" spans="1:19" s="60" customFormat="1">
      <c r="A580" s="59">
        <f t="shared" si="72"/>
        <v>55092</v>
      </c>
      <c r="B580" s="59">
        <f t="shared" si="71"/>
        <v>55456</v>
      </c>
      <c r="C580" s="102">
        <f t="shared" si="73"/>
        <v>0.26800000000000002</v>
      </c>
      <c r="D580" s="102">
        <f t="shared" si="73"/>
        <v>0.28599999999999998</v>
      </c>
      <c r="E580" s="102">
        <f t="shared" si="73"/>
        <v>6.6000000000000003E-2</v>
      </c>
      <c r="F580" s="102">
        <f t="shared" si="73"/>
        <v>2.5999999999999999E-2</v>
      </c>
      <c r="G580" s="104">
        <v>0.26800000000000002</v>
      </c>
      <c r="H580" s="104">
        <v>0.28599999999999998</v>
      </c>
      <c r="I580" s="103">
        <v>6.6000000000000003E-2</v>
      </c>
      <c r="J580" s="104">
        <v>2.5999999999999999E-2</v>
      </c>
      <c r="K580" s="54">
        <f>((10/3)*L578)+((2/3)*L590)</f>
        <v>86033</v>
      </c>
      <c r="L580" s="113"/>
      <c r="M580" s="98">
        <f t="shared" si="68"/>
        <v>0.6</v>
      </c>
      <c r="N580" s="98">
        <v>0.26</v>
      </c>
      <c r="O580" s="98">
        <f t="shared" si="69"/>
        <v>0.61</v>
      </c>
      <c r="P580" s="98">
        <v>0.34620000000000001</v>
      </c>
      <c r="Q580" s="98">
        <v>0.69640000000000002</v>
      </c>
      <c r="R580" s="98">
        <v>0.6</v>
      </c>
      <c r="S580" s="98">
        <v>0.61</v>
      </c>
    </row>
    <row r="581" spans="1:19" s="60" customFormat="1">
      <c r="A581" s="59">
        <f t="shared" si="72"/>
        <v>55122</v>
      </c>
      <c r="B581" s="59">
        <f t="shared" si="71"/>
        <v>55486</v>
      </c>
      <c r="C581" s="102">
        <f t="shared" si="73"/>
        <v>0.26800000000000002</v>
      </c>
      <c r="D581" s="102">
        <f t="shared" si="73"/>
        <v>0.28599999999999998</v>
      </c>
      <c r="E581" s="102">
        <f t="shared" si="73"/>
        <v>6.6000000000000003E-2</v>
      </c>
      <c r="F581" s="102">
        <f t="shared" si="73"/>
        <v>2.5999999999999999E-2</v>
      </c>
      <c r="G581" s="104">
        <v>0.26800000000000002</v>
      </c>
      <c r="H581" s="104">
        <v>0.28599999999999998</v>
      </c>
      <c r="I581" s="103">
        <v>6.6000000000000003E-2</v>
      </c>
      <c r="J581" s="104">
        <v>2.5999999999999999E-2</v>
      </c>
      <c r="K581" s="54">
        <f>((9/3)*L578)+((3/3)*L590)</f>
        <v>86389</v>
      </c>
      <c r="L581" s="113"/>
      <c r="M581" s="98">
        <f t="shared" si="68"/>
        <v>0.6</v>
      </c>
      <c r="N581" s="98">
        <v>0.26</v>
      </c>
      <c r="O581" s="98">
        <f t="shared" si="69"/>
        <v>0.61</v>
      </c>
      <c r="P581" s="98">
        <v>0.34620000000000001</v>
      </c>
      <c r="Q581" s="98">
        <v>0.69640000000000002</v>
      </c>
      <c r="R581" s="98">
        <v>0.6</v>
      </c>
      <c r="S581" s="98">
        <v>0.61</v>
      </c>
    </row>
    <row r="582" spans="1:19" s="60" customFormat="1">
      <c r="A582" s="59">
        <f t="shared" si="72"/>
        <v>55153</v>
      </c>
      <c r="B582" s="59">
        <f t="shared" si="71"/>
        <v>55517</v>
      </c>
      <c r="C582" s="102">
        <f t="shared" si="73"/>
        <v>0.26800000000000002</v>
      </c>
      <c r="D582" s="102">
        <f t="shared" si="73"/>
        <v>0.28599999999999998</v>
      </c>
      <c r="E582" s="102">
        <f t="shared" si="73"/>
        <v>6.6000000000000003E-2</v>
      </c>
      <c r="F582" s="102">
        <f t="shared" si="73"/>
        <v>2.5999999999999999E-2</v>
      </c>
      <c r="G582" s="104">
        <v>0.26800000000000002</v>
      </c>
      <c r="H582" s="104">
        <v>0.28599999999999998</v>
      </c>
      <c r="I582" s="103">
        <v>6.6000000000000003E-2</v>
      </c>
      <c r="J582" s="104">
        <v>2.5999999999999999E-2</v>
      </c>
      <c r="K582" s="54">
        <f>((8/3)*L578)+((4/3)*L590)</f>
        <v>86744</v>
      </c>
      <c r="L582" s="113"/>
      <c r="M582" s="98">
        <f t="shared" si="68"/>
        <v>0.6</v>
      </c>
      <c r="N582" s="98">
        <v>0.26</v>
      </c>
      <c r="O582" s="98">
        <f t="shared" si="69"/>
        <v>0.61</v>
      </c>
      <c r="P582" s="98">
        <v>0.34620000000000001</v>
      </c>
      <c r="Q582" s="98">
        <v>0.69640000000000002</v>
      </c>
      <c r="R582" s="98">
        <v>0.6</v>
      </c>
      <c r="S582" s="98">
        <v>0.61</v>
      </c>
    </row>
    <row r="583" spans="1:19" s="60" customFormat="1">
      <c r="A583" s="59">
        <f t="shared" si="72"/>
        <v>55184</v>
      </c>
      <c r="B583" s="59">
        <f t="shared" si="71"/>
        <v>55548</v>
      </c>
      <c r="C583" s="102">
        <f t="shared" si="73"/>
        <v>0.26800000000000002</v>
      </c>
      <c r="D583" s="102">
        <f t="shared" si="73"/>
        <v>0.28599999999999998</v>
      </c>
      <c r="E583" s="102">
        <f t="shared" si="73"/>
        <v>6.6000000000000003E-2</v>
      </c>
      <c r="F583" s="102">
        <f t="shared" si="73"/>
        <v>2.5999999999999999E-2</v>
      </c>
      <c r="G583" s="104">
        <v>0.26800000000000002</v>
      </c>
      <c r="H583" s="104">
        <v>0.28599999999999998</v>
      </c>
      <c r="I583" s="103">
        <v>6.6000000000000003E-2</v>
      </c>
      <c r="J583" s="104">
        <v>2.5999999999999999E-2</v>
      </c>
      <c r="K583" s="54">
        <f>((7/3)*L578)+((5/3)*L590)</f>
        <v>87100</v>
      </c>
      <c r="L583" s="113"/>
      <c r="M583" s="98">
        <f t="shared" si="68"/>
        <v>0.6</v>
      </c>
      <c r="N583" s="98">
        <v>0.26</v>
      </c>
      <c r="O583" s="98">
        <f t="shared" si="69"/>
        <v>0.61</v>
      </c>
      <c r="P583" s="98">
        <v>0.34620000000000001</v>
      </c>
      <c r="Q583" s="98">
        <v>0.69640000000000002</v>
      </c>
      <c r="R583" s="98">
        <v>0.6</v>
      </c>
      <c r="S583" s="98">
        <v>0.61</v>
      </c>
    </row>
    <row r="584" spans="1:19" s="60" customFormat="1">
      <c r="A584" s="59">
        <f t="shared" si="72"/>
        <v>55212</v>
      </c>
      <c r="B584" s="59">
        <f t="shared" si="71"/>
        <v>55577</v>
      </c>
      <c r="C584" s="102">
        <f t="shared" si="73"/>
        <v>0.26800000000000002</v>
      </c>
      <c r="D584" s="102">
        <f t="shared" si="73"/>
        <v>0.28599999999999998</v>
      </c>
      <c r="E584" s="102">
        <f t="shared" si="73"/>
        <v>6.6000000000000003E-2</v>
      </c>
      <c r="F584" s="102">
        <f t="shared" si="73"/>
        <v>2.5999999999999999E-2</v>
      </c>
      <c r="G584" s="104">
        <v>0.26800000000000002</v>
      </c>
      <c r="H584" s="104">
        <v>0.28599999999999998</v>
      </c>
      <c r="I584" s="103">
        <v>6.6000000000000003E-2</v>
      </c>
      <c r="J584" s="104">
        <v>2.5999999999999999E-2</v>
      </c>
      <c r="K584" s="54">
        <f>((6/3)*L578)+((6/3)*L590)</f>
        <v>87455</v>
      </c>
      <c r="L584" s="113"/>
      <c r="M584" s="98">
        <f t="shared" si="68"/>
        <v>0.6</v>
      </c>
      <c r="N584" s="98">
        <v>0.26</v>
      </c>
      <c r="O584" s="98">
        <f t="shared" si="69"/>
        <v>0.61</v>
      </c>
      <c r="P584" s="98">
        <v>0.34620000000000001</v>
      </c>
      <c r="Q584" s="98">
        <v>0.69640000000000002</v>
      </c>
      <c r="R584" s="98">
        <v>0.6</v>
      </c>
      <c r="S584" s="98">
        <v>0.61</v>
      </c>
    </row>
    <row r="585" spans="1:19" s="60" customFormat="1">
      <c r="A585" s="59">
        <f t="shared" si="72"/>
        <v>55243</v>
      </c>
      <c r="B585" s="59">
        <f t="shared" si="71"/>
        <v>55608</v>
      </c>
      <c r="C585" s="102">
        <f t="shared" si="73"/>
        <v>0.26800000000000002</v>
      </c>
      <c r="D585" s="102">
        <f t="shared" si="73"/>
        <v>0.28599999999999998</v>
      </c>
      <c r="E585" s="102">
        <f t="shared" si="73"/>
        <v>6.6000000000000003E-2</v>
      </c>
      <c r="F585" s="102">
        <f t="shared" si="73"/>
        <v>2.5999999999999999E-2</v>
      </c>
      <c r="G585" s="104">
        <v>0.26800000000000002</v>
      </c>
      <c r="H585" s="104">
        <v>0.28599999999999998</v>
      </c>
      <c r="I585" s="103">
        <v>6.6000000000000003E-2</v>
      </c>
      <c r="J585" s="104">
        <v>2.5999999999999999E-2</v>
      </c>
      <c r="K585" s="54">
        <f>((5/3)*L578)+((7/3)*L590)</f>
        <v>87811</v>
      </c>
      <c r="L585" s="113"/>
      <c r="M585" s="98">
        <f t="shared" si="68"/>
        <v>0.6</v>
      </c>
      <c r="N585" s="98">
        <v>0.26</v>
      </c>
      <c r="O585" s="98">
        <f t="shared" si="69"/>
        <v>0.61</v>
      </c>
      <c r="P585" s="98">
        <v>0.34620000000000001</v>
      </c>
      <c r="Q585" s="98">
        <v>0.69640000000000002</v>
      </c>
      <c r="R585" s="98">
        <v>0.6</v>
      </c>
      <c r="S585" s="98">
        <v>0.61</v>
      </c>
    </row>
    <row r="586" spans="1:19" s="60" customFormat="1">
      <c r="A586" s="59">
        <f t="shared" si="72"/>
        <v>55273</v>
      </c>
      <c r="B586" s="59">
        <f t="shared" si="71"/>
        <v>55638</v>
      </c>
      <c r="C586" s="102">
        <f t="shared" si="73"/>
        <v>0.26800000000000002</v>
      </c>
      <c r="D586" s="102">
        <f t="shared" si="73"/>
        <v>0.28599999999999998</v>
      </c>
      <c r="E586" s="102">
        <f t="shared" si="73"/>
        <v>6.6000000000000003E-2</v>
      </c>
      <c r="F586" s="102">
        <f t="shared" si="73"/>
        <v>2.5999999999999999E-2</v>
      </c>
      <c r="G586" s="104">
        <v>0.26800000000000002</v>
      </c>
      <c r="H586" s="104">
        <v>0.28599999999999998</v>
      </c>
      <c r="I586" s="103">
        <v>6.6000000000000003E-2</v>
      </c>
      <c r="J586" s="104">
        <v>2.5999999999999999E-2</v>
      </c>
      <c r="K586" s="54">
        <f>((4/3)*L578)+((8/3)*L590)</f>
        <v>88166</v>
      </c>
      <c r="L586" s="113"/>
      <c r="M586" s="98">
        <f t="shared" si="68"/>
        <v>0.6</v>
      </c>
      <c r="N586" s="98">
        <v>0.26</v>
      </c>
      <c r="O586" s="98">
        <f t="shared" si="69"/>
        <v>0.61</v>
      </c>
      <c r="P586" s="98">
        <v>0.34620000000000001</v>
      </c>
      <c r="Q586" s="98">
        <v>0.69640000000000002</v>
      </c>
      <c r="R586" s="98">
        <v>0.6</v>
      </c>
      <c r="S586" s="98">
        <v>0.61</v>
      </c>
    </row>
    <row r="587" spans="1:19" s="60" customFormat="1">
      <c r="A587" s="59">
        <f t="shared" si="72"/>
        <v>55304</v>
      </c>
      <c r="B587" s="59">
        <f t="shared" si="71"/>
        <v>55669</v>
      </c>
      <c r="C587" s="102">
        <f t="shared" si="73"/>
        <v>0.26800000000000002</v>
      </c>
      <c r="D587" s="102">
        <f t="shared" si="73"/>
        <v>0.28599999999999998</v>
      </c>
      <c r="E587" s="102">
        <f t="shared" si="73"/>
        <v>6.6000000000000003E-2</v>
      </c>
      <c r="F587" s="102">
        <f t="shared" si="73"/>
        <v>2.5999999999999999E-2</v>
      </c>
      <c r="G587" s="104">
        <v>0.26800000000000002</v>
      </c>
      <c r="H587" s="104">
        <v>0.28599999999999998</v>
      </c>
      <c r="I587" s="103">
        <v>6.6000000000000003E-2</v>
      </c>
      <c r="J587" s="104">
        <v>2.5999999999999999E-2</v>
      </c>
      <c r="K587" s="54">
        <f>((3/3)*L578)+((9/3)*L590)</f>
        <v>88522</v>
      </c>
      <c r="L587" s="113"/>
      <c r="M587" s="98">
        <f t="shared" si="68"/>
        <v>0.6</v>
      </c>
      <c r="N587" s="98">
        <v>0.26</v>
      </c>
      <c r="O587" s="98">
        <f t="shared" si="69"/>
        <v>0.61</v>
      </c>
      <c r="P587" s="98">
        <v>0.34620000000000001</v>
      </c>
      <c r="Q587" s="98">
        <v>0.69640000000000002</v>
      </c>
      <c r="R587" s="98">
        <v>0.6</v>
      </c>
      <c r="S587" s="98">
        <v>0.61</v>
      </c>
    </row>
    <row r="588" spans="1:19" s="60" customFormat="1">
      <c r="A588" s="59">
        <f t="shared" si="72"/>
        <v>55334</v>
      </c>
      <c r="B588" s="59">
        <f t="shared" si="71"/>
        <v>55699</v>
      </c>
      <c r="C588" s="102">
        <f t="shared" si="73"/>
        <v>0.26800000000000002</v>
      </c>
      <c r="D588" s="102">
        <f t="shared" si="73"/>
        <v>0.28599999999999998</v>
      </c>
      <c r="E588" s="102">
        <f t="shared" si="73"/>
        <v>6.6000000000000003E-2</v>
      </c>
      <c r="F588" s="102">
        <f t="shared" si="73"/>
        <v>2.5999999999999999E-2</v>
      </c>
      <c r="G588" s="104">
        <v>0.26800000000000002</v>
      </c>
      <c r="H588" s="104">
        <v>0.28599999999999998</v>
      </c>
      <c r="I588" s="103">
        <v>6.6000000000000003E-2</v>
      </c>
      <c r="J588" s="104">
        <v>2.5999999999999999E-2</v>
      </c>
      <c r="K588" s="54">
        <f>((2/3)*L578)+((10/3)*L590)</f>
        <v>88877</v>
      </c>
      <c r="L588" s="113"/>
      <c r="M588" s="98">
        <f t="shared" si="68"/>
        <v>0.6</v>
      </c>
      <c r="N588" s="98">
        <v>0.26</v>
      </c>
      <c r="O588" s="98">
        <f t="shared" si="69"/>
        <v>0.61</v>
      </c>
      <c r="P588" s="98">
        <v>0.34620000000000001</v>
      </c>
      <c r="Q588" s="98">
        <v>0.69640000000000002</v>
      </c>
      <c r="R588" s="98">
        <v>0.6</v>
      </c>
      <c r="S588" s="98">
        <v>0.61</v>
      </c>
    </row>
    <row r="589" spans="1:19" s="60" customFormat="1">
      <c r="A589" s="59">
        <f t="shared" si="72"/>
        <v>55365</v>
      </c>
      <c r="B589" s="59">
        <f t="shared" si="71"/>
        <v>55730</v>
      </c>
      <c r="C589" s="99">
        <f t="shared" si="73"/>
        <v>0.26800000000000002</v>
      </c>
      <c r="D589" s="99">
        <f t="shared" si="73"/>
        <v>0.28599999999999998</v>
      </c>
      <c r="E589" s="99">
        <f t="shared" si="73"/>
        <v>6.6000000000000003E-2</v>
      </c>
      <c r="F589" s="99">
        <f t="shared" si="73"/>
        <v>2.5999999999999999E-2</v>
      </c>
      <c r="G589" s="104">
        <v>0.26800000000000002</v>
      </c>
      <c r="H589" s="104">
        <v>0.28599999999999998</v>
      </c>
      <c r="I589" s="103">
        <v>6.6000000000000003E-2</v>
      </c>
      <c r="J589" s="104">
        <v>2.5999999999999999E-2</v>
      </c>
      <c r="K589" s="54">
        <f>((1/3)*L578)+((11/3)*L590)</f>
        <v>89233</v>
      </c>
      <c r="L589" s="113"/>
      <c r="M589" s="98">
        <f t="shared" si="68"/>
        <v>0.6</v>
      </c>
      <c r="N589" s="98">
        <v>0.26</v>
      </c>
      <c r="O589" s="98">
        <f t="shared" si="69"/>
        <v>0.61</v>
      </c>
      <c r="P589" s="98">
        <v>0.34620000000000001</v>
      </c>
      <c r="Q589" s="98">
        <v>0.69640000000000002</v>
      </c>
      <c r="R589" s="98">
        <v>0.6</v>
      </c>
      <c r="S589" s="98">
        <v>0.61</v>
      </c>
    </row>
    <row r="590" spans="1:19" s="96" customFormat="1">
      <c r="A590" s="95">
        <f t="shared" si="72"/>
        <v>55396</v>
      </c>
      <c r="B590" s="95">
        <f t="shared" si="71"/>
        <v>55761</v>
      </c>
      <c r="C590" s="105">
        <f t="shared" si="73"/>
        <v>0.26800000000000002</v>
      </c>
      <c r="D590" s="105">
        <f t="shared" si="73"/>
        <v>0.28599999999999998</v>
      </c>
      <c r="E590" s="105">
        <f t="shared" si="73"/>
        <v>6.6000000000000003E-2</v>
      </c>
      <c r="F590" s="105">
        <f t="shared" si="73"/>
        <v>2.5999999999999999E-2</v>
      </c>
      <c r="G590" s="107">
        <v>0.26800000000000002</v>
      </c>
      <c r="H590" s="107">
        <v>0.28599999999999998</v>
      </c>
      <c r="I590" s="106">
        <v>6.6000000000000003E-2</v>
      </c>
      <c r="J590" s="107">
        <v>2.5999999999999999E-2</v>
      </c>
      <c r="K590" s="94">
        <f>(L590*4)</f>
        <v>89588</v>
      </c>
      <c r="L590" s="114">
        <f>L578*1.05</f>
        <v>22397.03</v>
      </c>
      <c r="M590" s="421">
        <f t="shared" si="68"/>
        <v>0.6</v>
      </c>
      <c r="N590" s="421">
        <v>0.26</v>
      </c>
      <c r="O590" s="421">
        <f t="shared" si="69"/>
        <v>0.61</v>
      </c>
      <c r="P590" s="421">
        <v>0.34620000000000001</v>
      </c>
      <c r="Q590" s="421">
        <v>0.69640000000000002</v>
      </c>
      <c r="R590" s="421">
        <v>0.6</v>
      </c>
      <c r="S590" s="421">
        <v>0.61</v>
      </c>
    </row>
    <row r="591" spans="1:19" s="96" customFormat="1">
      <c r="A591" s="95">
        <f t="shared" si="72"/>
        <v>55426</v>
      </c>
      <c r="B591" s="95">
        <f t="shared" si="71"/>
        <v>55791</v>
      </c>
      <c r="C591" s="105">
        <f t="shared" si="73"/>
        <v>0.26800000000000002</v>
      </c>
      <c r="D591" s="105">
        <f t="shared" si="73"/>
        <v>0.28599999999999998</v>
      </c>
      <c r="E591" s="105">
        <f t="shared" si="73"/>
        <v>6.6000000000000003E-2</v>
      </c>
      <c r="F591" s="105">
        <f t="shared" si="73"/>
        <v>2.5999999999999999E-2</v>
      </c>
      <c r="G591" s="107">
        <v>0.26800000000000002</v>
      </c>
      <c r="H591" s="107">
        <v>0.28599999999999998</v>
      </c>
      <c r="I591" s="106">
        <v>6.6000000000000003E-2</v>
      </c>
      <c r="J591" s="107">
        <v>2.5999999999999999E-2</v>
      </c>
      <c r="K591" s="94">
        <f>((11/3)*L590)+((1/3)*L602)</f>
        <v>89961</v>
      </c>
      <c r="L591" s="114"/>
      <c r="M591" s="421">
        <f t="shared" si="68"/>
        <v>0.6</v>
      </c>
      <c r="N591" s="421">
        <v>0.26</v>
      </c>
      <c r="O591" s="421">
        <f t="shared" si="69"/>
        <v>0.61</v>
      </c>
      <c r="P591" s="421">
        <v>0.34620000000000001</v>
      </c>
      <c r="Q591" s="421">
        <v>0.69640000000000002</v>
      </c>
      <c r="R591" s="421">
        <v>0.6</v>
      </c>
      <c r="S591" s="421">
        <v>0.61</v>
      </c>
    </row>
    <row r="592" spans="1:19" s="96" customFormat="1">
      <c r="A592" s="95">
        <f t="shared" si="72"/>
        <v>55457</v>
      </c>
      <c r="B592" s="95">
        <f t="shared" si="71"/>
        <v>55822</v>
      </c>
      <c r="C592" s="105">
        <f t="shared" si="73"/>
        <v>0.26800000000000002</v>
      </c>
      <c r="D592" s="105">
        <f t="shared" si="73"/>
        <v>0.28599999999999998</v>
      </c>
      <c r="E592" s="105">
        <f t="shared" si="73"/>
        <v>6.6000000000000003E-2</v>
      </c>
      <c r="F592" s="105">
        <f t="shared" si="73"/>
        <v>2.5999999999999999E-2</v>
      </c>
      <c r="G592" s="107">
        <v>0.26800000000000002</v>
      </c>
      <c r="H592" s="107">
        <v>0.28599999999999998</v>
      </c>
      <c r="I592" s="106">
        <v>6.6000000000000003E-2</v>
      </c>
      <c r="J592" s="107">
        <v>2.5999999999999999E-2</v>
      </c>
      <c r="K592" s="94">
        <f>((10/3)*L590)+((2/3)*L602)</f>
        <v>90335</v>
      </c>
      <c r="L592" s="114"/>
      <c r="M592" s="421">
        <f t="shared" si="68"/>
        <v>0.6</v>
      </c>
      <c r="N592" s="421">
        <v>0.26</v>
      </c>
      <c r="O592" s="421">
        <f t="shared" si="69"/>
        <v>0.61</v>
      </c>
      <c r="P592" s="421">
        <v>0.34620000000000001</v>
      </c>
      <c r="Q592" s="421">
        <v>0.69640000000000002</v>
      </c>
      <c r="R592" s="421">
        <v>0.6</v>
      </c>
      <c r="S592" s="421">
        <v>0.61</v>
      </c>
    </row>
    <row r="593" spans="1:19" s="96" customFormat="1">
      <c r="A593" s="95">
        <f t="shared" si="72"/>
        <v>55487</v>
      </c>
      <c r="B593" s="95">
        <f t="shared" si="71"/>
        <v>55852</v>
      </c>
      <c r="C593" s="105">
        <f t="shared" si="73"/>
        <v>0.26800000000000002</v>
      </c>
      <c r="D593" s="105">
        <f t="shared" si="73"/>
        <v>0.28599999999999998</v>
      </c>
      <c r="E593" s="105">
        <f t="shared" si="73"/>
        <v>6.6000000000000003E-2</v>
      </c>
      <c r="F593" s="105">
        <f t="shared" si="73"/>
        <v>2.5999999999999999E-2</v>
      </c>
      <c r="G593" s="107">
        <v>0.26800000000000002</v>
      </c>
      <c r="H593" s="107">
        <v>0.28599999999999998</v>
      </c>
      <c r="I593" s="106">
        <v>6.6000000000000003E-2</v>
      </c>
      <c r="J593" s="107">
        <v>2.5999999999999999E-2</v>
      </c>
      <c r="K593" s="94">
        <f>((9/3)*L590)+((3/3)*L602)</f>
        <v>90708</v>
      </c>
      <c r="L593" s="114"/>
      <c r="M593" s="421">
        <f t="shared" si="68"/>
        <v>0.6</v>
      </c>
      <c r="N593" s="421">
        <v>0.26</v>
      </c>
      <c r="O593" s="421">
        <f t="shared" si="69"/>
        <v>0.61</v>
      </c>
      <c r="P593" s="421">
        <v>0.34620000000000001</v>
      </c>
      <c r="Q593" s="421">
        <v>0.69640000000000002</v>
      </c>
      <c r="R593" s="421">
        <v>0.6</v>
      </c>
      <c r="S593" s="421">
        <v>0.61</v>
      </c>
    </row>
    <row r="594" spans="1:19" s="96" customFormat="1">
      <c r="A594" s="95">
        <f t="shared" si="72"/>
        <v>55518</v>
      </c>
      <c r="B594" s="95">
        <f t="shared" si="71"/>
        <v>55883</v>
      </c>
      <c r="C594" s="105">
        <f t="shared" si="73"/>
        <v>0.26800000000000002</v>
      </c>
      <c r="D594" s="105">
        <f t="shared" si="73"/>
        <v>0.28599999999999998</v>
      </c>
      <c r="E594" s="105">
        <f t="shared" si="73"/>
        <v>6.6000000000000003E-2</v>
      </c>
      <c r="F594" s="105">
        <f t="shared" si="73"/>
        <v>2.5999999999999999E-2</v>
      </c>
      <c r="G594" s="107">
        <v>0.26800000000000002</v>
      </c>
      <c r="H594" s="107">
        <v>0.28599999999999998</v>
      </c>
      <c r="I594" s="106">
        <v>6.6000000000000003E-2</v>
      </c>
      <c r="J594" s="107">
        <v>2.5999999999999999E-2</v>
      </c>
      <c r="K594" s="94">
        <f>((8/3)*L590)+((4/3)*L602)</f>
        <v>91081</v>
      </c>
      <c r="L594" s="114"/>
      <c r="M594" s="421">
        <f t="shared" si="68"/>
        <v>0.6</v>
      </c>
      <c r="N594" s="421">
        <v>0.26</v>
      </c>
      <c r="O594" s="421">
        <f t="shared" si="69"/>
        <v>0.61</v>
      </c>
      <c r="P594" s="421">
        <v>0.34620000000000001</v>
      </c>
      <c r="Q594" s="421">
        <v>0.69640000000000002</v>
      </c>
      <c r="R594" s="421">
        <v>0.6</v>
      </c>
      <c r="S594" s="421">
        <v>0.61</v>
      </c>
    </row>
    <row r="595" spans="1:19" s="96" customFormat="1">
      <c r="A595" s="95">
        <f t="shared" si="72"/>
        <v>55549</v>
      </c>
      <c r="B595" s="95">
        <f t="shared" si="71"/>
        <v>55914</v>
      </c>
      <c r="C595" s="105">
        <f t="shared" ref="C595:F610" si="74">AVERAGE(G595:G606)</f>
        <v>0.26800000000000002</v>
      </c>
      <c r="D595" s="105">
        <f t="shared" si="74"/>
        <v>0.28599999999999998</v>
      </c>
      <c r="E595" s="105">
        <f t="shared" si="74"/>
        <v>6.6000000000000003E-2</v>
      </c>
      <c r="F595" s="105">
        <f t="shared" si="74"/>
        <v>2.5999999999999999E-2</v>
      </c>
      <c r="G595" s="107">
        <v>0.26800000000000002</v>
      </c>
      <c r="H595" s="107">
        <v>0.28599999999999998</v>
      </c>
      <c r="I595" s="106">
        <v>6.6000000000000003E-2</v>
      </c>
      <c r="J595" s="107">
        <v>2.5999999999999999E-2</v>
      </c>
      <c r="K595" s="94">
        <f>((7/3)*L590)+((5/3)*L602)</f>
        <v>91455</v>
      </c>
      <c r="L595" s="114"/>
      <c r="M595" s="421">
        <f t="shared" si="68"/>
        <v>0.6</v>
      </c>
      <c r="N595" s="421">
        <v>0.26</v>
      </c>
      <c r="O595" s="421">
        <f t="shared" si="69"/>
        <v>0.61</v>
      </c>
      <c r="P595" s="421">
        <v>0.34620000000000001</v>
      </c>
      <c r="Q595" s="421">
        <v>0.69640000000000002</v>
      </c>
      <c r="R595" s="421">
        <v>0.6</v>
      </c>
      <c r="S595" s="421">
        <v>0.61</v>
      </c>
    </row>
    <row r="596" spans="1:19" s="96" customFormat="1">
      <c r="A596" s="95">
        <f t="shared" si="72"/>
        <v>55578</v>
      </c>
      <c r="B596" s="95">
        <f t="shared" si="71"/>
        <v>55942</v>
      </c>
      <c r="C596" s="105">
        <f t="shared" si="74"/>
        <v>0.26800000000000002</v>
      </c>
      <c r="D596" s="105">
        <f t="shared" si="74"/>
        <v>0.28599999999999998</v>
      </c>
      <c r="E596" s="105">
        <f t="shared" si="74"/>
        <v>6.6000000000000003E-2</v>
      </c>
      <c r="F596" s="105">
        <f t="shared" si="74"/>
        <v>2.5999999999999999E-2</v>
      </c>
      <c r="G596" s="107">
        <v>0.26800000000000002</v>
      </c>
      <c r="H596" s="107">
        <v>0.28599999999999998</v>
      </c>
      <c r="I596" s="106">
        <v>6.6000000000000003E-2</v>
      </c>
      <c r="J596" s="107">
        <v>2.5999999999999999E-2</v>
      </c>
      <c r="K596" s="94">
        <f>((6/3)*L590)+((6/3)*L602)</f>
        <v>91828</v>
      </c>
      <c r="L596" s="114"/>
      <c r="M596" s="421">
        <f t="shared" si="68"/>
        <v>0.6</v>
      </c>
      <c r="N596" s="421">
        <v>0.26</v>
      </c>
      <c r="O596" s="421">
        <f t="shared" si="69"/>
        <v>0.61</v>
      </c>
      <c r="P596" s="421">
        <v>0.34620000000000001</v>
      </c>
      <c r="Q596" s="421">
        <v>0.69640000000000002</v>
      </c>
      <c r="R596" s="421">
        <v>0.6</v>
      </c>
      <c r="S596" s="421">
        <v>0.61</v>
      </c>
    </row>
    <row r="597" spans="1:19" s="96" customFormat="1">
      <c r="A597" s="95">
        <f t="shared" si="72"/>
        <v>55609</v>
      </c>
      <c r="B597" s="95">
        <f t="shared" si="71"/>
        <v>55973</v>
      </c>
      <c r="C597" s="105">
        <f t="shared" si="74"/>
        <v>0.26800000000000002</v>
      </c>
      <c r="D597" s="105">
        <f t="shared" si="74"/>
        <v>0.28599999999999998</v>
      </c>
      <c r="E597" s="105">
        <f t="shared" si="74"/>
        <v>6.6000000000000003E-2</v>
      </c>
      <c r="F597" s="105">
        <f t="shared" si="74"/>
        <v>2.5999999999999999E-2</v>
      </c>
      <c r="G597" s="107">
        <v>0.26800000000000002</v>
      </c>
      <c r="H597" s="107">
        <v>0.28599999999999998</v>
      </c>
      <c r="I597" s="106">
        <v>6.6000000000000003E-2</v>
      </c>
      <c r="J597" s="107">
        <v>2.5999999999999999E-2</v>
      </c>
      <c r="K597" s="94">
        <f>((5/3)*L590)+((7/3)*L602)</f>
        <v>92201</v>
      </c>
      <c r="L597" s="114"/>
      <c r="M597" s="421">
        <f t="shared" si="68"/>
        <v>0.6</v>
      </c>
      <c r="N597" s="421">
        <v>0.26</v>
      </c>
      <c r="O597" s="421">
        <f t="shared" si="69"/>
        <v>0.61</v>
      </c>
      <c r="P597" s="421">
        <v>0.34620000000000001</v>
      </c>
      <c r="Q597" s="421">
        <v>0.69640000000000002</v>
      </c>
      <c r="R597" s="421">
        <v>0.6</v>
      </c>
      <c r="S597" s="421">
        <v>0.61</v>
      </c>
    </row>
    <row r="598" spans="1:19" s="96" customFormat="1">
      <c r="A598" s="95">
        <f t="shared" si="72"/>
        <v>55639</v>
      </c>
      <c r="B598" s="95">
        <f t="shared" si="71"/>
        <v>56003</v>
      </c>
      <c r="C598" s="105">
        <f t="shared" si="74"/>
        <v>0.26800000000000002</v>
      </c>
      <c r="D598" s="105">
        <f t="shared" si="74"/>
        <v>0.28599999999999998</v>
      </c>
      <c r="E598" s="105">
        <f t="shared" si="74"/>
        <v>6.6000000000000003E-2</v>
      </c>
      <c r="F598" s="105">
        <f t="shared" si="74"/>
        <v>2.5999999999999999E-2</v>
      </c>
      <c r="G598" s="107">
        <v>0.26800000000000002</v>
      </c>
      <c r="H598" s="107">
        <v>0.28599999999999998</v>
      </c>
      <c r="I598" s="106">
        <v>6.6000000000000003E-2</v>
      </c>
      <c r="J598" s="107">
        <v>2.5999999999999999E-2</v>
      </c>
      <c r="K598" s="94">
        <f>((4/3)*L590)+((8/3)*L602)</f>
        <v>92574</v>
      </c>
      <c r="L598" s="114"/>
      <c r="M598" s="421">
        <f t="shared" si="68"/>
        <v>0.6</v>
      </c>
      <c r="N598" s="421">
        <v>0.26</v>
      </c>
      <c r="O598" s="421">
        <f t="shared" si="69"/>
        <v>0.61</v>
      </c>
      <c r="P598" s="421">
        <v>0.34620000000000001</v>
      </c>
      <c r="Q598" s="421">
        <v>0.69640000000000002</v>
      </c>
      <c r="R598" s="421">
        <v>0.6</v>
      </c>
      <c r="S598" s="421">
        <v>0.61</v>
      </c>
    </row>
    <row r="599" spans="1:19" s="96" customFormat="1">
      <c r="A599" s="95">
        <f t="shared" si="72"/>
        <v>55670</v>
      </c>
      <c r="B599" s="95">
        <f t="shared" si="71"/>
        <v>56034</v>
      </c>
      <c r="C599" s="105">
        <f t="shared" si="74"/>
        <v>0.26800000000000002</v>
      </c>
      <c r="D599" s="105">
        <f t="shared" si="74"/>
        <v>0.28599999999999998</v>
      </c>
      <c r="E599" s="105">
        <f t="shared" si="74"/>
        <v>6.6000000000000003E-2</v>
      </c>
      <c r="F599" s="105">
        <f t="shared" si="74"/>
        <v>2.5999999999999999E-2</v>
      </c>
      <c r="G599" s="107">
        <v>0.26800000000000002</v>
      </c>
      <c r="H599" s="107">
        <v>0.28599999999999998</v>
      </c>
      <c r="I599" s="106">
        <v>6.6000000000000003E-2</v>
      </c>
      <c r="J599" s="107">
        <v>2.5999999999999999E-2</v>
      </c>
      <c r="K599" s="94">
        <f>((3/3)*L590)+((9/3)*L602)</f>
        <v>92948</v>
      </c>
      <c r="L599" s="114"/>
      <c r="M599" s="421">
        <f t="shared" si="68"/>
        <v>0.6</v>
      </c>
      <c r="N599" s="421">
        <v>0.26</v>
      </c>
      <c r="O599" s="421">
        <f t="shared" si="69"/>
        <v>0.61</v>
      </c>
      <c r="P599" s="421">
        <v>0.34620000000000001</v>
      </c>
      <c r="Q599" s="421">
        <v>0.69640000000000002</v>
      </c>
      <c r="R599" s="421">
        <v>0.6</v>
      </c>
      <c r="S599" s="421">
        <v>0.61</v>
      </c>
    </row>
    <row r="600" spans="1:19" s="96" customFormat="1">
      <c r="A600" s="95">
        <f t="shared" si="72"/>
        <v>55700</v>
      </c>
      <c r="B600" s="95">
        <f t="shared" si="71"/>
        <v>56064</v>
      </c>
      <c r="C600" s="105">
        <f t="shared" si="74"/>
        <v>0.26800000000000002</v>
      </c>
      <c r="D600" s="105">
        <f t="shared" si="74"/>
        <v>0.28599999999999998</v>
      </c>
      <c r="E600" s="105">
        <f t="shared" si="74"/>
        <v>6.6000000000000003E-2</v>
      </c>
      <c r="F600" s="105">
        <f t="shared" si="74"/>
        <v>2.5999999999999999E-2</v>
      </c>
      <c r="G600" s="107">
        <v>0.26800000000000002</v>
      </c>
      <c r="H600" s="107">
        <v>0.28599999999999998</v>
      </c>
      <c r="I600" s="106">
        <v>6.6000000000000003E-2</v>
      </c>
      <c r="J600" s="107">
        <v>2.5999999999999999E-2</v>
      </c>
      <c r="K600" s="94">
        <f>((2/3)*L590)+((10/3)*L602)</f>
        <v>93321</v>
      </c>
      <c r="L600" s="114"/>
      <c r="M600" s="421">
        <f t="shared" si="68"/>
        <v>0.6</v>
      </c>
      <c r="N600" s="421">
        <v>0.26</v>
      </c>
      <c r="O600" s="421">
        <f t="shared" si="69"/>
        <v>0.61</v>
      </c>
      <c r="P600" s="421">
        <v>0.34620000000000001</v>
      </c>
      <c r="Q600" s="421">
        <v>0.69640000000000002</v>
      </c>
      <c r="R600" s="421">
        <v>0.6</v>
      </c>
      <c r="S600" s="421">
        <v>0.61</v>
      </c>
    </row>
    <row r="601" spans="1:19" s="96" customFormat="1">
      <c r="A601" s="95">
        <f t="shared" si="72"/>
        <v>55731</v>
      </c>
      <c r="B601" s="95">
        <f t="shared" si="71"/>
        <v>56095</v>
      </c>
      <c r="C601" s="105">
        <f t="shared" si="74"/>
        <v>0.26800000000000002</v>
      </c>
      <c r="D601" s="105">
        <f t="shared" si="74"/>
        <v>0.28599999999999998</v>
      </c>
      <c r="E601" s="105">
        <f t="shared" si="74"/>
        <v>6.6000000000000003E-2</v>
      </c>
      <c r="F601" s="105">
        <f t="shared" si="74"/>
        <v>2.5999999999999999E-2</v>
      </c>
      <c r="G601" s="107">
        <v>0.26800000000000002</v>
      </c>
      <c r="H601" s="107">
        <v>0.28599999999999998</v>
      </c>
      <c r="I601" s="106">
        <v>6.6000000000000003E-2</v>
      </c>
      <c r="J601" s="107">
        <v>2.5999999999999999E-2</v>
      </c>
      <c r="K601" s="94">
        <f>((1/3)*L590)+((11/3)*L602)</f>
        <v>93694</v>
      </c>
      <c r="L601" s="114"/>
      <c r="M601" s="421">
        <f t="shared" si="68"/>
        <v>0.6</v>
      </c>
      <c r="N601" s="421">
        <v>0.26</v>
      </c>
      <c r="O601" s="421">
        <f t="shared" si="69"/>
        <v>0.61</v>
      </c>
      <c r="P601" s="421">
        <v>0.34620000000000001</v>
      </c>
      <c r="Q601" s="421">
        <v>0.69640000000000002</v>
      </c>
      <c r="R601" s="421">
        <v>0.6</v>
      </c>
      <c r="S601" s="421">
        <v>0.61</v>
      </c>
    </row>
    <row r="602" spans="1:19" s="60" customFormat="1">
      <c r="A602" s="59">
        <f t="shared" si="72"/>
        <v>55762</v>
      </c>
      <c r="B602" s="59">
        <f t="shared" si="71"/>
        <v>56126</v>
      </c>
      <c r="C602" s="102">
        <f t="shared" si="74"/>
        <v>0.26800000000000002</v>
      </c>
      <c r="D602" s="102">
        <f t="shared" si="74"/>
        <v>0.28599999999999998</v>
      </c>
      <c r="E602" s="102">
        <f t="shared" si="74"/>
        <v>6.6000000000000003E-2</v>
      </c>
      <c r="F602" s="102">
        <f t="shared" si="74"/>
        <v>2.5999999999999999E-2</v>
      </c>
      <c r="G602" s="104">
        <v>0.26800000000000002</v>
      </c>
      <c r="H602" s="104">
        <v>0.28599999999999998</v>
      </c>
      <c r="I602" s="103">
        <v>6.6000000000000003E-2</v>
      </c>
      <c r="J602" s="104">
        <v>2.5999999999999999E-2</v>
      </c>
      <c r="K602" s="54">
        <f>(L602*4)</f>
        <v>94068</v>
      </c>
      <c r="L602" s="113">
        <f>L590*1.05</f>
        <v>23516.880000000001</v>
      </c>
      <c r="M602" s="98">
        <f t="shared" si="68"/>
        <v>0.6</v>
      </c>
      <c r="N602" s="98">
        <v>0.26</v>
      </c>
      <c r="O602" s="98">
        <f t="shared" si="69"/>
        <v>0.61</v>
      </c>
      <c r="P602" s="98">
        <v>0.34620000000000001</v>
      </c>
      <c r="Q602" s="98">
        <v>0.69640000000000002</v>
      </c>
      <c r="R602" s="98">
        <v>0.6</v>
      </c>
      <c r="S602" s="98">
        <v>0.61</v>
      </c>
    </row>
    <row r="603" spans="1:19" s="60" customFormat="1">
      <c r="A603" s="59">
        <f t="shared" si="72"/>
        <v>55792</v>
      </c>
      <c r="B603" s="59">
        <f t="shared" si="71"/>
        <v>56156</v>
      </c>
      <c r="C603" s="102">
        <f t="shared" si="74"/>
        <v>0.26800000000000002</v>
      </c>
      <c r="D603" s="102">
        <f t="shared" si="74"/>
        <v>0.28599999999999998</v>
      </c>
      <c r="E603" s="102">
        <f t="shared" si="74"/>
        <v>6.6000000000000003E-2</v>
      </c>
      <c r="F603" s="102">
        <f t="shared" si="74"/>
        <v>2.5999999999999999E-2</v>
      </c>
      <c r="G603" s="104">
        <v>0.26800000000000002</v>
      </c>
      <c r="H603" s="104">
        <v>0.28599999999999998</v>
      </c>
      <c r="I603" s="103">
        <v>6.6000000000000003E-2</v>
      </c>
      <c r="J603" s="104">
        <v>2.5999999999999999E-2</v>
      </c>
      <c r="K603" s="54">
        <f>((11/3)*L602)+((1/3)*L614)</f>
        <v>94459</v>
      </c>
      <c r="L603" s="113"/>
      <c r="M603" s="98">
        <f t="shared" si="68"/>
        <v>0.6</v>
      </c>
      <c r="N603" s="98">
        <v>0.26</v>
      </c>
      <c r="O603" s="98">
        <f t="shared" si="69"/>
        <v>0.61</v>
      </c>
      <c r="P603" s="98">
        <v>0.34620000000000001</v>
      </c>
      <c r="Q603" s="98">
        <v>0.69640000000000002</v>
      </c>
      <c r="R603" s="98">
        <v>0.6</v>
      </c>
      <c r="S603" s="98">
        <v>0.61</v>
      </c>
    </row>
    <row r="604" spans="1:19" s="60" customFormat="1">
      <c r="A604" s="59">
        <f t="shared" si="72"/>
        <v>55823</v>
      </c>
      <c r="B604" s="59">
        <f t="shared" si="71"/>
        <v>56187</v>
      </c>
      <c r="C604" s="102">
        <f t="shared" si="74"/>
        <v>0.26800000000000002</v>
      </c>
      <c r="D604" s="102">
        <f t="shared" si="74"/>
        <v>0.28599999999999998</v>
      </c>
      <c r="E604" s="102">
        <f t="shared" si="74"/>
        <v>6.6000000000000003E-2</v>
      </c>
      <c r="F604" s="102">
        <f t="shared" si="74"/>
        <v>2.5999999999999999E-2</v>
      </c>
      <c r="G604" s="104">
        <v>0.26800000000000002</v>
      </c>
      <c r="H604" s="104">
        <v>0.28599999999999998</v>
      </c>
      <c r="I604" s="103">
        <v>6.6000000000000003E-2</v>
      </c>
      <c r="J604" s="104">
        <v>2.5999999999999999E-2</v>
      </c>
      <c r="K604" s="54">
        <f>((10/3)*L602)+((2/3)*L614)</f>
        <v>94851</v>
      </c>
      <c r="L604" s="113"/>
      <c r="M604" s="98">
        <f t="shared" si="68"/>
        <v>0.6</v>
      </c>
      <c r="N604" s="98">
        <v>0.26</v>
      </c>
      <c r="O604" s="98">
        <f t="shared" si="69"/>
        <v>0.61</v>
      </c>
      <c r="P604" s="98">
        <v>0.34620000000000001</v>
      </c>
      <c r="Q604" s="98">
        <v>0.69640000000000002</v>
      </c>
      <c r="R604" s="98">
        <v>0.6</v>
      </c>
      <c r="S604" s="98">
        <v>0.61</v>
      </c>
    </row>
    <row r="605" spans="1:19" s="60" customFormat="1">
      <c r="A605" s="59">
        <f t="shared" si="72"/>
        <v>55853</v>
      </c>
      <c r="B605" s="59">
        <f t="shared" si="71"/>
        <v>56217</v>
      </c>
      <c r="C605" s="102">
        <f t="shared" si="74"/>
        <v>0.26800000000000002</v>
      </c>
      <c r="D605" s="102">
        <f t="shared" si="74"/>
        <v>0.28599999999999998</v>
      </c>
      <c r="E605" s="102">
        <f t="shared" si="74"/>
        <v>6.6000000000000003E-2</v>
      </c>
      <c r="F605" s="102">
        <f t="shared" si="74"/>
        <v>2.5999999999999999E-2</v>
      </c>
      <c r="G605" s="104">
        <v>0.26800000000000002</v>
      </c>
      <c r="H605" s="104">
        <v>0.28599999999999998</v>
      </c>
      <c r="I605" s="103">
        <v>6.6000000000000003E-2</v>
      </c>
      <c r="J605" s="104">
        <v>2.5999999999999999E-2</v>
      </c>
      <c r="K605" s="54">
        <f>((9/3)*L602)+((3/3)*L614)</f>
        <v>95243</v>
      </c>
      <c r="L605" s="113"/>
      <c r="M605" s="98">
        <f t="shared" si="68"/>
        <v>0.6</v>
      </c>
      <c r="N605" s="98">
        <v>0.26</v>
      </c>
      <c r="O605" s="98">
        <f t="shared" si="69"/>
        <v>0.61</v>
      </c>
      <c r="P605" s="98">
        <v>0.34620000000000001</v>
      </c>
      <c r="Q605" s="98">
        <v>0.69640000000000002</v>
      </c>
      <c r="R605" s="98">
        <v>0.6</v>
      </c>
      <c r="S605" s="98">
        <v>0.61</v>
      </c>
    </row>
    <row r="606" spans="1:19" s="60" customFormat="1">
      <c r="A606" s="59">
        <f t="shared" si="72"/>
        <v>55884</v>
      </c>
      <c r="B606" s="59">
        <f t="shared" si="71"/>
        <v>56248</v>
      </c>
      <c r="C606" s="102">
        <f t="shared" si="74"/>
        <v>0.26800000000000002</v>
      </c>
      <c r="D606" s="102">
        <f t="shared" si="74"/>
        <v>0.28599999999999998</v>
      </c>
      <c r="E606" s="102">
        <f t="shared" si="74"/>
        <v>6.6000000000000003E-2</v>
      </c>
      <c r="F606" s="102">
        <f t="shared" si="74"/>
        <v>2.5999999999999999E-2</v>
      </c>
      <c r="G606" s="104">
        <v>0.26800000000000002</v>
      </c>
      <c r="H606" s="104">
        <v>0.28599999999999998</v>
      </c>
      <c r="I606" s="103">
        <v>6.6000000000000003E-2</v>
      </c>
      <c r="J606" s="104">
        <v>2.5999999999999999E-2</v>
      </c>
      <c r="K606" s="54">
        <f>((8/3)*L602)+((4/3)*L614)</f>
        <v>95635</v>
      </c>
      <c r="L606" s="113"/>
      <c r="M606" s="98">
        <f t="shared" si="68"/>
        <v>0.6</v>
      </c>
      <c r="N606" s="98">
        <v>0.26</v>
      </c>
      <c r="O606" s="98">
        <f t="shared" si="69"/>
        <v>0.61</v>
      </c>
      <c r="P606" s="98">
        <v>0.34620000000000001</v>
      </c>
      <c r="Q606" s="98">
        <v>0.69640000000000002</v>
      </c>
      <c r="R606" s="98">
        <v>0.6</v>
      </c>
      <c r="S606" s="98">
        <v>0.61</v>
      </c>
    </row>
    <row r="607" spans="1:19" s="60" customFormat="1">
      <c r="A607" s="59">
        <f t="shared" si="72"/>
        <v>55915</v>
      </c>
      <c r="B607" s="59">
        <f t="shared" si="71"/>
        <v>56279</v>
      </c>
      <c r="C607" s="102">
        <f t="shared" si="74"/>
        <v>0.26800000000000002</v>
      </c>
      <c r="D607" s="102">
        <f t="shared" si="74"/>
        <v>0.28599999999999998</v>
      </c>
      <c r="E607" s="102">
        <f t="shared" si="74"/>
        <v>6.6000000000000003E-2</v>
      </c>
      <c r="F607" s="102">
        <f t="shared" si="74"/>
        <v>2.5999999999999999E-2</v>
      </c>
      <c r="G607" s="104">
        <v>0.26800000000000002</v>
      </c>
      <c r="H607" s="104">
        <v>0.28599999999999998</v>
      </c>
      <c r="I607" s="103">
        <v>6.6000000000000003E-2</v>
      </c>
      <c r="J607" s="104">
        <v>2.5999999999999999E-2</v>
      </c>
      <c r="K607" s="54">
        <f>((7/3)*L602)+((5/3)*L614)</f>
        <v>96027</v>
      </c>
      <c r="L607" s="113"/>
      <c r="M607" s="98">
        <f t="shared" si="68"/>
        <v>0.6</v>
      </c>
      <c r="N607" s="98">
        <v>0.26</v>
      </c>
      <c r="O607" s="98">
        <f t="shared" si="69"/>
        <v>0.61</v>
      </c>
      <c r="P607" s="98">
        <v>0.34620000000000001</v>
      </c>
      <c r="Q607" s="98">
        <v>0.69640000000000002</v>
      </c>
      <c r="R607" s="98">
        <v>0.6</v>
      </c>
      <c r="S607" s="98">
        <v>0.61</v>
      </c>
    </row>
    <row r="608" spans="1:19" s="60" customFormat="1">
      <c r="A608" s="59">
        <f t="shared" si="72"/>
        <v>55943</v>
      </c>
      <c r="B608" s="59">
        <f t="shared" si="71"/>
        <v>56307</v>
      </c>
      <c r="C608" s="102">
        <f t="shared" si="74"/>
        <v>0.26800000000000002</v>
      </c>
      <c r="D608" s="102">
        <f t="shared" si="74"/>
        <v>0.28599999999999998</v>
      </c>
      <c r="E608" s="102">
        <f t="shared" si="74"/>
        <v>6.6000000000000003E-2</v>
      </c>
      <c r="F608" s="102">
        <f t="shared" si="74"/>
        <v>2.5999999999999999E-2</v>
      </c>
      <c r="G608" s="104">
        <v>0.26800000000000002</v>
      </c>
      <c r="H608" s="104">
        <v>0.28599999999999998</v>
      </c>
      <c r="I608" s="103">
        <v>6.6000000000000003E-2</v>
      </c>
      <c r="J608" s="104">
        <v>2.5999999999999999E-2</v>
      </c>
      <c r="K608" s="54">
        <f>((6/3)*L602)+((6/3)*L614)</f>
        <v>96419</v>
      </c>
      <c r="L608" s="113"/>
      <c r="M608" s="98">
        <f t="shared" si="68"/>
        <v>0.6</v>
      </c>
      <c r="N608" s="98">
        <v>0.26</v>
      </c>
      <c r="O608" s="98">
        <f t="shared" si="69"/>
        <v>0.61</v>
      </c>
      <c r="P608" s="98">
        <v>0.34620000000000001</v>
      </c>
      <c r="Q608" s="98">
        <v>0.69640000000000002</v>
      </c>
      <c r="R608" s="98">
        <v>0.6</v>
      </c>
      <c r="S608" s="98">
        <v>0.61</v>
      </c>
    </row>
    <row r="609" spans="1:19" s="60" customFormat="1">
      <c r="A609" s="59">
        <f t="shared" si="72"/>
        <v>55974</v>
      </c>
      <c r="B609" s="59">
        <f t="shared" si="71"/>
        <v>56338</v>
      </c>
      <c r="C609" s="102">
        <f t="shared" si="74"/>
        <v>0.26800000000000002</v>
      </c>
      <c r="D609" s="102">
        <f t="shared" si="74"/>
        <v>0.28599999999999998</v>
      </c>
      <c r="E609" s="102">
        <f t="shared" si="74"/>
        <v>6.6000000000000003E-2</v>
      </c>
      <c r="F609" s="102">
        <f t="shared" si="74"/>
        <v>2.5999999999999999E-2</v>
      </c>
      <c r="G609" s="104">
        <v>0.26800000000000002</v>
      </c>
      <c r="H609" s="104">
        <v>0.28599999999999998</v>
      </c>
      <c r="I609" s="103">
        <v>6.6000000000000003E-2</v>
      </c>
      <c r="J609" s="104">
        <v>2.5999999999999999E-2</v>
      </c>
      <c r="K609" s="54">
        <f>((5/3)*L602)+((7/3)*L614)</f>
        <v>96811</v>
      </c>
      <c r="L609" s="113"/>
      <c r="M609" s="98">
        <f t="shared" si="68"/>
        <v>0.6</v>
      </c>
      <c r="N609" s="98">
        <v>0.26</v>
      </c>
      <c r="O609" s="98">
        <f t="shared" si="69"/>
        <v>0.61</v>
      </c>
      <c r="P609" s="98">
        <v>0.34620000000000001</v>
      </c>
      <c r="Q609" s="98">
        <v>0.69640000000000002</v>
      </c>
      <c r="R609" s="98">
        <v>0.6</v>
      </c>
      <c r="S609" s="98">
        <v>0.61</v>
      </c>
    </row>
    <row r="610" spans="1:19" s="60" customFormat="1">
      <c r="A610" s="59">
        <f t="shared" si="72"/>
        <v>56004</v>
      </c>
      <c r="B610" s="59">
        <f t="shared" si="71"/>
        <v>56368</v>
      </c>
      <c r="C610" s="102">
        <f t="shared" si="74"/>
        <v>0.26800000000000002</v>
      </c>
      <c r="D610" s="102">
        <f t="shared" si="74"/>
        <v>0.28599999999999998</v>
      </c>
      <c r="E610" s="102">
        <f t="shared" si="74"/>
        <v>6.6000000000000003E-2</v>
      </c>
      <c r="F610" s="102">
        <f t="shared" si="74"/>
        <v>2.5999999999999999E-2</v>
      </c>
      <c r="G610" s="104">
        <v>0.26800000000000002</v>
      </c>
      <c r="H610" s="104">
        <v>0.28599999999999998</v>
      </c>
      <c r="I610" s="103">
        <v>6.6000000000000003E-2</v>
      </c>
      <c r="J610" s="104">
        <v>2.5999999999999999E-2</v>
      </c>
      <c r="K610" s="54">
        <f>((4/3)*L602)+((8/3)*L614)</f>
        <v>97203</v>
      </c>
      <c r="L610" s="113"/>
      <c r="M610" s="98">
        <f t="shared" si="68"/>
        <v>0.6</v>
      </c>
      <c r="N610" s="98">
        <v>0.26</v>
      </c>
      <c r="O610" s="98">
        <f t="shared" si="69"/>
        <v>0.61</v>
      </c>
      <c r="P610" s="98">
        <v>0.34620000000000001</v>
      </c>
      <c r="Q610" s="98">
        <v>0.69640000000000002</v>
      </c>
      <c r="R610" s="98">
        <v>0.6</v>
      </c>
      <c r="S610" s="98">
        <v>0.61</v>
      </c>
    </row>
    <row r="611" spans="1:19" s="60" customFormat="1">
      <c r="A611" s="59">
        <f t="shared" si="72"/>
        <v>56035</v>
      </c>
      <c r="B611" s="59">
        <f t="shared" si="71"/>
        <v>56399</v>
      </c>
      <c r="C611" s="102">
        <f t="shared" ref="C611:F626" si="75">AVERAGE(G611:G622)</f>
        <v>0.26800000000000002</v>
      </c>
      <c r="D611" s="102">
        <f t="shared" si="75"/>
        <v>0.28599999999999998</v>
      </c>
      <c r="E611" s="102">
        <f t="shared" si="75"/>
        <v>6.6000000000000003E-2</v>
      </c>
      <c r="F611" s="102">
        <f t="shared" si="75"/>
        <v>2.5999999999999999E-2</v>
      </c>
      <c r="G611" s="104">
        <v>0.26800000000000002</v>
      </c>
      <c r="H611" s="104">
        <v>0.28599999999999998</v>
      </c>
      <c r="I611" s="103">
        <v>6.6000000000000003E-2</v>
      </c>
      <c r="J611" s="104">
        <v>2.5999999999999999E-2</v>
      </c>
      <c r="K611" s="54">
        <f>((3/3)*L602)+((9/3)*L614)</f>
        <v>97595</v>
      </c>
      <c r="L611" s="113"/>
      <c r="M611" s="98">
        <f t="shared" si="68"/>
        <v>0.6</v>
      </c>
      <c r="N611" s="98">
        <v>0.26</v>
      </c>
      <c r="O611" s="98">
        <f t="shared" si="69"/>
        <v>0.61</v>
      </c>
      <c r="P611" s="98">
        <v>0.34620000000000001</v>
      </c>
      <c r="Q611" s="98">
        <v>0.69640000000000002</v>
      </c>
      <c r="R611" s="98">
        <v>0.6</v>
      </c>
      <c r="S611" s="98">
        <v>0.61</v>
      </c>
    </row>
    <row r="612" spans="1:19" s="60" customFormat="1">
      <c r="A612" s="59">
        <f t="shared" si="72"/>
        <v>56065</v>
      </c>
      <c r="B612" s="59">
        <f t="shared" si="71"/>
        <v>56429</v>
      </c>
      <c r="C612" s="102">
        <f t="shared" si="75"/>
        <v>0.26800000000000002</v>
      </c>
      <c r="D612" s="102">
        <f t="shared" si="75"/>
        <v>0.28599999999999998</v>
      </c>
      <c r="E612" s="102">
        <f t="shared" si="75"/>
        <v>6.6000000000000003E-2</v>
      </c>
      <c r="F612" s="102">
        <f t="shared" si="75"/>
        <v>2.5999999999999999E-2</v>
      </c>
      <c r="G612" s="104">
        <v>0.26800000000000002</v>
      </c>
      <c r="H612" s="104">
        <v>0.28599999999999998</v>
      </c>
      <c r="I612" s="103">
        <v>6.6000000000000003E-2</v>
      </c>
      <c r="J612" s="104">
        <v>2.5999999999999999E-2</v>
      </c>
      <c r="K612" s="54">
        <f>((2/3)*L602)+((10/3)*L614)</f>
        <v>97987</v>
      </c>
      <c r="L612" s="113"/>
      <c r="M612" s="98">
        <f t="shared" si="68"/>
        <v>0.6</v>
      </c>
      <c r="N612" s="98">
        <v>0.26</v>
      </c>
      <c r="O612" s="98">
        <f t="shared" si="69"/>
        <v>0.61</v>
      </c>
      <c r="P612" s="98">
        <v>0.34620000000000001</v>
      </c>
      <c r="Q612" s="98">
        <v>0.69640000000000002</v>
      </c>
      <c r="R612" s="98">
        <v>0.6</v>
      </c>
      <c r="S612" s="98">
        <v>0.61</v>
      </c>
    </row>
    <row r="613" spans="1:19" s="60" customFormat="1">
      <c r="A613" s="59">
        <f t="shared" si="72"/>
        <v>56096</v>
      </c>
      <c r="B613" s="59">
        <f t="shared" si="71"/>
        <v>56460</v>
      </c>
      <c r="C613" s="99">
        <f t="shared" si="75"/>
        <v>0.26800000000000002</v>
      </c>
      <c r="D613" s="99">
        <f t="shared" si="75"/>
        <v>0.28599999999999998</v>
      </c>
      <c r="E613" s="99">
        <f t="shared" si="75"/>
        <v>6.6000000000000003E-2</v>
      </c>
      <c r="F613" s="99">
        <f t="shared" si="75"/>
        <v>2.5999999999999999E-2</v>
      </c>
      <c r="G613" s="104">
        <v>0.26800000000000002</v>
      </c>
      <c r="H613" s="104">
        <v>0.28599999999999998</v>
      </c>
      <c r="I613" s="103">
        <v>6.6000000000000003E-2</v>
      </c>
      <c r="J613" s="104">
        <v>2.5999999999999999E-2</v>
      </c>
      <c r="K613" s="54">
        <f>((1/3)*L602)+((11/3)*L614)</f>
        <v>98379</v>
      </c>
      <c r="L613" s="113"/>
      <c r="M613" s="98">
        <f t="shared" si="68"/>
        <v>0.6</v>
      </c>
      <c r="N613" s="98">
        <v>0.26</v>
      </c>
      <c r="O613" s="98">
        <f t="shared" si="69"/>
        <v>0.61</v>
      </c>
      <c r="P613" s="98">
        <v>0.34620000000000001</v>
      </c>
      <c r="Q613" s="98">
        <v>0.69640000000000002</v>
      </c>
      <c r="R613" s="98">
        <v>0.6</v>
      </c>
      <c r="S613" s="98">
        <v>0.61</v>
      </c>
    </row>
    <row r="614" spans="1:19" s="96" customFormat="1">
      <c r="A614" s="95">
        <f t="shared" si="72"/>
        <v>56127</v>
      </c>
      <c r="B614" s="95">
        <f t="shared" si="71"/>
        <v>56491</v>
      </c>
      <c r="C614" s="105">
        <f t="shared" si="75"/>
        <v>0.26800000000000002</v>
      </c>
      <c r="D614" s="105">
        <f t="shared" si="75"/>
        <v>0.28599999999999998</v>
      </c>
      <c r="E614" s="105">
        <f t="shared" si="75"/>
        <v>6.6000000000000003E-2</v>
      </c>
      <c r="F614" s="105">
        <f t="shared" si="75"/>
        <v>2.5999999999999999E-2</v>
      </c>
      <c r="G614" s="107">
        <v>0.26800000000000002</v>
      </c>
      <c r="H614" s="107">
        <v>0.28599999999999998</v>
      </c>
      <c r="I614" s="106">
        <v>6.6000000000000003E-2</v>
      </c>
      <c r="J614" s="107">
        <v>2.5999999999999999E-2</v>
      </c>
      <c r="K614" s="94">
        <f>(L614*4)</f>
        <v>98771</v>
      </c>
      <c r="L614" s="114">
        <f>L602*1.05</f>
        <v>24692.720000000001</v>
      </c>
      <c r="M614" s="421">
        <f t="shared" si="68"/>
        <v>0.6</v>
      </c>
      <c r="N614" s="421">
        <v>0.26</v>
      </c>
      <c r="O614" s="421">
        <f t="shared" si="69"/>
        <v>0.61</v>
      </c>
      <c r="P614" s="421">
        <v>0.34620000000000001</v>
      </c>
      <c r="Q614" s="421">
        <v>0.69640000000000002</v>
      </c>
      <c r="R614" s="421">
        <v>0.6</v>
      </c>
      <c r="S614" s="421">
        <v>0.61</v>
      </c>
    </row>
    <row r="615" spans="1:19" s="96" customFormat="1">
      <c r="A615" s="95">
        <f t="shared" si="72"/>
        <v>56157</v>
      </c>
      <c r="B615" s="95">
        <f t="shared" si="71"/>
        <v>56521</v>
      </c>
      <c r="C615" s="105">
        <f t="shared" si="75"/>
        <v>0.26800000000000002</v>
      </c>
      <c r="D615" s="105">
        <f t="shared" si="75"/>
        <v>0.28599999999999998</v>
      </c>
      <c r="E615" s="105">
        <f t="shared" si="75"/>
        <v>6.6000000000000003E-2</v>
      </c>
      <c r="F615" s="105">
        <f t="shared" si="75"/>
        <v>2.5999999999999999E-2</v>
      </c>
      <c r="G615" s="107">
        <v>0.26800000000000002</v>
      </c>
      <c r="H615" s="107">
        <v>0.28599999999999998</v>
      </c>
      <c r="I615" s="106">
        <v>6.6000000000000003E-2</v>
      </c>
      <c r="J615" s="107">
        <v>2.5999999999999999E-2</v>
      </c>
      <c r="K615" s="94">
        <f>((11/3)*L614)+((1/3)*L626)</f>
        <v>99182</v>
      </c>
      <c r="L615" s="114"/>
      <c r="M615" s="421">
        <f t="shared" si="68"/>
        <v>0.6</v>
      </c>
      <c r="N615" s="421">
        <v>0.26</v>
      </c>
      <c r="O615" s="421">
        <f t="shared" si="69"/>
        <v>0.61</v>
      </c>
      <c r="P615" s="421">
        <v>0.34620000000000001</v>
      </c>
      <c r="Q615" s="421">
        <v>0.69640000000000002</v>
      </c>
      <c r="R615" s="421">
        <v>0.6</v>
      </c>
      <c r="S615" s="421">
        <v>0.61</v>
      </c>
    </row>
    <row r="616" spans="1:19" s="96" customFormat="1">
      <c r="A616" s="95">
        <f t="shared" si="72"/>
        <v>56188</v>
      </c>
      <c r="B616" s="95">
        <f t="shared" si="71"/>
        <v>56552</v>
      </c>
      <c r="C616" s="105">
        <f t="shared" si="75"/>
        <v>0.26800000000000002</v>
      </c>
      <c r="D616" s="105">
        <f t="shared" si="75"/>
        <v>0.28599999999999998</v>
      </c>
      <c r="E616" s="105">
        <f t="shared" si="75"/>
        <v>6.6000000000000003E-2</v>
      </c>
      <c r="F616" s="105">
        <f t="shared" si="75"/>
        <v>2.5999999999999999E-2</v>
      </c>
      <c r="G616" s="107">
        <v>0.26800000000000002</v>
      </c>
      <c r="H616" s="107">
        <v>0.28599999999999998</v>
      </c>
      <c r="I616" s="106">
        <v>6.6000000000000003E-2</v>
      </c>
      <c r="J616" s="107">
        <v>2.5999999999999999E-2</v>
      </c>
      <c r="K616" s="94">
        <f>((10/3)*L614)+((2/3)*L626)</f>
        <v>99594</v>
      </c>
      <c r="L616" s="114"/>
      <c r="M616" s="421">
        <f t="shared" si="68"/>
        <v>0.6</v>
      </c>
      <c r="N616" s="421">
        <v>0.26</v>
      </c>
      <c r="O616" s="421">
        <f t="shared" si="69"/>
        <v>0.61</v>
      </c>
      <c r="P616" s="421">
        <v>0.34620000000000001</v>
      </c>
      <c r="Q616" s="421">
        <v>0.69640000000000002</v>
      </c>
      <c r="R616" s="421">
        <v>0.6</v>
      </c>
      <c r="S616" s="421">
        <v>0.61</v>
      </c>
    </row>
    <row r="617" spans="1:19" s="96" customFormat="1">
      <c r="A617" s="95">
        <f t="shared" si="72"/>
        <v>56218</v>
      </c>
      <c r="B617" s="95">
        <f t="shared" si="71"/>
        <v>56582</v>
      </c>
      <c r="C617" s="105">
        <f t="shared" si="75"/>
        <v>0.26800000000000002</v>
      </c>
      <c r="D617" s="105">
        <f t="shared" si="75"/>
        <v>0.28599999999999998</v>
      </c>
      <c r="E617" s="105">
        <f t="shared" si="75"/>
        <v>6.6000000000000003E-2</v>
      </c>
      <c r="F617" s="105">
        <f t="shared" si="75"/>
        <v>2.5999999999999999E-2</v>
      </c>
      <c r="G617" s="107">
        <v>0.26800000000000002</v>
      </c>
      <c r="H617" s="107">
        <v>0.28599999999999998</v>
      </c>
      <c r="I617" s="106">
        <v>6.6000000000000003E-2</v>
      </c>
      <c r="J617" s="107">
        <v>2.5999999999999999E-2</v>
      </c>
      <c r="K617" s="94">
        <f>((9/3)*L614)+((3/3)*L626)</f>
        <v>100006</v>
      </c>
      <c r="L617" s="114"/>
      <c r="M617" s="421">
        <f t="shared" si="68"/>
        <v>0.6</v>
      </c>
      <c r="N617" s="421">
        <v>0.26</v>
      </c>
      <c r="O617" s="421">
        <f t="shared" si="69"/>
        <v>0.61</v>
      </c>
      <c r="P617" s="421">
        <v>0.34620000000000001</v>
      </c>
      <c r="Q617" s="421">
        <v>0.69640000000000002</v>
      </c>
      <c r="R617" s="421">
        <v>0.6</v>
      </c>
      <c r="S617" s="421">
        <v>0.61</v>
      </c>
    </row>
    <row r="618" spans="1:19" s="96" customFormat="1">
      <c r="A618" s="95">
        <f t="shared" si="72"/>
        <v>56249</v>
      </c>
      <c r="B618" s="95">
        <f t="shared" si="71"/>
        <v>56613</v>
      </c>
      <c r="C618" s="105">
        <f t="shared" si="75"/>
        <v>0.26800000000000002</v>
      </c>
      <c r="D618" s="105">
        <f t="shared" si="75"/>
        <v>0.28599999999999998</v>
      </c>
      <c r="E618" s="105">
        <f t="shared" si="75"/>
        <v>6.6000000000000003E-2</v>
      </c>
      <c r="F618" s="105">
        <f t="shared" si="75"/>
        <v>2.5999999999999999E-2</v>
      </c>
      <c r="G618" s="107">
        <v>0.26800000000000002</v>
      </c>
      <c r="H618" s="107">
        <v>0.28599999999999998</v>
      </c>
      <c r="I618" s="106">
        <v>6.6000000000000003E-2</v>
      </c>
      <c r="J618" s="107">
        <v>2.5999999999999999E-2</v>
      </c>
      <c r="K618" s="94">
        <f>((8/3)*L614)+((4/3)*L626)</f>
        <v>100417</v>
      </c>
      <c r="L618" s="114"/>
      <c r="M618" s="421">
        <f t="shared" si="68"/>
        <v>0.6</v>
      </c>
      <c r="N618" s="421">
        <v>0.26</v>
      </c>
      <c r="O618" s="421">
        <f t="shared" si="69"/>
        <v>0.61</v>
      </c>
      <c r="P618" s="421">
        <v>0.34620000000000001</v>
      </c>
      <c r="Q618" s="421">
        <v>0.69640000000000002</v>
      </c>
      <c r="R618" s="421">
        <v>0.6</v>
      </c>
      <c r="S618" s="421">
        <v>0.61</v>
      </c>
    </row>
    <row r="619" spans="1:19" s="96" customFormat="1">
      <c r="A619" s="95">
        <f t="shared" si="72"/>
        <v>56280</v>
      </c>
      <c r="B619" s="95">
        <f t="shared" si="71"/>
        <v>56644</v>
      </c>
      <c r="C619" s="105">
        <f t="shared" si="75"/>
        <v>0.26800000000000002</v>
      </c>
      <c r="D619" s="105">
        <f t="shared" si="75"/>
        <v>0.28599999999999998</v>
      </c>
      <c r="E619" s="105">
        <f t="shared" si="75"/>
        <v>6.6000000000000003E-2</v>
      </c>
      <c r="F619" s="105">
        <f t="shared" si="75"/>
        <v>2.5999999999999999E-2</v>
      </c>
      <c r="G619" s="107">
        <v>0.26800000000000002</v>
      </c>
      <c r="H619" s="107">
        <v>0.28599999999999998</v>
      </c>
      <c r="I619" s="106">
        <v>6.6000000000000003E-2</v>
      </c>
      <c r="J619" s="107">
        <v>2.5999999999999999E-2</v>
      </c>
      <c r="K619" s="94">
        <f>((7/3)*L614)+((5/3)*L626)</f>
        <v>100829</v>
      </c>
      <c r="L619" s="114"/>
      <c r="M619" s="421">
        <f t="shared" si="68"/>
        <v>0.6</v>
      </c>
      <c r="N619" s="421">
        <v>0.26</v>
      </c>
      <c r="O619" s="421">
        <f t="shared" si="69"/>
        <v>0.61</v>
      </c>
      <c r="P619" s="421">
        <v>0.34620000000000001</v>
      </c>
      <c r="Q619" s="421">
        <v>0.69640000000000002</v>
      </c>
      <c r="R619" s="421">
        <v>0.6</v>
      </c>
      <c r="S619" s="421">
        <v>0.61</v>
      </c>
    </row>
    <row r="620" spans="1:19" s="96" customFormat="1">
      <c r="A620" s="95">
        <f t="shared" si="72"/>
        <v>56308</v>
      </c>
      <c r="B620" s="95">
        <f t="shared" si="71"/>
        <v>56672</v>
      </c>
      <c r="C620" s="105">
        <f t="shared" si="75"/>
        <v>0.26800000000000002</v>
      </c>
      <c r="D620" s="105">
        <f t="shared" si="75"/>
        <v>0.28599999999999998</v>
      </c>
      <c r="E620" s="105">
        <f t="shared" si="75"/>
        <v>6.6000000000000003E-2</v>
      </c>
      <c r="F620" s="105">
        <f t="shared" si="75"/>
        <v>2.5999999999999999E-2</v>
      </c>
      <c r="G620" s="107">
        <v>0.26800000000000002</v>
      </c>
      <c r="H620" s="107">
        <v>0.28599999999999998</v>
      </c>
      <c r="I620" s="106">
        <v>6.6000000000000003E-2</v>
      </c>
      <c r="J620" s="107">
        <v>2.5999999999999999E-2</v>
      </c>
      <c r="K620" s="94">
        <f>((6/3)*L614)+((6/3)*L626)</f>
        <v>101240</v>
      </c>
      <c r="L620" s="114"/>
      <c r="M620" s="421">
        <f t="shared" si="68"/>
        <v>0.6</v>
      </c>
      <c r="N620" s="421">
        <v>0.26</v>
      </c>
      <c r="O620" s="421">
        <f t="shared" si="69"/>
        <v>0.61</v>
      </c>
      <c r="P620" s="421">
        <v>0.34620000000000001</v>
      </c>
      <c r="Q620" s="421">
        <v>0.69640000000000002</v>
      </c>
      <c r="R620" s="421">
        <v>0.6</v>
      </c>
      <c r="S620" s="421">
        <v>0.61</v>
      </c>
    </row>
    <row r="621" spans="1:19" s="96" customFormat="1">
      <c r="A621" s="95">
        <f t="shared" si="72"/>
        <v>56339</v>
      </c>
      <c r="B621" s="95">
        <f t="shared" si="71"/>
        <v>56703</v>
      </c>
      <c r="C621" s="105">
        <f t="shared" si="75"/>
        <v>0.26800000000000002</v>
      </c>
      <c r="D621" s="105">
        <f t="shared" si="75"/>
        <v>0.28599999999999998</v>
      </c>
      <c r="E621" s="105">
        <f t="shared" si="75"/>
        <v>6.6000000000000003E-2</v>
      </c>
      <c r="F621" s="105">
        <f t="shared" si="75"/>
        <v>2.5999999999999999E-2</v>
      </c>
      <c r="G621" s="107">
        <v>0.26800000000000002</v>
      </c>
      <c r="H621" s="107">
        <v>0.28599999999999998</v>
      </c>
      <c r="I621" s="106">
        <v>6.6000000000000003E-2</v>
      </c>
      <c r="J621" s="107">
        <v>2.5999999999999999E-2</v>
      </c>
      <c r="K621" s="94">
        <f>((5/3)*L614)+((7/3)*L626)</f>
        <v>101652</v>
      </c>
      <c r="L621" s="114"/>
      <c r="M621" s="421">
        <f t="shared" si="68"/>
        <v>0.6</v>
      </c>
      <c r="N621" s="421">
        <v>0.26</v>
      </c>
      <c r="O621" s="421">
        <f t="shared" si="69"/>
        <v>0.61</v>
      </c>
      <c r="P621" s="421">
        <v>0.34620000000000001</v>
      </c>
      <c r="Q621" s="421">
        <v>0.69640000000000002</v>
      </c>
      <c r="R621" s="421">
        <v>0.6</v>
      </c>
      <c r="S621" s="421">
        <v>0.61</v>
      </c>
    </row>
    <row r="622" spans="1:19" s="96" customFormat="1">
      <c r="A622" s="95">
        <f t="shared" si="72"/>
        <v>56369</v>
      </c>
      <c r="B622" s="95">
        <f t="shared" si="71"/>
        <v>56733</v>
      </c>
      <c r="C622" s="105">
        <f t="shared" si="75"/>
        <v>0.26800000000000002</v>
      </c>
      <c r="D622" s="105">
        <f t="shared" si="75"/>
        <v>0.28599999999999998</v>
      </c>
      <c r="E622" s="105">
        <f t="shared" si="75"/>
        <v>6.6000000000000003E-2</v>
      </c>
      <c r="F622" s="105">
        <f t="shared" si="75"/>
        <v>2.5999999999999999E-2</v>
      </c>
      <c r="G622" s="107">
        <v>0.26800000000000002</v>
      </c>
      <c r="H622" s="107">
        <v>0.28599999999999998</v>
      </c>
      <c r="I622" s="106">
        <v>6.6000000000000003E-2</v>
      </c>
      <c r="J622" s="107">
        <v>2.5999999999999999E-2</v>
      </c>
      <c r="K622" s="94">
        <f>((4/3)*L614)+((8/3)*L626)</f>
        <v>102063</v>
      </c>
      <c r="L622" s="114"/>
      <c r="M622" s="421">
        <f t="shared" si="68"/>
        <v>0.6</v>
      </c>
      <c r="N622" s="421">
        <v>0.26</v>
      </c>
      <c r="O622" s="421">
        <f t="shared" si="69"/>
        <v>0.61</v>
      </c>
      <c r="P622" s="421">
        <v>0.34620000000000001</v>
      </c>
      <c r="Q622" s="421">
        <v>0.69640000000000002</v>
      </c>
      <c r="R622" s="421">
        <v>0.6</v>
      </c>
      <c r="S622" s="421">
        <v>0.61</v>
      </c>
    </row>
    <row r="623" spans="1:19" s="96" customFormat="1">
      <c r="A623" s="95">
        <f t="shared" si="72"/>
        <v>56400</v>
      </c>
      <c r="B623" s="95">
        <f t="shared" si="71"/>
        <v>56764</v>
      </c>
      <c r="C623" s="105">
        <f t="shared" si="75"/>
        <v>0.26800000000000002</v>
      </c>
      <c r="D623" s="105">
        <f t="shared" si="75"/>
        <v>0.28599999999999998</v>
      </c>
      <c r="E623" s="105">
        <f t="shared" si="75"/>
        <v>6.6000000000000003E-2</v>
      </c>
      <c r="F623" s="105">
        <f t="shared" si="75"/>
        <v>2.5999999999999999E-2</v>
      </c>
      <c r="G623" s="107">
        <v>0.26800000000000002</v>
      </c>
      <c r="H623" s="107">
        <v>0.28599999999999998</v>
      </c>
      <c r="I623" s="106">
        <v>6.6000000000000003E-2</v>
      </c>
      <c r="J623" s="107">
        <v>2.5999999999999999E-2</v>
      </c>
      <c r="K623" s="94">
        <f>((3/3)*L614)+((9/3)*L626)</f>
        <v>102475</v>
      </c>
      <c r="L623" s="114"/>
      <c r="M623" s="421">
        <f t="shared" ref="M623:M686" si="76">AVERAGE(R623:R634)</f>
        <v>0.6</v>
      </c>
      <c r="N623" s="421">
        <v>0.26</v>
      </c>
      <c r="O623" s="421">
        <f t="shared" ref="O623:O686" si="77">AVERAGE(S623:S634)</f>
        <v>0.61</v>
      </c>
      <c r="P623" s="421">
        <v>0.34620000000000001</v>
      </c>
      <c r="Q623" s="421">
        <v>0.69640000000000002</v>
      </c>
      <c r="R623" s="421">
        <v>0.6</v>
      </c>
      <c r="S623" s="421">
        <v>0.61</v>
      </c>
    </row>
    <row r="624" spans="1:19" s="96" customFormat="1">
      <c r="A624" s="95">
        <f t="shared" si="72"/>
        <v>56430</v>
      </c>
      <c r="B624" s="95">
        <f t="shared" si="71"/>
        <v>56794</v>
      </c>
      <c r="C624" s="105">
        <f t="shared" si="75"/>
        <v>0.26800000000000002</v>
      </c>
      <c r="D624" s="105">
        <f t="shared" si="75"/>
        <v>0.28599999999999998</v>
      </c>
      <c r="E624" s="105">
        <f t="shared" si="75"/>
        <v>6.6000000000000003E-2</v>
      </c>
      <c r="F624" s="105">
        <f t="shared" si="75"/>
        <v>2.5999999999999999E-2</v>
      </c>
      <c r="G624" s="107">
        <v>0.26800000000000002</v>
      </c>
      <c r="H624" s="107">
        <v>0.28599999999999998</v>
      </c>
      <c r="I624" s="106">
        <v>6.6000000000000003E-2</v>
      </c>
      <c r="J624" s="107">
        <v>2.5999999999999999E-2</v>
      </c>
      <c r="K624" s="94">
        <f>((2/3)*L614)+((10/3)*L626)</f>
        <v>102886</v>
      </c>
      <c r="L624" s="114"/>
      <c r="M624" s="421">
        <f t="shared" si="76"/>
        <v>0.6</v>
      </c>
      <c r="N624" s="421">
        <v>0.26</v>
      </c>
      <c r="O624" s="421">
        <f t="shared" si="77"/>
        <v>0.61</v>
      </c>
      <c r="P624" s="421">
        <v>0.34620000000000001</v>
      </c>
      <c r="Q624" s="421">
        <v>0.69640000000000002</v>
      </c>
      <c r="R624" s="421">
        <v>0.6</v>
      </c>
      <c r="S624" s="421">
        <v>0.61</v>
      </c>
    </row>
    <row r="625" spans="1:19" s="96" customFormat="1">
      <c r="A625" s="95">
        <f t="shared" si="72"/>
        <v>56461</v>
      </c>
      <c r="B625" s="95">
        <f t="shared" si="71"/>
        <v>56825</v>
      </c>
      <c r="C625" s="105">
        <f t="shared" si="75"/>
        <v>0.26800000000000002</v>
      </c>
      <c r="D625" s="105">
        <f t="shared" si="75"/>
        <v>0.28599999999999998</v>
      </c>
      <c r="E625" s="105">
        <f t="shared" si="75"/>
        <v>6.6000000000000003E-2</v>
      </c>
      <c r="F625" s="105">
        <f t="shared" si="75"/>
        <v>2.5999999999999999E-2</v>
      </c>
      <c r="G625" s="107">
        <v>0.26800000000000002</v>
      </c>
      <c r="H625" s="107">
        <v>0.28599999999999998</v>
      </c>
      <c r="I625" s="106">
        <v>6.6000000000000003E-2</v>
      </c>
      <c r="J625" s="107">
        <v>2.5999999999999999E-2</v>
      </c>
      <c r="K625" s="94">
        <f>((1/3)*L614)+((11/3)*L626)</f>
        <v>103298</v>
      </c>
      <c r="L625" s="114"/>
      <c r="M625" s="421">
        <f t="shared" si="76"/>
        <v>0.6</v>
      </c>
      <c r="N625" s="421">
        <v>0.26</v>
      </c>
      <c r="O625" s="421">
        <f t="shared" si="77"/>
        <v>0.61</v>
      </c>
      <c r="P625" s="421">
        <v>0.34620000000000001</v>
      </c>
      <c r="Q625" s="421">
        <v>0.69640000000000002</v>
      </c>
      <c r="R625" s="421">
        <v>0.6</v>
      </c>
      <c r="S625" s="421">
        <v>0.61</v>
      </c>
    </row>
    <row r="626" spans="1:19" s="60" customFormat="1">
      <c r="A626" s="59">
        <f t="shared" si="72"/>
        <v>56492</v>
      </c>
      <c r="B626" s="59">
        <f t="shared" si="71"/>
        <v>56856</v>
      </c>
      <c r="C626" s="102">
        <f t="shared" si="75"/>
        <v>0.26800000000000002</v>
      </c>
      <c r="D626" s="102">
        <f t="shared" si="75"/>
        <v>0.28599999999999998</v>
      </c>
      <c r="E626" s="102">
        <f t="shared" si="75"/>
        <v>6.6000000000000003E-2</v>
      </c>
      <c r="F626" s="102">
        <f t="shared" si="75"/>
        <v>2.5999999999999999E-2</v>
      </c>
      <c r="G626" s="104">
        <v>0.26800000000000002</v>
      </c>
      <c r="H626" s="104">
        <v>0.28599999999999998</v>
      </c>
      <c r="I626" s="103">
        <v>6.6000000000000003E-2</v>
      </c>
      <c r="J626" s="104">
        <v>2.5999999999999999E-2</v>
      </c>
      <c r="K626" s="54">
        <f>(L626*4)</f>
        <v>103709</v>
      </c>
      <c r="L626" s="113">
        <f>L614*1.05</f>
        <v>25927.360000000001</v>
      </c>
      <c r="M626" s="98">
        <f t="shared" si="76"/>
        <v>0.6</v>
      </c>
      <c r="N626" s="98">
        <v>0.26</v>
      </c>
      <c r="O626" s="98">
        <f t="shared" si="77"/>
        <v>0.61</v>
      </c>
      <c r="P626" s="98">
        <v>0.34620000000000001</v>
      </c>
      <c r="Q626" s="98">
        <v>0.69640000000000002</v>
      </c>
      <c r="R626" s="98">
        <v>0.6</v>
      </c>
      <c r="S626" s="98">
        <v>0.61</v>
      </c>
    </row>
    <row r="627" spans="1:19" s="60" customFormat="1">
      <c r="A627" s="59">
        <f t="shared" si="72"/>
        <v>56522</v>
      </c>
      <c r="B627" s="59">
        <f t="shared" si="71"/>
        <v>56886</v>
      </c>
      <c r="C627" s="102">
        <f t="shared" ref="C627:F642" si="78">AVERAGE(G627:G638)</f>
        <v>0.26800000000000002</v>
      </c>
      <c r="D627" s="102">
        <f t="shared" si="78"/>
        <v>0.28599999999999998</v>
      </c>
      <c r="E627" s="102">
        <f t="shared" si="78"/>
        <v>6.6000000000000003E-2</v>
      </c>
      <c r="F627" s="102">
        <f t="shared" si="78"/>
        <v>2.5999999999999999E-2</v>
      </c>
      <c r="G627" s="104">
        <v>0.26800000000000002</v>
      </c>
      <c r="H627" s="104">
        <v>0.28599999999999998</v>
      </c>
      <c r="I627" s="103">
        <v>6.6000000000000003E-2</v>
      </c>
      <c r="J627" s="104">
        <v>2.5999999999999999E-2</v>
      </c>
      <c r="K627" s="54">
        <f>((11/3)*L626)+((1/3)*L638)</f>
        <v>104142</v>
      </c>
      <c r="L627" s="113"/>
      <c r="M627" s="98">
        <f t="shared" si="76"/>
        <v>0.6</v>
      </c>
      <c r="N627" s="98">
        <v>0.26</v>
      </c>
      <c r="O627" s="98">
        <f t="shared" si="77"/>
        <v>0.61</v>
      </c>
      <c r="P627" s="98">
        <v>0.34620000000000001</v>
      </c>
      <c r="Q627" s="98">
        <v>0.69640000000000002</v>
      </c>
      <c r="R627" s="98">
        <v>0.6</v>
      </c>
      <c r="S627" s="98">
        <v>0.61</v>
      </c>
    </row>
    <row r="628" spans="1:19" s="60" customFormat="1">
      <c r="A628" s="59">
        <f t="shared" si="72"/>
        <v>56553</v>
      </c>
      <c r="B628" s="59">
        <f t="shared" si="71"/>
        <v>56917</v>
      </c>
      <c r="C628" s="102">
        <f t="shared" si="78"/>
        <v>0.26800000000000002</v>
      </c>
      <c r="D628" s="102">
        <f t="shared" si="78"/>
        <v>0.28599999999999998</v>
      </c>
      <c r="E628" s="102">
        <f t="shared" si="78"/>
        <v>6.6000000000000003E-2</v>
      </c>
      <c r="F628" s="102">
        <f t="shared" si="78"/>
        <v>2.5999999999999999E-2</v>
      </c>
      <c r="G628" s="104">
        <v>0.26800000000000002</v>
      </c>
      <c r="H628" s="104">
        <v>0.28599999999999998</v>
      </c>
      <c r="I628" s="103">
        <v>6.6000000000000003E-2</v>
      </c>
      <c r="J628" s="104">
        <v>2.5999999999999999E-2</v>
      </c>
      <c r="K628" s="54">
        <f>((10/3)*L626)+((2/3)*L638)</f>
        <v>104574</v>
      </c>
      <c r="L628" s="113"/>
      <c r="M628" s="98">
        <f t="shared" si="76"/>
        <v>0.6</v>
      </c>
      <c r="N628" s="98">
        <v>0.26</v>
      </c>
      <c r="O628" s="98">
        <f t="shared" si="77"/>
        <v>0.61</v>
      </c>
      <c r="P628" s="98">
        <v>0.34620000000000001</v>
      </c>
      <c r="Q628" s="98">
        <v>0.69640000000000002</v>
      </c>
      <c r="R628" s="98">
        <v>0.6</v>
      </c>
      <c r="S628" s="98">
        <v>0.61</v>
      </c>
    </row>
    <row r="629" spans="1:19" s="60" customFormat="1">
      <c r="A629" s="59">
        <f t="shared" si="72"/>
        <v>56583</v>
      </c>
      <c r="B629" s="59">
        <f t="shared" si="71"/>
        <v>56947</v>
      </c>
      <c r="C629" s="102">
        <f t="shared" si="78"/>
        <v>0.26800000000000002</v>
      </c>
      <c r="D629" s="102">
        <f t="shared" si="78"/>
        <v>0.28599999999999998</v>
      </c>
      <c r="E629" s="102">
        <f t="shared" si="78"/>
        <v>6.6000000000000003E-2</v>
      </c>
      <c r="F629" s="102">
        <f t="shared" si="78"/>
        <v>2.5999999999999999E-2</v>
      </c>
      <c r="G629" s="104">
        <v>0.26800000000000002</v>
      </c>
      <c r="H629" s="104">
        <v>0.28599999999999998</v>
      </c>
      <c r="I629" s="103">
        <v>6.6000000000000003E-2</v>
      </c>
      <c r="J629" s="104">
        <v>2.5999999999999999E-2</v>
      </c>
      <c r="K629" s="54">
        <f>((9/3)*L626)+((3/3)*L638)</f>
        <v>105006</v>
      </c>
      <c r="L629" s="113"/>
      <c r="M629" s="98">
        <f t="shared" si="76"/>
        <v>0.6</v>
      </c>
      <c r="N629" s="98">
        <v>0.26</v>
      </c>
      <c r="O629" s="98">
        <f t="shared" si="77"/>
        <v>0.61</v>
      </c>
      <c r="P629" s="98">
        <v>0.34620000000000001</v>
      </c>
      <c r="Q629" s="98">
        <v>0.69640000000000002</v>
      </c>
      <c r="R629" s="98">
        <v>0.6</v>
      </c>
      <c r="S629" s="98">
        <v>0.61</v>
      </c>
    </row>
    <row r="630" spans="1:19" s="60" customFormat="1">
      <c r="A630" s="59">
        <f t="shared" si="72"/>
        <v>56614</v>
      </c>
      <c r="B630" s="59">
        <f t="shared" si="71"/>
        <v>56978</v>
      </c>
      <c r="C630" s="102">
        <f t="shared" si="78"/>
        <v>0.26800000000000002</v>
      </c>
      <c r="D630" s="102">
        <f t="shared" si="78"/>
        <v>0.28599999999999998</v>
      </c>
      <c r="E630" s="102">
        <f t="shared" si="78"/>
        <v>6.6000000000000003E-2</v>
      </c>
      <c r="F630" s="102">
        <f t="shared" si="78"/>
        <v>2.5999999999999999E-2</v>
      </c>
      <c r="G630" s="104">
        <v>0.26800000000000002</v>
      </c>
      <c r="H630" s="104">
        <v>0.28599999999999998</v>
      </c>
      <c r="I630" s="103">
        <v>6.6000000000000003E-2</v>
      </c>
      <c r="J630" s="104">
        <v>2.5999999999999999E-2</v>
      </c>
      <c r="K630" s="54">
        <f>((8/3)*L626)+((4/3)*L638)</f>
        <v>105438</v>
      </c>
      <c r="L630" s="113"/>
      <c r="M630" s="98">
        <f t="shared" si="76"/>
        <v>0.6</v>
      </c>
      <c r="N630" s="98">
        <v>0.26</v>
      </c>
      <c r="O630" s="98">
        <f t="shared" si="77"/>
        <v>0.61</v>
      </c>
      <c r="P630" s="98">
        <v>0.34620000000000001</v>
      </c>
      <c r="Q630" s="98">
        <v>0.69640000000000002</v>
      </c>
      <c r="R630" s="98">
        <v>0.6</v>
      </c>
      <c r="S630" s="98">
        <v>0.61</v>
      </c>
    </row>
    <row r="631" spans="1:19" s="60" customFormat="1">
      <c r="A631" s="59">
        <f t="shared" si="72"/>
        <v>56645</v>
      </c>
      <c r="B631" s="59">
        <f t="shared" si="71"/>
        <v>57009</v>
      </c>
      <c r="C631" s="102">
        <f t="shared" si="78"/>
        <v>0.26800000000000002</v>
      </c>
      <c r="D631" s="102">
        <f t="shared" si="78"/>
        <v>0.28599999999999998</v>
      </c>
      <c r="E631" s="102">
        <f t="shared" si="78"/>
        <v>6.6000000000000003E-2</v>
      </c>
      <c r="F631" s="102">
        <f t="shared" si="78"/>
        <v>2.5999999999999999E-2</v>
      </c>
      <c r="G631" s="104">
        <v>0.26800000000000002</v>
      </c>
      <c r="H631" s="104">
        <v>0.28599999999999998</v>
      </c>
      <c r="I631" s="103">
        <v>6.6000000000000003E-2</v>
      </c>
      <c r="J631" s="104">
        <v>2.5999999999999999E-2</v>
      </c>
      <c r="K631" s="54">
        <f>((7/3)*L626)+((5/3)*L638)</f>
        <v>105870</v>
      </c>
      <c r="L631" s="113"/>
      <c r="M631" s="98">
        <f t="shared" si="76"/>
        <v>0.6</v>
      </c>
      <c r="N631" s="98">
        <v>0.26</v>
      </c>
      <c r="O631" s="98">
        <f t="shared" si="77"/>
        <v>0.61</v>
      </c>
      <c r="P631" s="98">
        <v>0.34620000000000001</v>
      </c>
      <c r="Q631" s="98">
        <v>0.69640000000000002</v>
      </c>
      <c r="R631" s="98">
        <v>0.6</v>
      </c>
      <c r="S631" s="98">
        <v>0.61</v>
      </c>
    </row>
    <row r="632" spans="1:19" s="60" customFormat="1">
      <c r="A632" s="59">
        <f t="shared" si="72"/>
        <v>56673</v>
      </c>
      <c r="B632" s="59">
        <f t="shared" si="71"/>
        <v>57038</v>
      </c>
      <c r="C632" s="102">
        <f t="shared" si="78"/>
        <v>0.26800000000000002</v>
      </c>
      <c r="D632" s="102">
        <f t="shared" si="78"/>
        <v>0.28599999999999998</v>
      </c>
      <c r="E632" s="102">
        <f t="shared" si="78"/>
        <v>6.6000000000000003E-2</v>
      </c>
      <c r="F632" s="102">
        <f t="shared" si="78"/>
        <v>2.5999999999999999E-2</v>
      </c>
      <c r="G632" s="104">
        <v>0.26800000000000002</v>
      </c>
      <c r="H632" s="104">
        <v>0.28599999999999998</v>
      </c>
      <c r="I632" s="103">
        <v>6.6000000000000003E-2</v>
      </c>
      <c r="J632" s="104">
        <v>2.5999999999999999E-2</v>
      </c>
      <c r="K632" s="54">
        <f>((6/3)*L626)+((6/3)*L638)</f>
        <v>106302</v>
      </c>
      <c r="L632" s="113"/>
      <c r="M632" s="98">
        <f t="shared" si="76"/>
        <v>0.6</v>
      </c>
      <c r="N632" s="98">
        <v>0.26</v>
      </c>
      <c r="O632" s="98">
        <f t="shared" si="77"/>
        <v>0.61</v>
      </c>
      <c r="P632" s="98">
        <v>0.34620000000000001</v>
      </c>
      <c r="Q632" s="98">
        <v>0.69640000000000002</v>
      </c>
      <c r="R632" s="98">
        <v>0.6</v>
      </c>
      <c r="S632" s="98">
        <v>0.61</v>
      </c>
    </row>
    <row r="633" spans="1:19" s="60" customFormat="1">
      <c r="A633" s="59">
        <f t="shared" si="72"/>
        <v>56704</v>
      </c>
      <c r="B633" s="59">
        <f t="shared" si="71"/>
        <v>57069</v>
      </c>
      <c r="C633" s="102">
        <f t="shared" si="78"/>
        <v>0.26800000000000002</v>
      </c>
      <c r="D633" s="102">
        <f t="shared" si="78"/>
        <v>0.28599999999999998</v>
      </c>
      <c r="E633" s="102">
        <f t="shared" si="78"/>
        <v>6.6000000000000003E-2</v>
      </c>
      <c r="F633" s="102">
        <f t="shared" si="78"/>
        <v>2.5999999999999999E-2</v>
      </c>
      <c r="G633" s="104">
        <v>0.26800000000000002</v>
      </c>
      <c r="H633" s="104">
        <v>0.28599999999999998</v>
      </c>
      <c r="I633" s="103">
        <v>6.6000000000000003E-2</v>
      </c>
      <c r="J633" s="104">
        <v>2.5999999999999999E-2</v>
      </c>
      <c r="K633" s="54">
        <f>((5/3)*L626)+((7/3)*L638)</f>
        <v>106734</v>
      </c>
      <c r="L633" s="113"/>
      <c r="M633" s="98">
        <f t="shared" si="76"/>
        <v>0.6</v>
      </c>
      <c r="N633" s="98">
        <v>0.26</v>
      </c>
      <c r="O633" s="98">
        <f t="shared" si="77"/>
        <v>0.61</v>
      </c>
      <c r="P633" s="98">
        <v>0.34620000000000001</v>
      </c>
      <c r="Q633" s="98">
        <v>0.69640000000000002</v>
      </c>
      <c r="R633" s="98">
        <v>0.6</v>
      </c>
      <c r="S633" s="98">
        <v>0.61</v>
      </c>
    </row>
    <row r="634" spans="1:19" s="60" customFormat="1">
      <c r="A634" s="59">
        <f t="shared" si="72"/>
        <v>56734</v>
      </c>
      <c r="B634" s="59">
        <f t="shared" si="71"/>
        <v>57099</v>
      </c>
      <c r="C634" s="102">
        <f t="shared" si="78"/>
        <v>0.26800000000000002</v>
      </c>
      <c r="D634" s="102">
        <f t="shared" si="78"/>
        <v>0.28599999999999998</v>
      </c>
      <c r="E634" s="102">
        <f t="shared" si="78"/>
        <v>6.6000000000000003E-2</v>
      </c>
      <c r="F634" s="102">
        <f t="shared" si="78"/>
        <v>2.5999999999999999E-2</v>
      </c>
      <c r="G634" s="104">
        <v>0.26800000000000002</v>
      </c>
      <c r="H634" s="104">
        <v>0.28599999999999998</v>
      </c>
      <c r="I634" s="103">
        <v>6.6000000000000003E-2</v>
      </c>
      <c r="J634" s="104">
        <v>2.5999999999999999E-2</v>
      </c>
      <c r="K634" s="54">
        <f>((4/3)*L626)+((8/3)*L638)</f>
        <v>107166</v>
      </c>
      <c r="L634" s="113"/>
      <c r="M634" s="98">
        <f t="shared" si="76"/>
        <v>0.6</v>
      </c>
      <c r="N634" s="98">
        <v>0.26</v>
      </c>
      <c r="O634" s="98">
        <f t="shared" si="77"/>
        <v>0.61</v>
      </c>
      <c r="P634" s="98">
        <v>0.34620000000000001</v>
      </c>
      <c r="Q634" s="98">
        <v>0.69640000000000002</v>
      </c>
      <c r="R634" s="98">
        <v>0.6</v>
      </c>
      <c r="S634" s="98">
        <v>0.61</v>
      </c>
    </row>
    <row r="635" spans="1:19" s="60" customFormat="1">
      <c r="A635" s="59">
        <f t="shared" si="72"/>
        <v>56765</v>
      </c>
      <c r="B635" s="59">
        <f t="shared" si="71"/>
        <v>57130</v>
      </c>
      <c r="C635" s="102">
        <f t="shared" si="78"/>
        <v>0.26800000000000002</v>
      </c>
      <c r="D635" s="102">
        <f t="shared" si="78"/>
        <v>0.28599999999999998</v>
      </c>
      <c r="E635" s="102">
        <f t="shared" si="78"/>
        <v>6.6000000000000003E-2</v>
      </c>
      <c r="F635" s="102">
        <f t="shared" si="78"/>
        <v>2.5999999999999999E-2</v>
      </c>
      <c r="G635" s="104">
        <v>0.26800000000000002</v>
      </c>
      <c r="H635" s="104">
        <v>0.28599999999999998</v>
      </c>
      <c r="I635" s="103">
        <v>6.6000000000000003E-2</v>
      </c>
      <c r="J635" s="104">
        <v>2.5999999999999999E-2</v>
      </c>
      <c r="K635" s="54">
        <f>((3/3)*L626)+((9/3)*L638)</f>
        <v>107599</v>
      </c>
      <c r="L635" s="113"/>
      <c r="M635" s="98">
        <f t="shared" si="76"/>
        <v>0.6</v>
      </c>
      <c r="N635" s="98">
        <v>0.26</v>
      </c>
      <c r="O635" s="98">
        <f t="shared" si="77"/>
        <v>0.61</v>
      </c>
      <c r="P635" s="98">
        <v>0.34620000000000001</v>
      </c>
      <c r="Q635" s="98">
        <v>0.69640000000000002</v>
      </c>
      <c r="R635" s="98">
        <v>0.6</v>
      </c>
      <c r="S635" s="98">
        <v>0.61</v>
      </c>
    </row>
    <row r="636" spans="1:19" s="60" customFormat="1">
      <c r="A636" s="59">
        <f t="shared" si="72"/>
        <v>56795</v>
      </c>
      <c r="B636" s="59">
        <f t="shared" si="71"/>
        <v>57160</v>
      </c>
      <c r="C636" s="102">
        <f t="shared" si="78"/>
        <v>0.26800000000000002</v>
      </c>
      <c r="D636" s="102">
        <f t="shared" si="78"/>
        <v>0.28599999999999998</v>
      </c>
      <c r="E636" s="102">
        <f t="shared" si="78"/>
        <v>6.6000000000000003E-2</v>
      </c>
      <c r="F636" s="102">
        <f t="shared" si="78"/>
        <v>2.5999999999999999E-2</v>
      </c>
      <c r="G636" s="104">
        <v>0.26800000000000002</v>
      </c>
      <c r="H636" s="104">
        <v>0.28599999999999998</v>
      </c>
      <c r="I636" s="103">
        <v>6.6000000000000003E-2</v>
      </c>
      <c r="J636" s="104">
        <v>2.5999999999999999E-2</v>
      </c>
      <c r="K636" s="54">
        <f>((2/3)*L626)+((10/3)*L638)</f>
        <v>108031</v>
      </c>
      <c r="L636" s="113"/>
      <c r="M636" s="98">
        <f t="shared" si="76"/>
        <v>0.6</v>
      </c>
      <c r="N636" s="98">
        <v>0.26</v>
      </c>
      <c r="O636" s="98">
        <f t="shared" si="77"/>
        <v>0.61</v>
      </c>
      <c r="P636" s="98">
        <v>0.34620000000000001</v>
      </c>
      <c r="Q636" s="98">
        <v>0.69640000000000002</v>
      </c>
      <c r="R636" s="98">
        <v>0.6</v>
      </c>
      <c r="S636" s="98">
        <v>0.61</v>
      </c>
    </row>
    <row r="637" spans="1:19" s="60" customFormat="1">
      <c r="A637" s="59">
        <f t="shared" si="72"/>
        <v>56826</v>
      </c>
      <c r="B637" s="59">
        <f t="shared" si="71"/>
        <v>57191</v>
      </c>
      <c r="C637" s="99">
        <f t="shared" si="78"/>
        <v>0.26800000000000002</v>
      </c>
      <c r="D637" s="99">
        <f t="shared" si="78"/>
        <v>0.28599999999999998</v>
      </c>
      <c r="E637" s="99">
        <f t="shared" si="78"/>
        <v>6.6000000000000003E-2</v>
      </c>
      <c r="F637" s="99">
        <f t="shared" si="78"/>
        <v>2.5999999999999999E-2</v>
      </c>
      <c r="G637" s="104">
        <v>0.26800000000000002</v>
      </c>
      <c r="H637" s="104">
        <v>0.28599999999999998</v>
      </c>
      <c r="I637" s="103">
        <v>6.6000000000000003E-2</v>
      </c>
      <c r="J637" s="104">
        <v>2.5999999999999999E-2</v>
      </c>
      <c r="K637" s="54">
        <f>((1/3)*L626)+((11/3)*L638)</f>
        <v>108463</v>
      </c>
      <c r="L637" s="113"/>
      <c r="M637" s="98">
        <f t="shared" si="76"/>
        <v>0.6</v>
      </c>
      <c r="N637" s="98">
        <v>0.26</v>
      </c>
      <c r="O637" s="98">
        <f t="shared" si="77"/>
        <v>0.61</v>
      </c>
      <c r="P637" s="98">
        <v>0.34620000000000001</v>
      </c>
      <c r="Q637" s="98">
        <v>0.69640000000000002</v>
      </c>
      <c r="R637" s="98">
        <v>0.6</v>
      </c>
      <c r="S637" s="98">
        <v>0.61</v>
      </c>
    </row>
    <row r="638" spans="1:19" s="96" customFormat="1">
      <c r="A638" s="95">
        <f t="shared" si="72"/>
        <v>56857</v>
      </c>
      <c r="B638" s="95">
        <f t="shared" si="71"/>
        <v>57222</v>
      </c>
      <c r="C638" s="105">
        <f t="shared" si="78"/>
        <v>0.26800000000000002</v>
      </c>
      <c r="D638" s="105">
        <f t="shared" si="78"/>
        <v>0.28599999999999998</v>
      </c>
      <c r="E638" s="105">
        <f t="shared" si="78"/>
        <v>6.6000000000000003E-2</v>
      </c>
      <c r="F638" s="105">
        <f t="shared" si="78"/>
        <v>2.5999999999999999E-2</v>
      </c>
      <c r="G638" s="107">
        <v>0.26800000000000002</v>
      </c>
      <c r="H638" s="107">
        <v>0.28599999999999998</v>
      </c>
      <c r="I638" s="106">
        <v>6.6000000000000003E-2</v>
      </c>
      <c r="J638" s="107">
        <v>2.5999999999999999E-2</v>
      </c>
      <c r="K638" s="94">
        <f>(L638*4)</f>
        <v>108895</v>
      </c>
      <c r="L638" s="114">
        <f>L626*1.05</f>
        <v>27223.73</v>
      </c>
      <c r="M638" s="421">
        <f t="shared" si="76"/>
        <v>0.6</v>
      </c>
      <c r="N638" s="421">
        <v>0.26</v>
      </c>
      <c r="O638" s="421">
        <f t="shared" si="77"/>
        <v>0.61</v>
      </c>
      <c r="P638" s="421">
        <v>0.34620000000000001</v>
      </c>
      <c r="Q638" s="421">
        <v>0.69640000000000002</v>
      </c>
      <c r="R638" s="421">
        <v>0.6</v>
      </c>
      <c r="S638" s="421">
        <v>0.61</v>
      </c>
    </row>
    <row r="639" spans="1:19" s="96" customFormat="1">
      <c r="A639" s="95">
        <f t="shared" si="72"/>
        <v>56887</v>
      </c>
      <c r="B639" s="95">
        <f t="shared" si="71"/>
        <v>57252</v>
      </c>
      <c r="C639" s="105">
        <f t="shared" si="78"/>
        <v>0.26800000000000002</v>
      </c>
      <c r="D639" s="105">
        <f t="shared" si="78"/>
        <v>0.28599999999999998</v>
      </c>
      <c r="E639" s="105">
        <f t="shared" si="78"/>
        <v>6.6000000000000003E-2</v>
      </c>
      <c r="F639" s="105">
        <f t="shared" si="78"/>
        <v>2.5999999999999999E-2</v>
      </c>
      <c r="G639" s="107">
        <v>0.26800000000000002</v>
      </c>
      <c r="H639" s="107">
        <v>0.28599999999999998</v>
      </c>
      <c r="I639" s="106">
        <v>6.6000000000000003E-2</v>
      </c>
      <c r="J639" s="107">
        <v>2.5999999999999999E-2</v>
      </c>
      <c r="K639" s="94">
        <f>((11/3)*L638)+((1/3)*L650)</f>
        <v>109349</v>
      </c>
      <c r="L639" s="114"/>
      <c r="M639" s="421">
        <f t="shared" si="76"/>
        <v>0.6</v>
      </c>
      <c r="N639" s="421">
        <v>0.26</v>
      </c>
      <c r="O639" s="421">
        <f t="shared" si="77"/>
        <v>0.61</v>
      </c>
      <c r="P639" s="421">
        <v>0.34620000000000001</v>
      </c>
      <c r="Q639" s="421">
        <v>0.69640000000000002</v>
      </c>
      <c r="R639" s="421">
        <v>0.6</v>
      </c>
      <c r="S639" s="421">
        <v>0.61</v>
      </c>
    </row>
    <row r="640" spans="1:19" s="96" customFormat="1">
      <c r="A640" s="95">
        <f t="shared" si="72"/>
        <v>56918</v>
      </c>
      <c r="B640" s="95">
        <f t="shared" si="71"/>
        <v>57283</v>
      </c>
      <c r="C640" s="105">
        <f t="shared" si="78"/>
        <v>0.26800000000000002</v>
      </c>
      <c r="D640" s="105">
        <f t="shared" si="78"/>
        <v>0.28599999999999998</v>
      </c>
      <c r="E640" s="105">
        <f t="shared" si="78"/>
        <v>6.6000000000000003E-2</v>
      </c>
      <c r="F640" s="105">
        <f t="shared" si="78"/>
        <v>2.5999999999999999E-2</v>
      </c>
      <c r="G640" s="107">
        <v>0.26800000000000002</v>
      </c>
      <c r="H640" s="107">
        <v>0.28599999999999998</v>
      </c>
      <c r="I640" s="106">
        <v>6.6000000000000003E-2</v>
      </c>
      <c r="J640" s="107">
        <v>2.5999999999999999E-2</v>
      </c>
      <c r="K640" s="94">
        <f>((10/3)*L638)+((2/3)*L650)</f>
        <v>109802</v>
      </c>
      <c r="L640" s="114"/>
      <c r="M640" s="421">
        <f t="shared" si="76"/>
        <v>0.6</v>
      </c>
      <c r="N640" s="421">
        <v>0.26</v>
      </c>
      <c r="O640" s="421">
        <f t="shared" si="77"/>
        <v>0.61</v>
      </c>
      <c r="P640" s="421">
        <v>0.34620000000000001</v>
      </c>
      <c r="Q640" s="421">
        <v>0.69640000000000002</v>
      </c>
      <c r="R640" s="421">
        <v>0.6</v>
      </c>
      <c r="S640" s="421">
        <v>0.61</v>
      </c>
    </row>
    <row r="641" spans="1:19" s="96" customFormat="1">
      <c r="A641" s="95">
        <f t="shared" si="72"/>
        <v>56948</v>
      </c>
      <c r="B641" s="95">
        <f t="shared" si="71"/>
        <v>57313</v>
      </c>
      <c r="C641" s="105">
        <f t="shared" si="78"/>
        <v>0.26800000000000002</v>
      </c>
      <c r="D641" s="105">
        <f t="shared" si="78"/>
        <v>0.28599999999999998</v>
      </c>
      <c r="E641" s="105">
        <f t="shared" si="78"/>
        <v>6.6000000000000003E-2</v>
      </c>
      <c r="F641" s="105">
        <f t="shared" si="78"/>
        <v>2.5999999999999999E-2</v>
      </c>
      <c r="G641" s="107">
        <v>0.26800000000000002</v>
      </c>
      <c r="H641" s="107">
        <v>0.28599999999999998</v>
      </c>
      <c r="I641" s="106">
        <v>6.6000000000000003E-2</v>
      </c>
      <c r="J641" s="107">
        <v>2.5999999999999999E-2</v>
      </c>
      <c r="K641" s="94">
        <f>((9/3)*L638)+((3/3)*L650)</f>
        <v>110256</v>
      </c>
      <c r="L641" s="114"/>
      <c r="M641" s="421">
        <f t="shared" si="76"/>
        <v>0.6</v>
      </c>
      <c r="N641" s="421">
        <v>0.26</v>
      </c>
      <c r="O641" s="421">
        <f t="shared" si="77"/>
        <v>0.61</v>
      </c>
      <c r="P641" s="421">
        <v>0.34620000000000001</v>
      </c>
      <c r="Q641" s="421">
        <v>0.69640000000000002</v>
      </c>
      <c r="R641" s="421">
        <v>0.6</v>
      </c>
      <c r="S641" s="421">
        <v>0.61</v>
      </c>
    </row>
    <row r="642" spans="1:19" s="96" customFormat="1">
      <c r="A642" s="95">
        <f t="shared" si="72"/>
        <v>56979</v>
      </c>
      <c r="B642" s="95">
        <f t="shared" ref="B642:B705" si="79">EDATE(A642,12)-1</f>
        <v>57344</v>
      </c>
      <c r="C642" s="105">
        <f t="shared" si="78"/>
        <v>0.26800000000000002</v>
      </c>
      <c r="D642" s="105">
        <f t="shared" si="78"/>
        <v>0.28599999999999998</v>
      </c>
      <c r="E642" s="105">
        <f t="shared" si="78"/>
        <v>6.6000000000000003E-2</v>
      </c>
      <c r="F642" s="105">
        <f t="shared" si="78"/>
        <v>2.5999999999999999E-2</v>
      </c>
      <c r="G642" s="107">
        <v>0.26800000000000002</v>
      </c>
      <c r="H642" s="107">
        <v>0.28599999999999998</v>
      </c>
      <c r="I642" s="106">
        <v>6.6000000000000003E-2</v>
      </c>
      <c r="J642" s="107">
        <v>2.5999999999999999E-2</v>
      </c>
      <c r="K642" s="94">
        <f>((8/3)*L638)+((4/3)*L650)</f>
        <v>110710</v>
      </c>
      <c r="L642" s="114"/>
      <c r="M642" s="421">
        <f t="shared" si="76"/>
        <v>0.6</v>
      </c>
      <c r="N642" s="421">
        <v>0.26</v>
      </c>
      <c r="O642" s="421">
        <f t="shared" si="77"/>
        <v>0.61</v>
      </c>
      <c r="P642" s="421">
        <v>0.34620000000000001</v>
      </c>
      <c r="Q642" s="421">
        <v>0.69640000000000002</v>
      </c>
      <c r="R642" s="421">
        <v>0.6</v>
      </c>
      <c r="S642" s="421">
        <v>0.61</v>
      </c>
    </row>
    <row r="643" spans="1:19" s="96" customFormat="1">
      <c r="A643" s="95">
        <f t="shared" ref="A643:A706" si="80">EDATE(A642,1)</f>
        <v>57010</v>
      </c>
      <c r="B643" s="95">
        <f t="shared" si="79"/>
        <v>57375</v>
      </c>
      <c r="C643" s="105">
        <f t="shared" ref="C643:F658" si="81">AVERAGE(G643:G654)</f>
        <v>0.26800000000000002</v>
      </c>
      <c r="D643" s="105">
        <f t="shared" si="81"/>
        <v>0.28599999999999998</v>
      </c>
      <c r="E643" s="105">
        <f t="shared" si="81"/>
        <v>6.6000000000000003E-2</v>
      </c>
      <c r="F643" s="105">
        <f t="shared" si="81"/>
        <v>2.5999999999999999E-2</v>
      </c>
      <c r="G643" s="107">
        <v>0.26800000000000002</v>
      </c>
      <c r="H643" s="107">
        <v>0.28599999999999998</v>
      </c>
      <c r="I643" s="106">
        <v>6.6000000000000003E-2</v>
      </c>
      <c r="J643" s="107">
        <v>2.5999999999999999E-2</v>
      </c>
      <c r="K643" s="94">
        <f>((7/3)*L638)+((5/3)*L650)</f>
        <v>111164</v>
      </c>
      <c r="L643" s="114"/>
      <c r="M643" s="421">
        <f t="shared" si="76"/>
        <v>0.6</v>
      </c>
      <c r="N643" s="421">
        <v>0.26</v>
      </c>
      <c r="O643" s="421">
        <f t="shared" si="77"/>
        <v>0.61</v>
      </c>
      <c r="P643" s="421">
        <v>0.34620000000000001</v>
      </c>
      <c r="Q643" s="421">
        <v>0.69640000000000002</v>
      </c>
      <c r="R643" s="421">
        <v>0.6</v>
      </c>
      <c r="S643" s="421">
        <v>0.61</v>
      </c>
    </row>
    <row r="644" spans="1:19" s="96" customFormat="1">
      <c r="A644" s="95">
        <f t="shared" si="80"/>
        <v>57039</v>
      </c>
      <c r="B644" s="95">
        <f t="shared" si="79"/>
        <v>57403</v>
      </c>
      <c r="C644" s="105">
        <f t="shared" si="81"/>
        <v>0.26800000000000002</v>
      </c>
      <c r="D644" s="105">
        <f t="shared" si="81"/>
        <v>0.28599999999999998</v>
      </c>
      <c r="E644" s="105">
        <f t="shared" si="81"/>
        <v>6.6000000000000003E-2</v>
      </c>
      <c r="F644" s="105">
        <f t="shared" si="81"/>
        <v>2.5999999999999999E-2</v>
      </c>
      <c r="G644" s="107">
        <v>0.26800000000000002</v>
      </c>
      <c r="H644" s="107">
        <v>0.28599999999999998</v>
      </c>
      <c r="I644" s="106">
        <v>6.6000000000000003E-2</v>
      </c>
      <c r="J644" s="107">
        <v>2.5999999999999999E-2</v>
      </c>
      <c r="K644" s="94">
        <f>((6/3)*L638)+((6/3)*L650)</f>
        <v>111617</v>
      </c>
      <c r="L644" s="114"/>
      <c r="M644" s="421">
        <f t="shared" si="76"/>
        <v>0.6</v>
      </c>
      <c r="N644" s="421">
        <v>0.26</v>
      </c>
      <c r="O644" s="421">
        <f t="shared" si="77"/>
        <v>0.61</v>
      </c>
      <c r="P644" s="421">
        <v>0.34620000000000001</v>
      </c>
      <c r="Q644" s="421">
        <v>0.69640000000000002</v>
      </c>
      <c r="R644" s="421">
        <v>0.6</v>
      </c>
      <c r="S644" s="421">
        <v>0.61</v>
      </c>
    </row>
    <row r="645" spans="1:19" s="96" customFormat="1">
      <c r="A645" s="95">
        <f t="shared" si="80"/>
        <v>57070</v>
      </c>
      <c r="B645" s="95">
        <f t="shared" si="79"/>
        <v>57434</v>
      </c>
      <c r="C645" s="105">
        <f t="shared" si="81"/>
        <v>0.26800000000000002</v>
      </c>
      <c r="D645" s="105">
        <f t="shared" si="81"/>
        <v>0.28599999999999998</v>
      </c>
      <c r="E645" s="105">
        <f t="shared" si="81"/>
        <v>6.6000000000000003E-2</v>
      </c>
      <c r="F645" s="105">
        <f t="shared" si="81"/>
        <v>2.5999999999999999E-2</v>
      </c>
      <c r="G645" s="107">
        <v>0.26800000000000002</v>
      </c>
      <c r="H645" s="107">
        <v>0.28599999999999998</v>
      </c>
      <c r="I645" s="106">
        <v>6.6000000000000003E-2</v>
      </c>
      <c r="J645" s="107">
        <v>2.5999999999999999E-2</v>
      </c>
      <c r="K645" s="94">
        <f>((5/3)*L638)+((7/3)*L650)</f>
        <v>112071</v>
      </c>
      <c r="L645" s="114"/>
      <c r="M645" s="421">
        <f t="shared" si="76"/>
        <v>0.6</v>
      </c>
      <c r="N645" s="421">
        <v>0.26</v>
      </c>
      <c r="O645" s="421">
        <f t="shared" si="77"/>
        <v>0.61</v>
      </c>
      <c r="P645" s="421">
        <v>0.34620000000000001</v>
      </c>
      <c r="Q645" s="421">
        <v>0.69640000000000002</v>
      </c>
      <c r="R645" s="421">
        <v>0.6</v>
      </c>
      <c r="S645" s="421">
        <v>0.61</v>
      </c>
    </row>
    <row r="646" spans="1:19" s="96" customFormat="1">
      <c r="A646" s="95">
        <f t="shared" si="80"/>
        <v>57100</v>
      </c>
      <c r="B646" s="95">
        <f t="shared" si="79"/>
        <v>57464</v>
      </c>
      <c r="C646" s="105">
        <f t="shared" si="81"/>
        <v>0.26800000000000002</v>
      </c>
      <c r="D646" s="105">
        <f t="shared" si="81"/>
        <v>0.28599999999999998</v>
      </c>
      <c r="E646" s="105">
        <f t="shared" si="81"/>
        <v>6.6000000000000003E-2</v>
      </c>
      <c r="F646" s="105">
        <f t="shared" si="81"/>
        <v>2.5999999999999999E-2</v>
      </c>
      <c r="G646" s="107">
        <v>0.26800000000000002</v>
      </c>
      <c r="H646" s="107">
        <v>0.28599999999999998</v>
      </c>
      <c r="I646" s="106">
        <v>6.6000000000000003E-2</v>
      </c>
      <c r="J646" s="107">
        <v>2.5999999999999999E-2</v>
      </c>
      <c r="K646" s="94">
        <f>((4/3)*L638)+((8/3)*L650)</f>
        <v>112525</v>
      </c>
      <c r="L646" s="114"/>
      <c r="M646" s="421">
        <f t="shared" si="76"/>
        <v>0.6</v>
      </c>
      <c r="N646" s="421">
        <v>0.26</v>
      </c>
      <c r="O646" s="421">
        <f t="shared" si="77"/>
        <v>0.61</v>
      </c>
      <c r="P646" s="421">
        <v>0.34620000000000001</v>
      </c>
      <c r="Q646" s="421">
        <v>0.69640000000000002</v>
      </c>
      <c r="R646" s="421">
        <v>0.6</v>
      </c>
      <c r="S646" s="421">
        <v>0.61</v>
      </c>
    </row>
    <row r="647" spans="1:19" s="96" customFormat="1">
      <c r="A647" s="95">
        <f t="shared" si="80"/>
        <v>57131</v>
      </c>
      <c r="B647" s="95">
        <f t="shared" si="79"/>
        <v>57495</v>
      </c>
      <c r="C647" s="105">
        <f t="shared" si="81"/>
        <v>0.26800000000000002</v>
      </c>
      <c r="D647" s="105">
        <f t="shared" si="81"/>
        <v>0.28599999999999998</v>
      </c>
      <c r="E647" s="105">
        <f t="shared" si="81"/>
        <v>6.6000000000000003E-2</v>
      </c>
      <c r="F647" s="105">
        <f t="shared" si="81"/>
        <v>2.5999999999999999E-2</v>
      </c>
      <c r="G647" s="107">
        <v>0.26800000000000002</v>
      </c>
      <c r="H647" s="107">
        <v>0.28599999999999998</v>
      </c>
      <c r="I647" s="106">
        <v>6.6000000000000003E-2</v>
      </c>
      <c r="J647" s="107">
        <v>2.5999999999999999E-2</v>
      </c>
      <c r="K647" s="94">
        <f>((3/3)*L638)+((9/3)*L650)</f>
        <v>112978</v>
      </c>
      <c r="L647" s="114"/>
      <c r="M647" s="421">
        <f t="shared" si="76"/>
        <v>0.6</v>
      </c>
      <c r="N647" s="421">
        <v>0.26</v>
      </c>
      <c r="O647" s="421">
        <f t="shared" si="77"/>
        <v>0.61</v>
      </c>
      <c r="P647" s="421">
        <v>0.34620000000000001</v>
      </c>
      <c r="Q647" s="421">
        <v>0.69640000000000002</v>
      </c>
      <c r="R647" s="421">
        <v>0.6</v>
      </c>
      <c r="S647" s="421">
        <v>0.61</v>
      </c>
    </row>
    <row r="648" spans="1:19" s="96" customFormat="1">
      <c r="A648" s="95">
        <f t="shared" si="80"/>
        <v>57161</v>
      </c>
      <c r="B648" s="95">
        <f t="shared" si="79"/>
        <v>57525</v>
      </c>
      <c r="C648" s="105">
        <f t="shared" si="81"/>
        <v>0.26800000000000002</v>
      </c>
      <c r="D648" s="105">
        <f t="shared" si="81"/>
        <v>0.28599999999999998</v>
      </c>
      <c r="E648" s="105">
        <f t="shared" si="81"/>
        <v>6.6000000000000003E-2</v>
      </c>
      <c r="F648" s="105">
        <f t="shared" si="81"/>
        <v>2.5999999999999999E-2</v>
      </c>
      <c r="G648" s="107">
        <v>0.26800000000000002</v>
      </c>
      <c r="H648" s="107">
        <v>0.28599999999999998</v>
      </c>
      <c r="I648" s="106">
        <v>6.6000000000000003E-2</v>
      </c>
      <c r="J648" s="107">
        <v>2.5999999999999999E-2</v>
      </c>
      <c r="K648" s="94">
        <f>((2/3)*L638)+((10/3)*L650)</f>
        <v>113432</v>
      </c>
      <c r="L648" s="114"/>
      <c r="M648" s="421">
        <f t="shared" si="76"/>
        <v>0.6</v>
      </c>
      <c r="N648" s="421">
        <v>0.26</v>
      </c>
      <c r="O648" s="421">
        <f t="shared" si="77"/>
        <v>0.61</v>
      </c>
      <c r="P648" s="421">
        <v>0.34620000000000001</v>
      </c>
      <c r="Q648" s="421">
        <v>0.69640000000000002</v>
      </c>
      <c r="R648" s="421">
        <v>0.6</v>
      </c>
      <c r="S648" s="421">
        <v>0.61</v>
      </c>
    </row>
    <row r="649" spans="1:19" s="96" customFormat="1">
      <c r="A649" s="95">
        <f t="shared" si="80"/>
        <v>57192</v>
      </c>
      <c r="B649" s="95">
        <f t="shared" si="79"/>
        <v>57556</v>
      </c>
      <c r="C649" s="105">
        <f t="shared" si="81"/>
        <v>0.26800000000000002</v>
      </c>
      <c r="D649" s="105">
        <f t="shared" si="81"/>
        <v>0.28599999999999998</v>
      </c>
      <c r="E649" s="105">
        <f t="shared" si="81"/>
        <v>6.6000000000000003E-2</v>
      </c>
      <c r="F649" s="105">
        <f t="shared" si="81"/>
        <v>2.5999999999999999E-2</v>
      </c>
      <c r="G649" s="107">
        <v>0.26800000000000002</v>
      </c>
      <c r="H649" s="107">
        <v>0.28599999999999998</v>
      </c>
      <c r="I649" s="106">
        <v>6.6000000000000003E-2</v>
      </c>
      <c r="J649" s="107">
        <v>2.5999999999999999E-2</v>
      </c>
      <c r="K649" s="94">
        <f>((1/3)*L638)+((11/3)*L650)</f>
        <v>113886</v>
      </c>
      <c r="L649" s="114"/>
      <c r="M649" s="421">
        <f t="shared" si="76"/>
        <v>0.6</v>
      </c>
      <c r="N649" s="421">
        <v>0.26</v>
      </c>
      <c r="O649" s="421">
        <f t="shared" si="77"/>
        <v>0.61</v>
      </c>
      <c r="P649" s="421">
        <v>0.34620000000000001</v>
      </c>
      <c r="Q649" s="421">
        <v>0.69640000000000002</v>
      </c>
      <c r="R649" s="421">
        <v>0.6</v>
      </c>
      <c r="S649" s="421">
        <v>0.61</v>
      </c>
    </row>
    <row r="650" spans="1:19" s="60" customFormat="1">
      <c r="A650" s="59">
        <f t="shared" si="80"/>
        <v>57223</v>
      </c>
      <c r="B650" s="59">
        <f t="shared" si="79"/>
        <v>57587</v>
      </c>
      <c r="C650" s="102">
        <f t="shared" si="81"/>
        <v>0.26800000000000002</v>
      </c>
      <c r="D650" s="102">
        <f t="shared" si="81"/>
        <v>0.28599999999999998</v>
      </c>
      <c r="E650" s="102">
        <f t="shared" si="81"/>
        <v>6.6000000000000003E-2</v>
      </c>
      <c r="F650" s="102">
        <f t="shared" si="81"/>
        <v>2.5999999999999999E-2</v>
      </c>
      <c r="G650" s="104">
        <v>0.26800000000000002</v>
      </c>
      <c r="H650" s="104">
        <v>0.28599999999999998</v>
      </c>
      <c r="I650" s="103">
        <v>6.6000000000000003E-2</v>
      </c>
      <c r="J650" s="104">
        <v>2.5999999999999999E-2</v>
      </c>
      <c r="K650" s="54">
        <f>(L650*4)</f>
        <v>114340</v>
      </c>
      <c r="L650" s="113">
        <f>L638*1.05</f>
        <v>28584.92</v>
      </c>
      <c r="M650" s="98">
        <f t="shared" si="76"/>
        <v>0.6</v>
      </c>
      <c r="N650" s="98">
        <v>0.26</v>
      </c>
      <c r="O650" s="98">
        <f t="shared" si="77"/>
        <v>0.61</v>
      </c>
      <c r="P650" s="98">
        <v>0.34620000000000001</v>
      </c>
      <c r="Q650" s="98">
        <v>0.69640000000000002</v>
      </c>
      <c r="R650" s="98">
        <v>0.6</v>
      </c>
      <c r="S650" s="98">
        <v>0.61</v>
      </c>
    </row>
    <row r="651" spans="1:19" s="60" customFormat="1">
      <c r="A651" s="59">
        <f t="shared" si="80"/>
        <v>57253</v>
      </c>
      <c r="B651" s="59">
        <f t="shared" si="79"/>
        <v>57617</v>
      </c>
      <c r="C651" s="102">
        <f t="shared" si="81"/>
        <v>0.26800000000000002</v>
      </c>
      <c r="D651" s="102">
        <f t="shared" si="81"/>
        <v>0.28599999999999998</v>
      </c>
      <c r="E651" s="102">
        <f t="shared" si="81"/>
        <v>6.6000000000000003E-2</v>
      </c>
      <c r="F651" s="102">
        <f t="shared" si="81"/>
        <v>2.5999999999999999E-2</v>
      </c>
      <c r="G651" s="104">
        <v>0.26800000000000002</v>
      </c>
      <c r="H651" s="104">
        <v>0.28599999999999998</v>
      </c>
      <c r="I651" s="103">
        <v>6.6000000000000003E-2</v>
      </c>
      <c r="J651" s="104">
        <v>2.5999999999999999E-2</v>
      </c>
      <c r="K651" s="54">
        <f>((11/3)*L650)+((1/3)*L662)</f>
        <v>114816</v>
      </c>
      <c r="L651" s="113"/>
      <c r="M651" s="98">
        <f t="shared" si="76"/>
        <v>0.6</v>
      </c>
      <c r="N651" s="98">
        <v>0.26</v>
      </c>
      <c r="O651" s="98">
        <f t="shared" si="77"/>
        <v>0.61</v>
      </c>
      <c r="P651" s="98">
        <v>0.34620000000000001</v>
      </c>
      <c r="Q651" s="98">
        <v>0.69640000000000002</v>
      </c>
      <c r="R651" s="98">
        <v>0.6</v>
      </c>
      <c r="S651" s="98">
        <v>0.61</v>
      </c>
    </row>
    <row r="652" spans="1:19" s="60" customFormat="1">
      <c r="A652" s="59">
        <f t="shared" si="80"/>
        <v>57284</v>
      </c>
      <c r="B652" s="59">
        <f t="shared" si="79"/>
        <v>57648</v>
      </c>
      <c r="C652" s="102">
        <f t="shared" si="81"/>
        <v>0.26800000000000002</v>
      </c>
      <c r="D652" s="102">
        <f t="shared" si="81"/>
        <v>0.28599999999999998</v>
      </c>
      <c r="E652" s="102">
        <f t="shared" si="81"/>
        <v>6.6000000000000003E-2</v>
      </c>
      <c r="F652" s="102">
        <f t="shared" si="81"/>
        <v>2.5999999999999999E-2</v>
      </c>
      <c r="G652" s="104">
        <v>0.26800000000000002</v>
      </c>
      <c r="H652" s="104">
        <v>0.28599999999999998</v>
      </c>
      <c r="I652" s="103">
        <v>6.6000000000000003E-2</v>
      </c>
      <c r="J652" s="104">
        <v>2.5999999999999999E-2</v>
      </c>
      <c r="K652" s="54">
        <f>((10/3)*L650)+((2/3)*L662)</f>
        <v>115293</v>
      </c>
      <c r="L652" s="113"/>
      <c r="M652" s="98">
        <f t="shared" si="76"/>
        <v>0.6</v>
      </c>
      <c r="N652" s="98">
        <v>0.26</v>
      </c>
      <c r="O652" s="98">
        <f t="shared" si="77"/>
        <v>0.61</v>
      </c>
      <c r="P652" s="98">
        <v>0.34620000000000001</v>
      </c>
      <c r="Q652" s="98">
        <v>0.69640000000000002</v>
      </c>
      <c r="R652" s="98">
        <v>0.6</v>
      </c>
      <c r="S652" s="98">
        <v>0.61</v>
      </c>
    </row>
    <row r="653" spans="1:19" s="60" customFormat="1">
      <c r="A653" s="59">
        <f t="shared" si="80"/>
        <v>57314</v>
      </c>
      <c r="B653" s="59">
        <f t="shared" si="79"/>
        <v>57678</v>
      </c>
      <c r="C653" s="102">
        <f t="shared" si="81"/>
        <v>0.26800000000000002</v>
      </c>
      <c r="D653" s="102">
        <f t="shared" si="81"/>
        <v>0.28599999999999998</v>
      </c>
      <c r="E653" s="102">
        <f t="shared" si="81"/>
        <v>6.6000000000000003E-2</v>
      </c>
      <c r="F653" s="102">
        <f t="shared" si="81"/>
        <v>2.5999999999999999E-2</v>
      </c>
      <c r="G653" s="104">
        <v>0.26800000000000002</v>
      </c>
      <c r="H653" s="104">
        <v>0.28599999999999998</v>
      </c>
      <c r="I653" s="103">
        <v>6.6000000000000003E-2</v>
      </c>
      <c r="J653" s="104">
        <v>2.5999999999999999E-2</v>
      </c>
      <c r="K653" s="54">
        <f>((9/3)*L650)+((3/3)*L662)</f>
        <v>115769</v>
      </c>
      <c r="L653" s="113"/>
      <c r="M653" s="98">
        <f t="shared" si="76"/>
        <v>0.6</v>
      </c>
      <c r="N653" s="98">
        <v>0.26</v>
      </c>
      <c r="O653" s="98">
        <f t="shared" si="77"/>
        <v>0.61</v>
      </c>
      <c r="P653" s="98">
        <v>0.34620000000000001</v>
      </c>
      <c r="Q653" s="98">
        <v>0.69640000000000002</v>
      </c>
      <c r="R653" s="98">
        <v>0.6</v>
      </c>
      <c r="S653" s="98">
        <v>0.61</v>
      </c>
    </row>
    <row r="654" spans="1:19" s="60" customFormat="1">
      <c r="A654" s="59">
        <f t="shared" si="80"/>
        <v>57345</v>
      </c>
      <c r="B654" s="59">
        <f t="shared" si="79"/>
        <v>57709</v>
      </c>
      <c r="C654" s="102">
        <f t="shared" si="81"/>
        <v>0.26800000000000002</v>
      </c>
      <c r="D654" s="102">
        <f t="shared" si="81"/>
        <v>0.28599999999999998</v>
      </c>
      <c r="E654" s="102">
        <f t="shared" si="81"/>
        <v>6.6000000000000003E-2</v>
      </c>
      <c r="F654" s="102">
        <f t="shared" si="81"/>
        <v>2.5999999999999999E-2</v>
      </c>
      <c r="G654" s="104">
        <v>0.26800000000000002</v>
      </c>
      <c r="H654" s="104">
        <v>0.28599999999999998</v>
      </c>
      <c r="I654" s="103">
        <v>6.6000000000000003E-2</v>
      </c>
      <c r="J654" s="104">
        <v>2.5999999999999999E-2</v>
      </c>
      <c r="K654" s="54">
        <f>((8/3)*L650)+((4/3)*L662)</f>
        <v>116245</v>
      </c>
      <c r="L654" s="113"/>
      <c r="M654" s="98">
        <f t="shared" si="76"/>
        <v>0.6</v>
      </c>
      <c r="N654" s="98">
        <v>0.26</v>
      </c>
      <c r="O654" s="98">
        <f t="shared" si="77"/>
        <v>0.61</v>
      </c>
      <c r="P654" s="98">
        <v>0.34620000000000001</v>
      </c>
      <c r="Q654" s="98">
        <v>0.69640000000000002</v>
      </c>
      <c r="R654" s="98">
        <v>0.6</v>
      </c>
      <c r="S654" s="98">
        <v>0.61</v>
      </c>
    </row>
    <row r="655" spans="1:19" s="60" customFormat="1">
      <c r="A655" s="59">
        <f t="shared" si="80"/>
        <v>57376</v>
      </c>
      <c r="B655" s="59">
        <f t="shared" si="79"/>
        <v>57740</v>
      </c>
      <c r="C655" s="102">
        <f t="shared" si="81"/>
        <v>0.26800000000000002</v>
      </c>
      <c r="D655" s="102">
        <f t="shared" si="81"/>
        <v>0.28599999999999998</v>
      </c>
      <c r="E655" s="102">
        <f t="shared" si="81"/>
        <v>6.6000000000000003E-2</v>
      </c>
      <c r="F655" s="102">
        <f t="shared" si="81"/>
        <v>2.5999999999999999E-2</v>
      </c>
      <c r="G655" s="104">
        <v>0.26800000000000002</v>
      </c>
      <c r="H655" s="104">
        <v>0.28599999999999998</v>
      </c>
      <c r="I655" s="103">
        <v>6.6000000000000003E-2</v>
      </c>
      <c r="J655" s="104">
        <v>2.5999999999999999E-2</v>
      </c>
      <c r="K655" s="54">
        <f>((7/3)*L650)+((5/3)*L662)</f>
        <v>116722</v>
      </c>
      <c r="L655" s="113"/>
      <c r="M655" s="98">
        <f t="shared" si="76"/>
        <v>0.6</v>
      </c>
      <c r="N655" s="98">
        <v>0.26</v>
      </c>
      <c r="O655" s="98">
        <f t="shared" si="77"/>
        <v>0.61</v>
      </c>
      <c r="P655" s="98">
        <v>0.34620000000000001</v>
      </c>
      <c r="Q655" s="98">
        <v>0.69640000000000002</v>
      </c>
      <c r="R655" s="98">
        <v>0.6</v>
      </c>
      <c r="S655" s="98">
        <v>0.61</v>
      </c>
    </row>
    <row r="656" spans="1:19" s="60" customFormat="1">
      <c r="A656" s="59">
        <f t="shared" si="80"/>
        <v>57404</v>
      </c>
      <c r="B656" s="59">
        <f t="shared" si="79"/>
        <v>57768</v>
      </c>
      <c r="C656" s="102">
        <f t="shared" si="81"/>
        <v>0.26800000000000002</v>
      </c>
      <c r="D656" s="102">
        <f t="shared" si="81"/>
        <v>0.28599999999999998</v>
      </c>
      <c r="E656" s="102">
        <f t="shared" si="81"/>
        <v>6.6000000000000003E-2</v>
      </c>
      <c r="F656" s="102">
        <f t="shared" si="81"/>
        <v>2.5999999999999999E-2</v>
      </c>
      <c r="G656" s="104">
        <v>0.26800000000000002</v>
      </c>
      <c r="H656" s="104">
        <v>0.28599999999999998</v>
      </c>
      <c r="I656" s="103">
        <v>6.6000000000000003E-2</v>
      </c>
      <c r="J656" s="104">
        <v>2.5999999999999999E-2</v>
      </c>
      <c r="K656" s="54">
        <f>((6/3)*L650)+((6/3)*L662)</f>
        <v>117198</v>
      </c>
      <c r="L656" s="113"/>
      <c r="M656" s="98">
        <f t="shared" si="76"/>
        <v>0.6</v>
      </c>
      <c r="N656" s="98">
        <v>0.26</v>
      </c>
      <c r="O656" s="98">
        <f t="shared" si="77"/>
        <v>0.61</v>
      </c>
      <c r="P656" s="98">
        <v>0.34620000000000001</v>
      </c>
      <c r="Q656" s="98">
        <v>0.69640000000000002</v>
      </c>
      <c r="R656" s="98">
        <v>0.6</v>
      </c>
      <c r="S656" s="98">
        <v>0.61</v>
      </c>
    </row>
    <row r="657" spans="1:19" s="60" customFormat="1">
      <c r="A657" s="59">
        <f t="shared" si="80"/>
        <v>57435</v>
      </c>
      <c r="B657" s="59">
        <f t="shared" si="79"/>
        <v>57799</v>
      </c>
      <c r="C657" s="102">
        <f t="shared" si="81"/>
        <v>0.26800000000000002</v>
      </c>
      <c r="D657" s="102">
        <f t="shared" si="81"/>
        <v>0.28599999999999998</v>
      </c>
      <c r="E657" s="102">
        <f t="shared" si="81"/>
        <v>6.6000000000000003E-2</v>
      </c>
      <c r="F657" s="102">
        <f t="shared" si="81"/>
        <v>2.5999999999999999E-2</v>
      </c>
      <c r="G657" s="104">
        <v>0.26800000000000002</v>
      </c>
      <c r="H657" s="104">
        <v>0.28599999999999998</v>
      </c>
      <c r="I657" s="103">
        <v>6.6000000000000003E-2</v>
      </c>
      <c r="J657" s="104">
        <v>2.5999999999999999E-2</v>
      </c>
      <c r="K657" s="54">
        <f>((5/3)*L650)+((7/3)*L662)</f>
        <v>117675</v>
      </c>
      <c r="L657" s="113"/>
      <c r="M657" s="98">
        <f t="shared" si="76"/>
        <v>0.6</v>
      </c>
      <c r="N657" s="98">
        <v>0.26</v>
      </c>
      <c r="O657" s="98">
        <f t="shared" si="77"/>
        <v>0.61</v>
      </c>
      <c r="P657" s="98">
        <v>0.34620000000000001</v>
      </c>
      <c r="Q657" s="98">
        <v>0.69640000000000002</v>
      </c>
      <c r="R657" s="98">
        <v>0.6</v>
      </c>
      <c r="S657" s="98">
        <v>0.61</v>
      </c>
    </row>
    <row r="658" spans="1:19" s="60" customFormat="1">
      <c r="A658" s="59">
        <f t="shared" si="80"/>
        <v>57465</v>
      </c>
      <c r="B658" s="59">
        <f t="shared" si="79"/>
        <v>57829</v>
      </c>
      <c r="C658" s="102">
        <f t="shared" si="81"/>
        <v>0.26800000000000002</v>
      </c>
      <c r="D658" s="102">
        <f t="shared" si="81"/>
        <v>0.28599999999999998</v>
      </c>
      <c r="E658" s="102">
        <f t="shared" si="81"/>
        <v>6.6000000000000003E-2</v>
      </c>
      <c r="F658" s="102">
        <f t="shared" si="81"/>
        <v>2.5999999999999999E-2</v>
      </c>
      <c r="G658" s="104">
        <v>0.26800000000000002</v>
      </c>
      <c r="H658" s="104">
        <v>0.28599999999999998</v>
      </c>
      <c r="I658" s="103">
        <v>6.6000000000000003E-2</v>
      </c>
      <c r="J658" s="104">
        <v>2.5999999999999999E-2</v>
      </c>
      <c r="K658" s="54">
        <f>((4/3)*L650)+((8/3)*L662)</f>
        <v>118151</v>
      </c>
      <c r="L658" s="113"/>
      <c r="M658" s="98">
        <f t="shared" si="76"/>
        <v>0.6</v>
      </c>
      <c r="N658" s="98">
        <v>0.26</v>
      </c>
      <c r="O658" s="98">
        <f t="shared" si="77"/>
        <v>0.61</v>
      </c>
      <c r="P658" s="98">
        <v>0.34620000000000001</v>
      </c>
      <c r="Q658" s="98">
        <v>0.69640000000000002</v>
      </c>
      <c r="R658" s="98">
        <v>0.6</v>
      </c>
      <c r="S658" s="98">
        <v>0.61</v>
      </c>
    </row>
    <row r="659" spans="1:19" s="60" customFormat="1">
      <c r="A659" s="59">
        <f t="shared" si="80"/>
        <v>57496</v>
      </c>
      <c r="B659" s="59">
        <f t="shared" si="79"/>
        <v>57860</v>
      </c>
      <c r="C659" s="102">
        <f t="shared" ref="C659:F674" si="82">AVERAGE(G659:G670)</f>
        <v>0.26800000000000002</v>
      </c>
      <c r="D659" s="102">
        <f t="shared" si="82"/>
        <v>0.28599999999999998</v>
      </c>
      <c r="E659" s="102">
        <f t="shared" si="82"/>
        <v>6.6000000000000003E-2</v>
      </c>
      <c r="F659" s="102">
        <f t="shared" si="82"/>
        <v>2.5999999999999999E-2</v>
      </c>
      <c r="G659" s="104">
        <v>0.26800000000000002</v>
      </c>
      <c r="H659" s="104">
        <v>0.28599999999999998</v>
      </c>
      <c r="I659" s="103">
        <v>6.6000000000000003E-2</v>
      </c>
      <c r="J659" s="104">
        <v>2.5999999999999999E-2</v>
      </c>
      <c r="K659" s="54">
        <f>((3/3)*L650)+((9/3)*L662)</f>
        <v>118627</v>
      </c>
      <c r="L659" s="113"/>
      <c r="M659" s="98">
        <f t="shared" si="76"/>
        <v>0.6</v>
      </c>
      <c r="N659" s="98">
        <v>0.26</v>
      </c>
      <c r="O659" s="98">
        <f t="shared" si="77"/>
        <v>0.61</v>
      </c>
      <c r="P659" s="98">
        <v>0.34620000000000001</v>
      </c>
      <c r="Q659" s="98">
        <v>0.69640000000000002</v>
      </c>
      <c r="R659" s="98">
        <v>0.6</v>
      </c>
      <c r="S659" s="98">
        <v>0.61</v>
      </c>
    </row>
    <row r="660" spans="1:19" s="60" customFormat="1">
      <c r="A660" s="59">
        <f t="shared" si="80"/>
        <v>57526</v>
      </c>
      <c r="B660" s="59">
        <f t="shared" si="79"/>
        <v>57890</v>
      </c>
      <c r="C660" s="102">
        <f t="shared" si="82"/>
        <v>0.26800000000000002</v>
      </c>
      <c r="D660" s="102">
        <f t="shared" si="82"/>
        <v>0.28599999999999998</v>
      </c>
      <c r="E660" s="102">
        <f t="shared" si="82"/>
        <v>6.6000000000000003E-2</v>
      </c>
      <c r="F660" s="102">
        <f t="shared" si="82"/>
        <v>2.5999999999999999E-2</v>
      </c>
      <c r="G660" s="104">
        <v>0.26800000000000002</v>
      </c>
      <c r="H660" s="104">
        <v>0.28599999999999998</v>
      </c>
      <c r="I660" s="103">
        <v>6.6000000000000003E-2</v>
      </c>
      <c r="J660" s="104">
        <v>2.5999999999999999E-2</v>
      </c>
      <c r="K660" s="54">
        <f>((2/3)*L650)+((10/3)*L662)</f>
        <v>119104</v>
      </c>
      <c r="L660" s="113"/>
      <c r="M660" s="98">
        <f t="shared" si="76"/>
        <v>0.6</v>
      </c>
      <c r="N660" s="98">
        <v>0.26</v>
      </c>
      <c r="O660" s="98">
        <f t="shared" si="77"/>
        <v>0.61</v>
      </c>
      <c r="P660" s="98">
        <v>0.34620000000000001</v>
      </c>
      <c r="Q660" s="98">
        <v>0.69640000000000002</v>
      </c>
      <c r="R660" s="98">
        <v>0.6</v>
      </c>
      <c r="S660" s="98">
        <v>0.61</v>
      </c>
    </row>
    <row r="661" spans="1:19" s="60" customFormat="1">
      <c r="A661" s="59">
        <f t="shared" si="80"/>
        <v>57557</v>
      </c>
      <c r="B661" s="59">
        <f t="shared" si="79"/>
        <v>57921</v>
      </c>
      <c r="C661" s="99">
        <f t="shared" si="82"/>
        <v>0.26800000000000002</v>
      </c>
      <c r="D661" s="99">
        <f t="shared" si="82"/>
        <v>0.28599999999999998</v>
      </c>
      <c r="E661" s="99">
        <f t="shared" si="82"/>
        <v>6.6000000000000003E-2</v>
      </c>
      <c r="F661" s="99">
        <f t="shared" si="82"/>
        <v>2.5999999999999999E-2</v>
      </c>
      <c r="G661" s="104">
        <v>0.26800000000000002</v>
      </c>
      <c r="H661" s="104">
        <v>0.28599999999999998</v>
      </c>
      <c r="I661" s="103">
        <v>6.6000000000000003E-2</v>
      </c>
      <c r="J661" s="104">
        <v>2.5999999999999999E-2</v>
      </c>
      <c r="K661" s="54">
        <f>((1/3)*L650)+((11/3)*L662)</f>
        <v>119580</v>
      </c>
      <c r="L661" s="113"/>
      <c r="M661" s="98">
        <f t="shared" si="76"/>
        <v>0.6</v>
      </c>
      <c r="N661" s="98">
        <v>0.26</v>
      </c>
      <c r="O661" s="98">
        <f t="shared" si="77"/>
        <v>0.61</v>
      </c>
      <c r="P661" s="98">
        <v>0.34620000000000001</v>
      </c>
      <c r="Q661" s="98">
        <v>0.69640000000000002</v>
      </c>
      <c r="R661" s="98">
        <v>0.6</v>
      </c>
      <c r="S661" s="98">
        <v>0.61</v>
      </c>
    </row>
    <row r="662" spans="1:19" s="96" customFormat="1">
      <c r="A662" s="95">
        <f t="shared" si="80"/>
        <v>57588</v>
      </c>
      <c r="B662" s="95">
        <f t="shared" si="79"/>
        <v>57952</v>
      </c>
      <c r="C662" s="105">
        <f t="shared" si="82"/>
        <v>0.26800000000000002</v>
      </c>
      <c r="D662" s="105">
        <f t="shared" si="82"/>
        <v>0.28599999999999998</v>
      </c>
      <c r="E662" s="105">
        <f t="shared" si="82"/>
        <v>6.6000000000000003E-2</v>
      </c>
      <c r="F662" s="105">
        <f t="shared" si="82"/>
        <v>2.5999999999999999E-2</v>
      </c>
      <c r="G662" s="107">
        <v>0.26800000000000002</v>
      </c>
      <c r="H662" s="107">
        <v>0.28599999999999998</v>
      </c>
      <c r="I662" s="106">
        <v>6.6000000000000003E-2</v>
      </c>
      <c r="J662" s="107">
        <v>2.5999999999999999E-2</v>
      </c>
      <c r="K662" s="94">
        <f>(L662*4)</f>
        <v>120057</v>
      </c>
      <c r="L662" s="114">
        <f>L650*1.05</f>
        <v>30014.17</v>
      </c>
      <c r="M662" s="421">
        <f t="shared" si="76"/>
        <v>0.6</v>
      </c>
      <c r="N662" s="421">
        <v>0.26</v>
      </c>
      <c r="O662" s="421">
        <f t="shared" si="77"/>
        <v>0.61</v>
      </c>
      <c r="P662" s="421">
        <v>0.34620000000000001</v>
      </c>
      <c r="Q662" s="421">
        <v>0.69640000000000002</v>
      </c>
      <c r="R662" s="421">
        <v>0.6</v>
      </c>
      <c r="S662" s="421">
        <v>0.61</v>
      </c>
    </row>
    <row r="663" spans="1:19" s="96" customFormat="1">
      <c r="A663" s="95">
        <f t="shared" si="80"/>
        <v>57618</v>
      </c>
      <c r="B663" s="95">
        <f t="shared" si="79"/>
        <v>57982</v>
      </c>
      <c r="C663" s="105">
        <f t="shared" si="82"/>
        <v>0.26800000000000002</v>
      </c>
      <c r="D663" s="105">
        <f t="shared" si="82"/>
        <v>0.28599999999999998</v>
      </c>
      <c r="E663" s="105">
        <f t="shared" si="82"/>
        <v>6.6000000000000003E-2</v>
      </c>
      <c r="F663" s="105">
        <f t="shared" si="82"/>
        <v>2.5999999999999999E-2</v>
      </c>
      <c r="G663" s="107">
        <v>0.26800000000000002</v>
      </c>
      <c r="H663" s="107">
        <v>0.28599999999999998</v>
      </c>
      <c r="I663" s="106">
        <v>6.6000000000000003E-2</v>
      </c>
      <c r="J663" s="107">
        <v>2.5999999999999999E-2</v>
      </c>
      <c r="K663" s="94">
        <f>((11/3)*L662)+((1/3)*L674)</f>
        <v>120557</v>
      </c>
      <c r="L663" s="114"/>
      <c r="M663" s="421">
        <f t="shared" si="76"/>
        <v>0.6</v>
      </c>
      <c r="N663" s="421">
        <v>0.26</v>
      </c>
      <c r="O663" s="421">
        <f t="shared" si="77"/>
        <v>0.61</v>
      </c>
      <c r="P663" s="421">
        <v>0.34620000000000001</v>
      </c>
      <c r="Q663" s="421">
        <v>0.69640000000000002</v>
      </c>
      <c r="R663" s="421">
        <v>0.6</v>
      </c>
      <c r="S663" s="421">
        <v>0.61</v>
      </c>
    </row>
    <row r="664" spans="1:19" s="96" customFormat="1">
      <c r="A664" s="95">
        <f t="shared" si="80"/>
        <v>57649</v>
      </c>
      <c r="B664" s="95">
        <f t="shared" si="79"/>
        <v>58013</v>
      </c>
      <c r="C664" s="105">
        <f t="shared" si="82"/>
        <v>0.26800000000000002</v>
      </c>
      <c r="D664" s="105">
        <f t="shared" si="82"/>
        <v>0.28599999999999998</v>
      </c>
      <c r="E664" s="105">
        <f t="shared" si="82"/>
        <v>6.6000000000000003E-2</v>
      </c>
      <c r="F664" s="105">
        <f t="shared" si="82"/>
        <v>2.5999999999999999E-2</v>
      </c>
      <c r="G664" s="107">
        <v>0.26800000000000002</v>
      </c>
      <c r="H664" s="107">
        <v>0.28599999999999998</v>
      </c>
      <c r="I664" s="106">
        <v>6.6000000000000003E-2</v>
      </c>
      <c r="J664" s="107">
        <v>2.5999999999999999E-2</v>
      </c>
      <c r="K664" s="94">
        <f>((10/3)*L662)+((2/3)*L674)</f>
        <v>121057</v>
      </c>
      <c r="L664" s="114"/>
      <c r="M664" s="421">
        <f t="shared" si="76"/>
        <v>0.6</v>
      </c>
      <c r="N664" s="421">
        <v>0.26</v>
      </c>
      <c r="O664" s="421">
        <f t="shared" si="77"/>
        <v>0.61</v>
      </c>
      <c r="P664" s="421">
        <v>0.34620000000000001</v>
      </c>
      <c r="Q664" s="421">
        <v>0.69640000000000002</v>
      </c>
      <c r="R664" s="421">
        <v>0.6</v>
      </c>
      <c r="S664" s="421">
        <v>0.61</v>
      </c>
    </row>
    <row r="665" spans="1:19" s="96" customFormat="1">
      <c r="A665" s="95">
        <f t="shared" si="80"/>
        <v>57679</v>
      </c>
      <c r="B665" s="95">
        <f t="shared" si="79"/>
        <v>58043</v>
      </c>
      <c r="C665" s="105">
        <f t="shared" si="82"/>
        <v>0.26800000000000002</v>
      </c>
      <c r="D665" s="105">
        <f t="shared" si="82"/>
        <v>0.28599999999999998</v>
      </c>
      <c r="E665" s="105">
        <f t="shared" si="82"/>
        <v>6.6000000000000003E-2</v>
      </c>
      <c r="F665" s="105">
        <f t="shared" si="82"/>
        <v>2.5999999999999999E-2</v>
      </c>
      <c r="G665" s="107">
        <v>0.26800000000000002</v>
      </c>
      <c r="H665" s="107">
        <v>0.28599999999999998</v>
      </c>
      <c r="I665" s="106">
        <v>6.6000000000000003E-2</v>
      </c>
      <c r="J665" s="107">
        <v>2.5999999999999999E-2</v>
      </c>
      <c r="K665" s="94">
        <f>((9/3)*L662)+((3/3)*L674)</f>
        <v>121557</v>
      </c>
      <c r="L665" s="114"/>
      <c r="M665" s="421">
        <f t="shared" si="76"/>
        <v>0.6</v>
      </c>
      <c r="N665" s="421">
        <v>0.26</v>
      </c>
      <c r="O665" s="421">
        <f t="shared" si="77"/>
        <v>0.61</v>
      </c>
      <c r="P665" s="421">
        <v>0.34620000000000001</v>
      </c>
      <c r="Q665" s="421">
        <v>0.69640000000000002</v>
      </c>
      <c r="R665" s="421">
        <v>0.6</v>
      </c>
      <c r="S665" s="421">
        <v>0.61</v>
      </c>
    </row>
    <row r="666" spans="1:19" s="96" customFormat="1">
      <c r="A666" s="95">
        <f t="shared" si="80"/>
        <v>57710</v>
      </c>
      <c r="B666" s="95">
        <f t="shared" si="79"/>
        <v>58074</v>
      </c>
      <c r="C666" s="105">
        <f t="shared" si="82"/>
        <v>0.26800000000000002</v>
      </c>
      <c r="D666" s="105">
        <f t="shared" si="82"/>
        <v>0.28599999999999998</v>
      </c>
      <c r="E666" s="105">
        <f t="shared" si="82"/>
        <v>6.6000000000000003E-2</v>
      </c>
      <c r="F666" s="105">
        <f t="shared" si="82"/>
        <v>2.5999999999999999E-2</v>
      </c>
      <c r="G666" s="107">
        <v>0.26800000000000002</v>
      </c>
      <c r="H666" s="107">
        <v>0.28599999999999998</v>
      </c>
      <c r="I666" s="106">
        <v>6.6000000000000003E-2</v>
      </c>
      <c r="J666" s="107">
        <v>2.5999999999999999E-2</v>
      </c>
      <c r="K666" s="94">
        <f>((8/3)*L662)+((4/3)*L674)</f>
        <v>122058</v>
      </c>
      <c r="L666" s="114"/>
      <c r="M666" s="421">
        <f t="shared" si="76"/>
        <v>0.6</v>
      </c>
      <c r="N666" s="421">
        <v>0.26</v>
      </c>
      <c r="O666" s="421">
        <f t="shared" si="77"/>
        <v>0.61</v>
      </c>
      <c r="P666" s="421">
        <v>0.34620000000000001</v>
      </c>
      <c r="Q666" s="421">
        <v>0.69640000000000002</v>
      </c>
      <c r="R666" s="421">
        <v>0.6</v>
      </c>
      <c r="S666" s="421">
        <v>0.61</v>
      </c>
    </row>
    <row r="667" spans="1:19" s="96" customFormat="1">
      <c r="A667" s="95">
        <f t="shared" si="80"/>
        <v>57741</v>
      </c>
      <c r="B667" s="95">
        <f t="shared" si="79"/>
        <v>58105</v>
      </c>
      <c r="C667" s="105">
        <f t="shared" si="82"/>
        <v>0.26800000000000002</v>
      </c>
      <c r="D667" s="105">
        <f t="shared" si="82"/>
        <v>0.28599999999999998</v>
      </c>
      <c r="E667" s="105">
        <f t="shared" si="82"/>
        <v>6.6000000000000003E-2</v>
      </c>
      <c r="F667" s="105">
        <f t="shared" si="82"/>
        <v>2.5999999999999999E-2</v>
      </c>
      <c r="G667" s="107">
        <v>0.26800000000000002</v>
      </c>
      <c r="H667" s="107">
        <v>0.28599999999999998</v>
      </c>
      <c r="I667" s="106">
        <v>6.6000000000000003E-2</v>
      </c>
      <c r="J667" s="107">
        <v>2.5999999999999999E-2</v>
      </c>
      <c r="K667" s="94">
        <f>((7/3)*L662)+((5/3)*L674)</f>
        <v>122558</v>
      </c>
      <c r="L667" s="114"/>
      <c r="M667" s="421">
        <f t="shared" si="76"/>
        <v>0.6</v>
      </c>
      <c r="N667" s="421">
        <v>0.26</v>
      </c>
      <c r="O667" s="421">
        <f t="shared" si="77"/>
        <v>0.61</v>
      </c>
      <c r="P667" s="421">
        <v>0.34620000000000001</v>
      </c>
      <c r="Q667" s="421">
        <v>0.69640000000000002</v>
      </c>
      <c r="R667" s="421">
        <v>0.6</v>
      </c>
      <c r="S667" s="421">
        <v>0.61</v>
      </c>
    </row>
    <row r="668" spans="1:19" s="96" customFormat="1">
      <c r="A668" s="95">
        <f t="shared" si="80"/>
        <v>57769</v>
      </c>
      <c r="B668" s="95">
        <f t="shared" si="79"/>
        <v>58133</v>
      </c>
      <c r="C668" s="105">
        <f t="shared" si="82"/>
        <v>0.26800000000000002</v>
      </c>
      <c r="D668" s="105">
        <f t="shared" si="82"/>
        <v>0.28599999999999998</v>
      </c>
      <c r="E668" s="105">
        <f t="shared" si="82"/>
        <v>6.6000000000000003E-2</v>
      </c>
      <c r="F668" s="105">
        <f t="shared" si="82"/>
        <v>2.5999999999999999E-2</v>
      </c>
      <c r="G668" s="107">
        <v>0.26800000000000002</v>
      </c>
      <c r="H668" s="107">
        <v>0.28599999999999998</v>
      </c>
      <c r="I668" s="106">
        <v>6.6000000000000003E-2</v>
      </c>
      <c r="J668" s="107">
        <v>2.5999999999999999E-2</v>
      </c>
      <c r="K668" s="94">
        <f>((6/3)*L662)+((6/3)*L674)</f>
        <v>123058</v>
      </c>
      <c r="L668" s="114"/>
      <c r="M668" s="421">
        <f t="shared" si="76"/>
        <v>0.6</v>
      </c>
      <c r="N668" s="421">
        <v>0.26</v>
      </c>
      <c r="O668" s="421">
        <f t="shared" si="77"/>
        <v>0.61</v>
      </c>
      <c r="P668" s="421">
        <v>0.34620000000000001</v>
      </c>
      <c r="Q668" s="421">
        <v>0.69640000000000002</v>
      </c>
      <c r="R668" s="421">
        <v>0.6</v>
      </c>
      <c r="S668" s="421">
        <v>0.61</v>
      </c>
    </row>
    <row r="669" spans="1:19" s="96" customFormat="1">
      <c r="A669" s="95">
        <f t="shared" si="80"/>
        <v>57800</v>
      </c>
      <c r="B669" s="95">
        <f t="shared" si="79"/>
        <v>58164</v>
      </c>
      <c r="C669" s="105">
        <f t="shared" si="82"/>
        <v>0.26800000000000002</v>
      </c>
      <c r="D669" s="105">
        <f t="shared" si="82"/>
        <v>0.28599999999999998</v>
      </c>
      <c r="E669" s="105">
        <f t="shared" si="82"/>
        <v>6.6000000000000003E-2</v>
      </c>
      <c r="F669" s="105">
        <f t="shared" si="82"/>
        <v>2.5999999999999999E-2</v>
      </c>
      <c r="G669" s="107">
        <v>0.26800000000000002</v>
      </c>
      <c r="H669" s="107">
        <v>0.28599999999999998</v>
      </c>
      <c r="I669" s="106">
        <v>6.6000000000000003E-2</v>
      </c>
      <c r="J669" s="107">
        <v>2.5999999999999999E-2</v>
      </c>
      <c r="K669" s="94">
        <f>((5/3)*L662)+((7/3)*L674)</f>
        <v>123558</v>
      </c>
      <c r="L669" s="114"/>
      <c r="M669" s="421">
        <f t="shared" si="76"/>
        <v>0.6</v>
      </c>
      <c r="N669" s="421">
        <v>0.26</v>
      </c>
      <c r="O669" s="421">
        <f t="shared" si="77"/>
        <v>0.61</v>
      </c>
      <c r="P669" s="421">
        <v>0.34620000000000001</v>
      </c>
      <c r="Q669" s="421">
        <v>0.69640000000000002</v>
      </c>
      <c r="R669" s="421">
        <v>0.6</v>
      </c>
      <c r="S669" s="421">
        <v>0.61</v>
      </c>
    </row>
    <row r="670" spans="1:19" s="96" customFormat="1">
      <c r="A670" s="95">
        <f t="shared" si="80"/>
        <v>57830</v>
      </c>
      <c r="B670" s="95">
        <f t="shared" si="79"/>
        <v>58194</v>
      </c>
      <c r="C670" s="105">
        <f t="shared" si="82"/>
        <v>0.26800000000000002</v>
      </c>
      <c r="D670" s="105">
        <f t="shared" si="82"/>
        <v>0.28599999999999998</v>
      </c>
      <c r="E670" s="105">
        <f t="shared" si="82"/>
        <v>6.6000000000000003E-2</v>
      </c>
      <c r="F670" s="105">
        <f t="shared" si="82"/>
        <v>2.5999999999999999E-2</v>
      </c>
      <c r="G670" s="107">
        <v>0.26800000000000002</v>
      </c>
      <c r="H670" s="107">
        <v>0.28599999999999998</v>
      </c>
      <c r="I670" s="106">
        <v>6.6000000000000003E-2</v>
      </c>
      <c r="J670" s="107">
        <v>2.5999999999999999E-2</v>
      </c>
      <c r="K670" s="94">
        <f>((4/3)*L662)+((8/3)*L674)</f>
        <v>124059</v>
      </c>
      <c r="L670" s="114"/>
      <c r="M670" s="421">
        <f t="shared" si="76"/>
        <v>0.6</v>
      </c>
      <c r="N670" s="421">
        <v>0.26</v>
      </c>
      <c r="O670" s="421">
        <f t="shared" si="77"/>
        <v>0.61</v>
      </c>
      <c r="P670" s="421">
        <v>0.34620000000000001</v>
      </c>
      <c r="Q670" s="421">
        <v>0.69640000000000002</v>
      </c>
      <c r="R670" s="421">
        <v>0.6</v>
      </c>
      <c r="S670" s="421">
        <v>0.61</v>
      </c>
    </row>
    <row r="671" spans="1:19" s="96" customFormat="1">
      <c r="A671" s="95">
        <f t="shared" si="80"/>
        <v>57861</v>
      </c>
      <c r="B671" s="95">
        <f t="shared" si="79"/>
        <v>58225</v>
      </c>
      <c r="C671" s="105">
        <f t="shared" si="82"/>
        <v>0.26800000000000002</v>
      </c>
      <c r="D671" s="105">
        <f t="shared" si="82"/>
        <v>0.28599999999999998</v>
      </c>
      <c r="E671" s="105">
        <f t="shared" si="82"/>
        <v>6.6000000000000003E-2</v>
      </c>
      <c r="F671" s="105">
        <f t="shared" si="82"/>
        <v>2.5999999999999999E-2</v>
      </c>
      <c r="G671" s="107">
        <v>0.26800000000000002</v>
      </c>
      <c r="H671" s="107">
        <v>0.28599999999999998</v>
      </c>
      <c r="I671" s="106">
        <v>6.6000000000000003E-2</v>
      </c>
      <c r="J671" s="107">
        <v>2.5999999999999999E-2</v>
      </c>
      <c r="K671" s="94">
        <f>((3/3)*L662)+((9/3)*L674)</f>
        <v>124559</v>
      </c>
      <c r="L671" s="114"/>
      <c r="M671" s="421">
        <f t="shared" si="76"/>
        <v>0.6</v>
      </c>
      <c r="N671" s="421">
        <v>0.26</v>
      </c>
      <c r="O671" s="421">
        <f t="shared" si="77"/>
        <v>0.61</v>
      </c>
      <c r="P671" s="421">
        <v>0.34620000000000001</v>
      </c>
      <c r="Q671" s="421">
        <v>0.69640000000000002</v>
      </c>
      <c r="R671" s="421">
        <v>0.6</v>
      </c>
      <c r="S671" s="421">
        <v>0.61</v>
      </c>
    </row>
    <row r="672" spans="1:19" s="96" customFormat="1">
      <c r="A672" s="95">
        <f t="shared" si="80"/>
        <v>57891</v>
      </c>
      <c r="B672" s="95">
        <f t="shared" si="79"/>
        <v>58255</v>
      </c>
      <c r="C672" s="105">
        <f t="shared" si="82"/>
        <v>0.26800000000000002</v>
      </c>
      <c r="D672" s="105">
        <f t="shared" si="82"/>
        <v>0.28599999999999998</v>
      </c>
      <c r="E672" s="105">
        <f t="shared" si="82"/>
        <v>6.6000000000000003E-2</v>
      </c>
      <c r="F672" s="105">
        <f t="shared" si="82"/>
        <v>2.5999999999999999E-2</v>
      </c>
      <c r="G672" s="107">
        <v>0.26800000000000002</v>
      </c>
      <c r="H672" s="107">
        <v>0.28599999999999998</v>
      </c>
      <c r="I672" s="106">
        <v>6.6000000000000003E-2</v>
      </c>
      <c r="J672" s="107">
        <v>2.5999999999999999E-2</v>
      </c>
      <c r="K672" s="94">
        <f>((2/3)*L662)+((10/3)*L674)</f>
        <v>125059</v>
      </c>
      <c r="L672" s="114"/>
      <c r="M672" s="421">
        <f t="shared" si="76"/>
        <v>0.6</v>
      </c>
      <c r="N672" s="421">
        <v>0.26</v>
      </c>
      <c r="O672" s="421">
        <f t="shared" si="77"/>
        <v>0.61</v>
      </c>
      <c r="P672" s="421">
        <v>0.34620000000000001</v>
      </c>
      <c r="Q672" s="421">
        <v>0.69640000000000002</v>
      </c>
      <c r="R672" s="421">
        <v>0.6</v>
      </c>
      <c r="S672" s="421">
        <v>0.61</v>
      </c>
    </row>
    <row r="673" spans="1:19" s="96" customFormat="1">
      <c r="A673" s="95">
        <f t="shared" si="80"/>
        <v>57922</v>
      </c>
      <c r="B673" s="95">
        <f t="shared" si="79"/>
        <v>58286</v>
      </c>
      <c r="C673" s="105">
        <f t="shared" si="82"/>
        <v>0.26800000000000002</v>
      </c>
      <c r="D673" s="105">
        <f t="shared" si="82"/>
        <v>0.28599999999999998</v>
      </c>
      <c r="E673" s="105">
        <f t="shared" si="82"/>
        <v>6.6000000000000003E-2</v>
      </c>
      <c r="F673" s="105">
        <f t="shared" si="82"/>
        <v>2.5999999999999999E-2</v>
      </c>
      <c r="G673" s="107">
        <v>0.26800000000000002</v>
      </c>
      <c r="H673" s="107">
        <v>0.28599999999999998</v>
      </c>
      <c r="I673" s="106">
        <v>6.6000000000000003E-2</v>
      </c>
      <c r="J673" s="107">
        <v>2.5999999999999999E-2</v>
      </c>
      <c r="K673" s="94">
        <f>((1/3)*L662)+((11/3)*L674)</f>
        <v>125559</v>
      </c>
      <c r="L673" s="114"/>
      <c r="M673" s="421">
        <f t="shared" si="76"/>
        <v>0.6</v>
      </c>
      <c r="N673" s="421">
        <v>0.26</v>
      </c>
      <c r="O673" s="421">
        <f t="shared" si="77"/>
        <v>0.61</v>
      </c>
      <c r="P673" s="421">
        <v>0.34620000000000001</v>
      </c>
      <c r="Q673" s="421">
        <v>0.69640000000000002</v>
      </c>
      <c r="R673" s="421">
        <v>0.6</v>
      </c>
      <c r="S673" s="421">
        <v>0.61</v>
      </c>
    </row>
    <row r="674" spans="1:19" s="60" customFormat="1">
      <c r="A674" s="59">
        <f t="shared" si="80"/>
        <v>57953</v>
      </c>
      <c r="B674" s="59">
        <f t="shared" si="79"/>
        <v>58317</v>
      </c>
      <c r="C674" s="102">
        <f t="shared" si="82"/>
        <v>0.26800000000000002</v>
      </c>
      <c r="D674" s="102">
        <f t="shared" si="82"/>
        <v>0.28599999999999998</v>
      </c>
      <c r="E674" s="102">
        <f t="shared" si="82"/>
        <v>6.6000000000000003E-2</v>
      </c>
      <c r="F674" s="102">
        <f t="shared" si="82"/>
        <v>2.5999999999999999E-2</v>
      </c>
      <c r="G674" s="104">
        <v>0.26800000000000002</v>
      </c>
      <c r="H674" s="104">
        <v>0.28599999999999998</v>
      </c>
      <c r="I674" s="103">
        <v>6.6000000000000003E-2</v>
      </c>
      <c r="J674" s="104">
        <v>2.5999999999999999E-2</v>
      </c>
      <c r="K674" s="54">
        <f>(L674*4)</f>
        <v>126060</v>
      </c>
      <c r="L674" s="113">
        <f>L662*1.05</f>
        <v>31514.880000000001</v>
      </c>
      <c r="M674" s="98">
        <f t="shared" si="76"/>
        <v>0.6</v>
      </c>
      <c r="N674" s="98">
        <v>0.26</v>
      </c>
      <c r="O674" s="98">
        <f t="shared" si="77"/>
        <v>0.61</v>
      </c>
      <c r="P674" s="98">
        <v>0.34620000000000001</v>
      </c>
      <c r="Q674" s="98">
        <v>0.69640000000000002</v>
      </c>
      <c r="R674" s="98">
        <v>0.6</v>
      </c>
      <c r="S674" s="98">
        <v>0.61</v>
      </c>
    </row>
    <row r="675" spans="1:19" s="60" customFormat="1">
      <c r="A675" s="59">
        <f t="shared" si="80"/>
        <v>57983</v>
      </c>
      <c r="B675" s="59">
        <f t="shared" si="79"/>
        <v>58347</v>
      </c>
      <c r="C675" s="102">
        <f t="shared" ref="C675:F690" si="83">AVERAGE(G675:G686)</f>
        <v>0.26800000000000002</v>
      </c>
      <c r="D675" s="102">
        <f t="shared" si="83"/>
        <v>0.28599999999999998</v>
      </c>
      <c r="E675" s="102">
        <f t="shared" si="83"/>
        <v>6.6000000000000003E-2</v>
      </c>
      <c r="F675" s="102">
        <f t="shared" si="83"/>
        <v>2.5999999999999999E-2</v>
      </c>
      <c r="G675" s="104">
        <v>0.26800000000000002</v>
      </c>
      <c r="H675" s="104">
        <v>0.28599999999999998</v>
      </c>
      <c r="I675" s="103">
        <v>6.6000000000000003E-2</v>
      </c>
      <c r="J675" s="104">
        <v>2.5999999999999999E-2</v>
      </c>
      <c r="K675" s="54">
        <f>((11/3)*L674)+((1/3)*L686)</f>
        <v>126585</v>
      </c>
      <c r="L675" s="113"/>
      <c r="M675" s="98">
        <f t="shared" si="76"/>
        <v>0.6</v>
      </c>
      <c r="N675" s="98">
        <v>0.26</v>
      </c>
      <c r="O675" s="98">
        <f t="shared" si="77"/>
        <v>0.61</v>
      </c>
      <c r="P675" s="98">
        <v>0.34620000000000001</v>
      </c>
      <c r="Q675" s="98">
        <v>0.69640000000000002</v>
      </c>
      <c r="R675" s="98">
        <v>0.6</v>
      </c>
      <c r="S675" s="98">
        <v>0.61</v>
      </c>
    </row>
    <row r="676" spans="1:19" s="60" customFormat="1">
      <c r="A676" s="59">
        <f t="shared" si="80"/>
        <v>58014</v>
      </c>
      <c r="B676" s="59">
        <f t="shared" si="79"/>
        <v>58378</v>
      </c>
      <c r="C676" s="102">
        <f t="shared" si="83"/>
        <v>0.26800000000000002</v>
      </c>
      <c r="D676" s="102">
        <f t="shared" si="83"/>
        <v>0.28599999999999998</v>
      </c>
      <c r="E676" s="102">
        <f t="shared" si="83"/>
        <v>6.6000000000000003E-2</v>
      </c>
      <c r="F676" s="102">
        <f t="shared" si="83"/>
        <v>2.5999999999999999E-2</v>
      </c>
      <c r="G676" s="104">
        <v>0.26800000000000002</v>
      </c>
      <c r="H676" s="104">
        <v>0.28599999999999998</v>
      </c>
      <c r="I676" s="103">
        <v>6.6000000000000003E-2</v>
      </c>
      <c r="J676" s="104">
        <v>2.5999999999999999E-2</v>
      </c>
      <c r="K676" s="54">
        <f>((10/3)*L674)+((2/3)*L686)</f>
        <v>127110</v>
      </c>
      <c r="L676" s="113"/>
      <c r="M676" s="98">
        <f t="shared" si="76"/>
        <v>0.6</v>
      </c>
      <c r="N676" s="98">
        <v>0.26</v>
      </c>
      <c r="O676" s="98">
        <f t="shared" si="77"/>
        <v>0.61</v>
      </c>
      <c r="P676" s="98">
        <v>0.34620000000000001</v>
      </c>
      <c r="Q676" s="98">
        <v>0.69640000000000002</v>
      </c>
      <c r="R676" s="98">
        <v>0.6</v>
      </c>
      <c r="S676" s="98">
        <v>0.61</v>
      </c>
    </row>
    <row r="677" spans="1:19" s="60" customFormat="1">
      <c r="A677" s="59">
        <f t="shared" si="80"/>
        <v>58044</v>
      </c>
      <c r="B677" s="59">
        <f t="shared" si="79"/>
        <v>58408</v>
      </c>
      <c r="C677" s="102">
        <f t="shared" si="83"/>
        <v>0.26800000000000002</v>
      </c>
      <c r="D677" s="102">
        <f t="shared" si="83"/>
        <v>0.28599999999999998</v>
      </c>
      <c r="E677" s="102">
        <f t="shared" si="83"/>
        <v>6.6000000000000003E-2</v>
      </c>
      <c r="F677" s="102">
        <f t="shared" si="83"/>
        <v>2.5999999999999999E-2</v>
      </c>
      <c r="G677" s="104">
        <v>0.26800000000000002</v>
      </c>
      <c r="H677" s="104">
        <v>0.28599999999999998</v>
      </c>
      <c r="I677" s="103">
        <v>6.6000000000000003E-2</v>
      </c>
      <c r="J677" s="104">
        <v>2.5999999999999999E-2</v>
      </c>
      <c r="K677" s="54">
        <f>((9/3)*L674)+((3/3)*L686)</f>
        <v>127635</v>
      </c>
      <c r="L677" s="113"/>
      <c r="M677" s="98">
        <f t="shared" si="76"/>
        <v>0.6</v>
      </c>
      <c r="N677" s="98">
        <v>0.26</v>
      </c>
      <c r="O677" s="98">
        <f t="shared" si="77"/>
        <v>0.61</v>
      </c>
      <c r="P677" s="98">
        <v>0.34620000000000001</v>
      </c>
      <c r="Q677" s="98">
        <v>0.69640000000000002</v>
      </c>
      <c r="R677" s="98">
        <v>0.6</v>
      </c>
      <c r="S677" s="98">
        <v>0.61</v>
      </c>
    </row>
    <row r="678" spans="1:19" s="60" customFormat="1">
      <c r="A678" s="59">
        <f t="shared" si="80"/>
        <v>58075</v>
      </c>
      <c r="B678" s="59">
        <f t="shared" si="79"/>
        <v>58439</v>
      </c>
      <c r="C678" s="102">
        <f t="shared" si="83"/>
        <v>0.26800000000000002</v>
      </c>
      <c r="D678" s="102">
        <f t="shared" si="83"/>
        <v>0.28599999999999998</v>
      </c>
      <c r="E678" s="102">
        <f t="shared" si="83"/>
        <v>6.6000000000000003E-2</v>
      </c>
      <c r="F678" s="102">
        <f t="shared" si="83"/>
        <v>2.5999999999999999E-2</v>
      </c>
      <c r="G678" s="104">
        <v>0.26800000000000002</v>
      </c>
      <c r="H678" s="104">
        <v>0.28599999999999998</v>
      </c>
      <c r="I678" s="103">
        <v>6.6000000000000003E-2</v>
      </c>
      <c r="J678" s="104">
        <v>2.5999999999999999E-2</v>
      </c>
      <c r="K678" s="54">
        <f>((8/3)*L674)+((4/3)*L686)</f>
        <v>128161</v>
      </c>
      <c r="L678" s="113"/>
      <c r="M678" s="98">
        <f t="shared" si="76"/>
        <v>0.6</v>
      </c>
      <c r="N678" s="98">
        <v>0.26</v>
      </c>
      <c r="O678" s="98">
        <f t="shared" si="77"/>
        <v>0.61</v>
      </c>
      <c r="P678" s="98">
        <v>0.34620000000000001</v>
      </c>
      <c r="Q678" s="98">
        <v>0.69640000000000002</v>
      </c>
      <c r="R678" s="98">
        <v>0.6</v>
      </c>
      <c r="S678" s="98">
        <v>0.61</v>
      </c>
    </row>
    <row r="679" spans="1:19" s="60" customFormat="1">
      <c r="A679" s="59">
        <f t="shared" si="80"/>
        <v>58106</v>
      </c>
      <c r="B679" s="59">
        <f t="shared" si="79"/>
        <v>58470</v>
      </c>
      <c r="C679" s="102">
        <f t="shared" si="83"/>
        <v>0.26800000000000002</v>
      </c>
      <c r="D679" s="102">
        <f t="shared" si="83"/>
        <v>0.28599999999999998</v>
      </c>
      <c r="E679" s="102">
        <f t="shared" si="83"/>
        <v>6.6000000000000003E-2</v>
      </c>
      <c r="F679" s="102">
        <f t="shared" si="83"/>
        <v>2.5999999999999999E-2</v>
      </c>
      <c r="G679" s="104">
        <v>0.26800000000000002</v>
      </c>
      <c r="H679" s="104">
        <v>0.28599999999999998</v>
      </c>
      <c r="I679" s="103">
        <v>6.6000000000000003E-2</v>
      </c>
      <c r="J679" s="104">
        <v>2.5999999999999999E-2</v>
      </c>
      <c r="K679" s="54">
        <f>((7/3)*L674)+((5/3)*L686)</f>
        <v>128686</v>
      </c>
      <c r="L679" s="113"/>
      <c r="M679" s="98">
        <f t="shared" si="76"/>
        <v>0.6</v>
      </c>
      <c r="N679" s="98">
        <v>0.26</v>
      </c>
      <c r="O679" s="98">
        <f t="shared" si="77"/>
        <v>0.61</v>
      </c>
      <c r="P679" s="98">
        <v>0.34620000000000001</v>
      </c>
      <c r="Q679" s="98">
        <v>0.69640000000000002</v>
      </c>
      <c r="R679" s="98">
        <v>0.6</v>
      </c>
      <c r="S679" s="98">
        <v>0.61</v>
      </c>
    </row>
    <row r="680" spans="1:19" s="60" customFormat="1">
      <c r="A680" s="59">
        <f t="shared" si="80"/>
        <v>58134</v>
      </c>
      <c r="B680" s="59">
        <f t="shared" si="79"/>
        <v>58499</v>
      </c>
      <c r="C680" s="102">
        <f t="shared" si="83"/>
        <v>0.26800000000000002</v>
      </c>
      <c r="D680" s="102">
        <f t="shared" si="83"/>
        <v>0.28599999999999998</v>
      </c>
      <c r="E680" s="102">
        <f t="shared" si="83"/>
        <v>6.6000000000000003E-2</v>
      </c>
      <c r="F680" s="102">
        <f t="shared" si="83"/>
        <v>2.5999999999999999E-2</v>
      </c>
      <c r="G680" s="104">
        <v>0.26800000000000002</v>
      </c>
      <c r="H680" s="104">
        <v>0.28599999999999998</v>
      </c>
      <c r="I680" s="103">
        <v>6.6000000000000003E-2</v>
      </c>
      <c r="J680" s="104">
        <v>2.5999999999999999E-2</v>
      </c>
      <c r="K680" s="54">
        <f>((6/3)*L674)+((6/3)*L686)</f>
        <v>129211</v>
      </c>
      <c r="L680" s="113"/>
      <c r="M680" s="98">
        <f t="shared" si="76"/>
        <v>0.6</v>
      </c>
      <c r="N680" s="98">
        <v>0.26</v>
      </c>
      <c r="O680" s="98">
        <f t="shared" si="77"/>
        <v>0.61</v>
      </c>
      <c r="P680" s="98">
        <v>0.34620000000000001</v>
      </c>
      <c r="Q680" s="98">
        <v>0.69640000000000002</v>
      </c>
      <c r="R680" s="98">
        <v>0.6</v>
      </c>
      <c r="S680" s="98">
        <v>0.61</v>
      </c>
    </row>
    <row r="681" spans="1:19" s="60" customFormat="1">
      <c r="A681" s="59">
        <f t="shared" si="80"/>
        <v>58165</v>
      </c>
      <c r="B681" s="59">
        <f t="shared" si="79"/>
        <v>58530</v>
      </c>
      <c r="C681" s="102">
        <f t="shared" si="83"/>
        <v>0.26800000000000002</v>
      </c>
      <c r="D681" s="102">
        <f t="shared" si="83"/>
        <v>0.28599999999999998</v>
      </c>
      <c r="E681" s="102">
        <f t="shared" si="83"/>
        <v>6.6000000000000003E-2</v>
      </c>
      <c r="F681" s="102">
        <f t="shared" si="83"/>
        <v>2.5999999999999999E-2</v>
      </c>
      <c r="G681" s="104">
        <v>0.26800000000000002</v>
      </c>
      <c r="H681" s="104">
        <v>0.28599999999999998</v>
      </c>
      <c r="I681" s="103">
        <v>6.6000000000000003E-2</v>
      </c>
      <c r="J681" s="104">
        <v>2.5999999999999999E-2</v>
      </c>
      <c r="K681" s="54">
        <f>((5/3)*L674)+((7/3)*L686)</f>
        <v>129736</v>
      </c>
      <c r="L681" s="113"/>
      <c r="M681" s="98">
        <f t="shared" si="76"/>
        <v>0.6</v>
      </c>
      <c r="N681" s="98">
        <v>0.26</v>
      </c>
      <c r="O681" s="98">
        <f t="shared" si="77"/>
        <v>0.61</v>
      </c>
      <c r="P681" s="98">
        <v>0.34620000000000001</v>
      </c>
      <c r="Q681" s="98">
        <v>0.69640000000000002</v>
      </c>
      <c r="R681" s="98">
        <v>0.6</v>
      </c>
      <c r="S681" s="98">
        <v>0.61</v>
      </c>
    </row>
    <row r="682" spans="1:19" s="60" customFormat="1">
      <c r="A682" s="59">
        <f t="shared" si="80"/>
        <v>58195</v>
      </c>
      <c r="B682" s="59">
        <f t="shared" si="79"/>
        <v>58560</v>
      </c>
      <c r="C682" s="102">
        <f t="shared" si="83"/>
        <v>0.26800000000000002</v>
      </c>
      <c r="D682" s="102">
        <f t="shared" si="83"/>
        <v>0.28599999999999998</v>
      </c>
      <c r="E682" s="102">
        <f t="shared" si="83"/>
        <v>6.6000000000000003E-2</v>
      </c>
      <c r="F682" s="102">
        <f t="shared" si="83"/>
        <v>2.5999999999999999E-2</v>
      </c>
      <c r="G682" s="104">
        <v>0.26800000000000002</v>
      </c>
      <c r="H682" s="104">
        <v>0.28599999999999998</v>
      </c>
      <c r="I682" s="103">
        <v>6.6000000000000003E-2</v>
      </c>
      <c r="J682" s="104">
        <v>2.5999999999999999E-2</v>
      </c>
      <c r="K682" s="54">
        <f>((4/3)*L674)+((8/3)*L686)</f>
        <v>130261</v>
      </c>
      <c r="L682" s="113"/>
      <c r="M682" s="98">
        <f t="shared" si="76"/>
        <v>0.6</v>
      </c>
      <c r="N682" s="98">
        <v>0.26</v>
      </c>
      <c r="O682" s="98">
        <f t="shared" si="77"/>
        <v>0.61</v>
      </c>
      <c r="P682" s="98">
        <v>0.34620000000000001</v>
      </c>
      <c r="Q682" s="98">
        <v>0.69640000000000002</v>
      </c>
      <c r="R682" s="98">
        <v>0.6</v>
      </c>
      <c r="S682" s="98">
        <v>0.61</v>
      </c>
    </row>
    <row r="683" spans="1:19" s="60" customFormat="1">
      <c r="A683" s="59">
        <f t="shared" si="80"/>
        <v>58226</v>
      </c>
      <c r="B683" s="59">
        <f t="shared" si="79"/>
        <v>58591</v>
      </c>
      <c r="C683" s="102">
        <f t="shared" si="83"/>
        <v>0.26800000000000002</v>
      </c>
      <c r="D683" s="102">
        <f t="shared" si="83"/>
        <v>0.28599999999999998</v>
      </c>
      <c r="E683" s="102">
        <f t="shared" si="83"/>
        <v>6.6000000000000003E-2</v>
      </c>
      <c r="F683" s="102">
        <f t="shared" si="83"/>
        <v>2.5999999999999999E-2</v>
      </c>
      <c r="G683" s="104">
        <v>0.26800000000000002</v>
      </c>
      <c r="H683" s="104">
        <v>0.28599999999999998</v>
      </c>
      <c r="I683" s="103">
        <v>6.6000000000000003E-2</v>
      </c>
      <c r="J683" s="104">
        <v>2.5999999999999999E-2</v>
      </c>
      <c r="K683" s="54">
        <f>((3/3)*L674)+((9/3)*L686)</f>
        <v>130787</v>
      </c>
      <c r="L683" s="113"/>
      <c r="M683" s="98">
        <f t="shared" si="76"/>
        <v>0.6</v>
      </c>
      <c r="N683" s="98">
        <v>0.26</v>
      </c>
      <c r="O683" s="98">
        <f t="shared" si="77"/>
        <v>0.61</v>
      </c>
      <c r="P683" s="98">
        <v>0.34620000000000001</v>
      </c>
      <c r="Q683" s="98">
        <v>0.69640000000000002</v>
      </c>
      <c r="R683" s="98">
        <v>0.6</v>
      </c>
      <c r="S683" s="98">
        <v>0.61</v>
      </c>
    </row>
    <row r="684" spans="1:19" s="60" customFormat="1">
      <c r="A684" s="59">
        <f t="shared" si="80"/>
        <v>58256</v>
      </c>
      <c r="B684" s="59">
        <f t="shared" si="79"/>
        <v>58621</v>
      </c>
      <c r="C684" s="102">
        <f t="shared" si="83"/>
        <v>0.26800000000000002</v>
      </c>
      <c r="D684" s="102">
        <f t="shared" si="83"/>
        <v>0.28599999999999998</v>
      </c>
      <c r="E684" s="102">
        <f t="shared" si="83"/>
        <v>6.6000000000000003E-2</v>
      </c>
      <c r="F684" s="102">
        <f t="shared" si="83"/>
        <v>2.5999999999999999E-2</v>
      </c>
      <c r="G684" s="104">
        <v>0.26800000000000002</v>
      </c>
      <c r="H684" s="104">
        <v>0.28599999999999998</v>
      </c>
      <c r="I684" s="103">
        <v>6.6000000000000003E-2</v>
      </c>
      <c r="J684" s="104">
        <v>2.5999999999999999E-2</v>
      </c>
      <c r="K684" s="54">
        <f>((2/3)*L674)+((10/3)*L686)</f>
        <v>131312</v>
      </c>
      <c r="L684" s="113"/>
      <c r="M684" s="98">
        <f t="shared" si="76"/>
        <v>0.6</v>
      </c>
      <c r="N684" s="98">
        <v>0.26</v>
      </c>
      <c r="O684" s="98">
        <f t="shared" si="77"/>
        <v>0.61</v>
      </c>
      <c r="P684" s="98">
        <v>0.34620000000000001</v>
      </c>
      <c r="Q684" s="98">
        <v>0.69640000000000002</v>
      </c>
      <c r="R684" s="98">
        <v>0.6</v>
      </c>
      <c r="S684" s="98">
        <v>0.61</v>
      </c>
    </row>
    <row r="685" spans="1:19" s="60" customFormat="1">
      <c r="A685" s="59">
        <f t="shared" si="80"/>
        <v>58287</v>
      </c>
      <c r="B685" s="59">
        <f t="shared" si="79"/>
        <v>58652</v>
      </c>
      <c r="C685" s="99">
        <f t="shared" si="83"/>
        <v>0.26800000000000002</v>
      </c>
      <c r="D685" s="99">
        <f t="shared" si="83"/>
        <v>0.28599999999999998</v>
      </c>
      <c r="E685" s="99">
        <f t="shared" si="83"/>
        <v>6.6000000000000003E-2</v>
      </c>
      <c r="F685" s="99">
        <f t="shared" si="83"/>
        <v>2.5999999999999999E-2</v>
      </c>
      <c r="G685" s="104">
        <v>0.26800000000000002</v>
      </c>
      <c r="H685" s="104">
        <v>0.28599999999999998</v>
      </c>
      <c r="I685" s="103">
        <v>6.6000000000000003E-2</v>
      </c>
      <c r="J685" s="104">
        <v>2.5999999999999999E-2</v>
      </c>
      <c r="K685" s="54">
        <f>((1/3)*L674)+((11/3)*L686)</f>
        <v>131837</v>
      </c>
      <c r="L685" s="113"/>
      <c r="M685" s="98">
        <f t="shared" si="76"/>
        <v>0.6</v>
      </c>
      <c r="N685" s="98">
        <v>0.26</v>
      </c>
      <c r="O685" s="98">
        <f t="shared" si="77"/>
        <v>0.61</v>
      </c>
      <c r="P685" s="98">
        <v>0.34620000000000001</v>
      </c>
      <c r="Q685" s="98">
        <v>0.69640000000000002</v>
      </c>
      <c r="R685" s="98">
        <v>0.6</v>
      </c>
      <c r="S685" s="98">
        <v>0.61</v>
      </c>
    </row>
    <row r="686" spans="1:19" s="96" customFormat="1">
      <c r="A686" s="95">
        <f t="shared" si="80"/>
        <v>58318</v>
      </c>
      <c r="B686" s="95">
        <f t="shared" si="79"/>
        <v>58683</v>
      </c>
      <c r="C686" s="105">
        <f t="shared" si="83"/>
        <v>0.26800000000000002</v>
      </c>
      <c r="D686" s="105">
        <f t="shared" si="83"/>
        <v>0.28599999999999998</v>
      </c>
      <c r="E686" s="105">
        <f t="shared" si="83"/>
        <v>6.6000000000000003E-2</v>
      </c>
      <c r="F686" s="105">
        <f t="shared" si="83"/>
        <v>2.5999999999999999E-2</v>
      </c>
      <c r="G686" s="107">
        <v>0.26800000000000002</v>
      </c>
      <c r="H686" s="107">
        <v>0.28599999999999998</v>
      </c>
      <c r="I686" s="106">
        <v>6.6000000000000003E-2</v>
      </c>
      <c r="J686" s="107">
        <v>2.5999999999999999E-2</v>
      </c>
      <c r="K686" s="94">
        <f>(L686*4)</f>
        <v>132362</v>
      </c>
      <c r="L686" s="114">
        <f>L674*1.05</f>
        <v>33090.620000000003</v>
      </c>
      <c r="M686" s="421">
        <f t="shared" si="76"/>
        <v>0.6</v>
      </c>
      <c r="N686" s="421">
        <v>0.26</v>
      </c>
      <c r="O686" s="421">
        <f t="shared" si="77"/>
        <v>0.61</v>
      </c>
      <c r="P686" s="421">
        <v>0.34620000000000001</v>
      </c>
      <c r="Q686" s="421">
        <v>0.69640000000000002</v>
      </c>
      <c r="R686" s="421">
        <v>0.6</v>
      </c>
      <c r="S686" s="421">
        <v>0.61</v>
      </c>
    </row>
    <row r="687" spans="1:19" s="96" customFormat="1">
      <c r="A687" s="95">
        <f t="shared" si="80"/>
        <v>58348</v>
      </c>
      <c r="B687" s="95">
        <f t="shared" si="79"/>
        <v>58713</v>
      </c>
      <c r="C687" s="105">
        <f t="shared" si="83"/>
        <v>0.26800000000000002</v>
      </c>
      <c r="D687" s="105">
        <f t="shared" si="83"/>
        <v>0.28599999999999998</v>
      </c>
      <c r="E687" s="105">
        <f t="shared" si="83"/>
        <v>6.6000000000000003E-2</v>
      </c>
      <c r="F687" s="105">
        <f t="shared" si="83"/>
        <v>2.5999999999999999E-2</v>
      </c>
      <c r="G687" s="107">
        <v>0.26800000000000002</v>
      </c>
      <c r="H687" s="107">
        <v>0.28599999999999998</v>
      </c>
      <c r="I687" s="106">
        <v>6.6000000000000003E-2</v>
      </c>
      <c r="J687" s="107">
        <v>2.5999999999999999E-2</v>
      </c>
      <c r="K687" s="94">
        <f>((11/3)*L686)+((1/3)*L698)</f>
        <v>132914</v>
      </c>
      <c r="L687" s="114"/>
      <c r="M687" s="421">
        <f t="shared" ref="M687:M750" si="84">AVERAGE(R687:R698)</f>
        <v>0.6</v>
      </c>
      <c r="N687" s="421">
        <v>0.26</v>
      </c>
      <c r="O687" s="421">
        <f t="shared" ref="O687:O750" si="85">AVERAGE(S687:S698)</f>
        <v>0.61</v>
      </c>
      <c r="P687" s="421">
        <v>0.34620000000000001</v>
      </c>
      <c r="Q687" s="421">
        <v>0.69640000000000002</v>
      </c>
      <c r="R687" s="421">
        <v>0.6</v>
      </c>
      <c r="S687" s="421">
        <v>0.61</v>
      </c>
    </row>
    <row r="688" spans="1:19" s="96" customFormat="1">
      <c r="A688" s="95">
        <f t="shared" si="80"/>
        <v>58379</v>
      </c>
      <c r="B688" s="95">
        <f t="shared" si="79"/>
        <v>58744</v>
      </c>
      <c r="C688" s="105">
        <f t="shared" si="83"/>
        <v>0.26800000000000002</v>
      </c>
      <c r="D688" s="105">
        <f t="shared" si="83"/>
        <v>0.28599999999999998</v>
      </c>
      <c r="E688" s="105">
        <f t="shared" si="83"/>
        <v>6.6000000000000003E-2</v>
      </c>
      <c r="F688" s="105">
        <f t="shared" si="83"/>
        <v>2.5999999999999999E-2</v>
      </c>
      <c r="G688" s="107">
        <v>0.26800000000000002</v>
      </c>
      <c r="H688" s="107">
        <v>0.28599999999999998</v>
      </c>
      <c r="I688" s="106">
        <v>6.6000000000000003E-2</v>
      </c>
      <c r="J688" s="107">
        <v>2.5999999999999999E-2</v>
      </c>
      <c r="K688" s="94">
        <f>((10/3)*L686)+((2/3)*L698)</f>
        <v>133466</v>
      </c>
      <c r="L688" s="114"/>
      <c r="M688" s="421">
        <f t="shared" si="84"/>
        <v>0.6</v>
      </c>
      <c r="N688" s="421">
        <v>0.26</v>
      </c>
      <c r="O688" s="421">
        <f t="shared" si="85"/>
        <v>0.61</v>
      </c>
      <c r="P688" s="421">
        <v>0.34620000000000001</v>
      </c>
      <c r="Q688" s="421">
        <v>0.69640000000000002</v>
      </c>
      <c r="R688" s="421">
        <v>0.6</v>
      </c>
      <c r="S688" s="421">
        <v>0.61</v>
      </c>
    </row>
    <row r="689" spans="1:19" s="96" customFormat="1">
      <c r="A689" s="95">
        <f t="shared" si="80"/>
        <v>58409</v>
      </c>
      <c r="B689" s="95">
        <f t="shared" si="79"/>
        <v>58774</v>
      </c>
      <c r="C689" s="105">
        <f t="shared" si="83"/>
        <v>0.26800000000000002</v>
      </c>
      <c r="D689" s="105">
        <f t="shared" si="83"/>
        <v>0.28599999999999998</v>
      </c>
      <c r="E689" s="105">
        <f t="shared" si="83"/>
        <v>6.6000000000000003E-2</v>
      </c>
      <c r="F689" s="105">
        <f t="shared" si="83"/>
        <v>2.5999999999999999E-2</v>
      </c>
      <c r="G689" s="107">
        <v>0.26800000000000002</v>
      </c>
      <c r="H689" s="107">
        <v>0.28599999999999998</v>
      </c>
      <c r="I689" s="106">
        <v>6.6000000000000003E-2</v>
      </c>
      <c r="J689" s="107">
        <v>2.5999999999999999E-2</v>
      </c>
      <c r="K689" s="94">
        <f>((9/3)*L686)+((3/3)*L698)</f>
        <v>134017</v>
      </c>
      <c r="L689" s="114"/>
      <c r="M689" s="421">
        <f t="shared" si="84"/>
        <v>0.6</v>
      </c>
      <c r="N689" s="421">
        <v>0.26</v>
      </c>
      <c r="O689" s="421">
        <f t="shared" si="85"/>
        <v>0.61</v>
      </c>
      <c r="P689" s="421">
        <v>0.34620000000000001</v>
      </c>
      <c r="Q689" s="421">
        <v>0.69640000000000002</v>
      </c>
      <c r="R689" s="421">
        <v>0.6</v>
      </c>
      <c r="S689" s="421">
        <v>0.61</v>
      </c>
    </row>
    <row r="690" spans="1:19" s="96" customFormat="1">
      <c r="A690" s="95">
        <f t="shared" si="80"/>
        <v>58440</v>
      </c>
      <c r="B690" s="95">
        <f t="shared" si="79"/>
        <v>58805</v>
      </c>
      <c r="C690" s="105">
        <f t="shared" si="83"/>
        <v>0.26800000000000002</v>
      </c>
      <c r="D690" s="105">
        <f t="shared" si="83"/>
        <v>0.28599999999999998</v>
      </c>
      <c r="E690" s="105">
        <f t="shared" si="83"/>
        <v>6.6000000000000003E-2</v>
      </c>
      <c r="F690" s="105">
        <f t="shared" si="83"/>
        <v>2.5999999999999999E-2</v>
      </c>
      <c r="G690" s="107">
        <v>0.26800000000000002</v>
      </c>
      <c r="H690" s="107">
        <v>0.28599999999999998</v>
      </c>
      <c r="I690" s="106">
        <v>6.6000000000000003E-2</v>
      </c>
      <c r="J690" s="107">
        <v>2.5999999999999999E-2</v>
      </c>
      <c r="K690" s="94">
        <f>((8/3)*L686)+((4/3)*L698)</f>
        <v>134569</v>
      </c>
      <c r="L690" s="114"/>
      <c r="M690" s="421">
        <f t="shared" si="84"/>
        <v>0.6</v>
      </c>
      <c r="N690" s="421">
        <v>0.26</v>
      </c>
      <c r="O690" s="421">
        <f t="shared" si="85"/>
        <v>0.61</v>
      </c>
      <c r="P690" s="421">
        <v>0.34620000000000001</v>
      </c>
      <c r="Q690" s="421">
        <v>0.69640000000000002</v>
      </c>
      <c r="R690" s="421">
        <v>0.6</v>
      </c>
      <c r="S690" s="421">
        <v>0.61</v>
      </c>
    </row>
    <row r="691" spans="1:19" s="96" customFormat="1">
      <c r="A691" s="95">
        <f t="shared" si="80"/>
        <v>58471</v>
      </c>
      <c r="B691" s="95">
        <f t="shared" si="79"/>
        <v>58836</v>
      </c>
      <c r="C691" s="105">
        <f t="shared" ref="C691:F706" si="86">AVERAGE(G691:G702)</f>
        <v>0.26800000000000002</v>
      </c>
      <c r="D691" s="105">
        <f t="shared" si="86"/>
        <v>0.28599999999999998</v>
      </c>
      <c r="E691" s="105">
        <f t="shared" si="86"/>
        <v>6.6000000000000003E-2</v>
      </c>
      <c r="F691" s="105">
        <f t="shared" si="86"/>
        <v>2.5999999999999999E-2</v>
      </c>
      <c r="G691" s="107">
        <v>0.26800000000000002</v>
      </c>
      <c r="H691" s="107">
        <v>0.28599999999999998</v>
      </c>
      <c r="I691" s="106">
        <v>6.6000000000000003E-2</v>
      </c>
      <c r="J691" s="107">
        <v>2.5999999999999999E-2</v>
      </c>
      <c r="K691" s="94">
        <f>((7/3)*L686)+((5/3)*L698)</f>
        <v>135120</v>
      </c>
      <c r="L691" s="114"/>
      <c r="M691" s="421">
        <f t="shared" si="84"/>
        <v>0.6</v>
      </c>
      <c r="N691" s="421">
        <v>0.26</v>
      </c>
      <c r="O691" s="421">
        <f t="shared" si="85"/>
        <v>0.61</v>
      </c>
      <c r="P691" s="421">
        <v>0.34620000000000001</v>
      </c>
      <c r="Q691" s="421">
        <v>0.69640000000000002</v>
      </c>
      <c r="R691" s="421">
        <v>0.6</v>
      </c>
      <c r="S691" s="421">
        <v>0.61</v>
      </c>
    </row>
    <row r="692" spans="1:19" s="96" customFormat="1">
      <c r="A692" s="95">
        <f t="shared" si="80"/>
        <v>58500</v>
      </c>
      <c r="B692" s="95">
        <f t="shared" si="79"/>
        <v>58864</v>
      </c>
      <c r="C692" s="105">
        <f t="shared" si="86"/>
        <v>0.26800000000000002</v>
      </c>
      <c r="D692" s="105">
        <f t="shared" si="86"/>
        <v>0.28599999999999998</v>
      </c>
      <c r="E692" s="105">
        <f t="shared" si="86"/>
        <v>6.6000000000000003E-2</v>
      </c>
      <c r="F692" s="105">
        <f t="shared" si="86"/>
        <v>2.5999999999999999E-2</v>
      </c>
      <c r="G692" s="107">
        <v>0.26800000000000002</v>
      </c>
      <c r="H692" s="107">
        <v>0.28599999999999998</v>
      </c>
      <c r="I692" s="106">
        <v>6.6000000000000003E-2</v>
      </c>
      <c r="J692" s="107">
        <v>2.5999999999999999E-2</v>
      </c>
      <c r="K692" s="94">
        <f>((6/3)*L686)+((6/3)*L698)</f>
        <v>135672</v>
      </c>
      <c r="L692" s="114"/>
      <c r="M692" s="421">
        <f t="shared" si="84"/>
        <v>0.6</v>
      </c>
      <c r="N692" s="421">
        <v>0.26</v>
      </c>
      <c r="O692" s="421">
        <f t="shared" si="85"/>
        <v>0.61</v>
      </c>
      <c r="P692" s="421">
        <v>0.34620000000000001</v>
      </c>
      <c r="Q692" s="421">
        <v>0.69640000000000002</v>
      </c>
      <c r="R692" s="421">
        <v>0.6</v>
      </c>
      <c r="S692" s="421">
        <v>0.61</v>
      </c>
    </row>
    <row r="693" spans="1:19" s="96" customFormat="1">
      <c r="A693" s="95">
        <f t="shared" si="80"/>
        <v>58531</v>
      </c>
      <c r="B693" s="95">
        <f t="shared" si="79"/>
        <v>58895</v>
      </c>
      <c r="C693" s="105">
        <f t="shared" si="86"/>
        <v>0.26800000000000002</v>
      </c>
      <c r="D693" s="105">
        <f t="shared" si="86"/>
        <v>0.28599999999999998</v>
      </c>
      <c r="E693" s="105">
        <f t="shared" si="86"/>
        <v>6.6000000000000003E-2</v>
      </c>
      <c r="F693" s="105">
        <f t="shared" si="86"/>
        <v>2.5999999999999999E-2</v>
      </c>
      <c r="G693" s="107">
        <v>0.26800000000000002</v>
      </c>
      <c r="H693" s="107">
        <v>0.28599999999999998</v>
      </c>
      <c r="I693" s="106">
        <v>6.6000000000000003E-2</v>
      </c>
      <c r="J693" s="107">
        <v>2.5999999999999999E-2</v>
      </c>
      <c r="K693" s="94">
        <f>((5/3)*L686)+((7/3)*L698)</f>
        <v>136223</v>
      </c>
      <c r="L693" s="114"/>
      <c r="M693" s="421">
        <f t="shared" si="84"/>
        <v>0.6</v>
      </c>
      <c r="N693" s="421">
        <v>0.26</v>
      </c>
      <c r="O693" s="421">
        <f t="shared" si="85"/>
        <v>0.61</v>
      </c>
      <c r="P693" s="421">
        <v>0.34620000000000001</v>
      </c>
      <c r="Q693" s="421">
        <v>0.69640000000000002</v>
      </c>
      <c r="R693" s="421">
        <v>0.6</v>
      </c>
      <c r="S693" s="421">
        <v>0.61</v>
      </c>
    </row>
    <row r="694" spans="1:19" s="96" customFormat="1">
      <c r="A694" s="95">
        <f t="shared" si="80"/>
        <v>58561</v>
      </c>
      <c r="B694" s="95">
        <f t="shared" si="79"/>
        <v>58925</v>
      </c>
      <c r="C694" s="105">
        <f t="shared" si="86"/>
        <v>0.26800000000000002</v>
      </c>
      <c r="D694" s="105">
        <f t="shared" si="86"/>
        <v>0.28599999999999998</v>
      </c>
      <c r="E694" s="105">
        <f t="shared" si="86"/>
        <v>6.6000000000000003E-2</v>
      </c>
      <c r="F694" s="105">
        <f t="shared" si="86"/>
        <v>2.5999999999999999E-2</v>
      </c>
      <c r="G694" s="107">
        <v>0.26800000000000002</v>
      </c>
      <c r="H694" s="107">
        <v>0.28599999999999998</v>
      </c>
      <c r="I694" s="106">
        <v>6.6000000000000003E-2</v>
      </c>
      <c r="J694" s="107">
        <v>2.5999999999999999E-2</v>
      </c>
      <c r="K694" s="94">
        <f>((4/3)*L686)+((8/3)*L698)</f>
        <v>136775</v>
      </c>
      <c r="L694" s="114"/>
      <c r="M694" s="421">
        <f t="shared" si="84"/>
        <v>0.6</v>
      </c>
      <c r="N694" s="421">
        <v>0.26</v>
      </c>
      <c r="O694" s="421">
        <f t="shared" si="85"/>
        <v>0.61</v>
      </c>
      <c r="P694" s="421">
        <v>0.34620000000000001</v>
      </c>
      <c r="Q694" s="421">
        <v>0.69640000000000002</v>
      </c>
      <c r="R694" s="421">
        <v>0.6</v>
      </c>
      <c r="S694" s="421">
        <v>0.61</v>
      </c>
    </row>
    <row r="695" spans="1:19" s="96" customFormat="1">
      <c r="A695" s="95">
        <f t="shared" si="80"/>
        <v>58592</v>
      </c>
      <c r="B695" s="95">
        <f t="shared" si="79"/>
        <v>58956</v>
      </c>
      <c r="C695" s="105">
        <f t="shared" si="86"/>
        <v>0.26800000000000002</v>
      </c>
      <c r="D695" s="105">
        <f t="shared" si="86"/>
        <v>0.28599999999999998</v>
      </c>
      <c r="E695" s="105">
        <f t="shared" si="86"/>
        <v>6.6000000000000003E-2</v>
      </c>
      <c r="F695" s="105">
        <f t="shared" si="86"/>
        <v>2.5999999999999999E-2</v>
      </c>
      <c r="G695" s="107">
        <v>0.26800000000000002</v>
      </c>
      <c r="H695" s="107">
        <v>0.28599999999999998</v>
      </c>
      <c r="I695" s="106">
        <v>6.6000000000000003E-2</v>
      </c>
      <c r="J695" s="107">
        <v>2.5999999999999999E-2</v>
      </c>
      <c r="K695" s="94">
        <f>((3/3)*L686)+((9/3)*L698)</f>
        <v>137326</v>
      </c>
      <c r="L695" s="114"/>
      <c r="M695" s="421">
        <f t="shared" si="84"/>
        <v>0.6</v>
      </c>
      <c r="N695" s="421">
        <v>0.26</v>
      </c>
      <c r="O695" s="421">
        <f t="shared" si="85"/>
        <v>0.61</v>
      </c>
      <c r="P695" s="421">
        <v>0.34620000000000001</v>
      </c>
      <c r="Q695" s="421">
        <v>0.69640000000000002</v>
      </c>
      <c r="R695" s="421">
        <v>0.6</v>
      </c>
      <c r="S695" s="421">
        <v>0.61</v>
      </c>
    </row>
    <row r="696" spans="1:19" s="96" customFormat="1">
      <c r="A696" s="95">
        <f t="shared" si="80"/>
        <v>58622</v>
      </c>
      <c r="B696" s="95">
        <f t="shared" si="79"/>
        <v>58986</v>
      </c>
      <c r="C696" s="105">
        <f t="shared" si="86"/>
        <v>0.26800000000000002</v>
      </c>
      <c r="D696" s="105">
        <f t="shared" si="86"/>
        <v>0.28599999999999998</v>
      </c>
      <c r="E696" s="105">
        <f t="shared" si="86"/>
        <v>6.6000000000000003E-2</v>
      </c>
      <c r="F696" s="105">
        <f t="shared" si="86"/>
        <v>2.5999999999999999E-2</v>
      </c>
      <c r="G696" s="107">
        <v>0.26800000000000002</v>
      </c>
      <c r="H696" s="107">
        <v>0.28599999999999998</v>
      </c>
      <c r="I696" s="106">
        <v>6.6000000000000003E-2</v>
      </c>
      <c r="J696" s="107">
        <v>2.5999999999999999E-2</v>
      </c>
      <c r="K696" s="94">
        <f>((2/3)*L686)+((10/3)*L698)</f>
        <v>137878</v>
      </c>
      <c r="L696" s="114"/>
      <c r="M696" s="421">
        <f t="shared" si="84"/>
        <v>0.6</v>
      </c>
      <c r="N696" s="421">
        <v>0.26</v>
      </c>
      <c r="O696" s="421">
        <f t="shared" si="85"/>
        <v>0.61</v>
      </c>
      <c r="P696" s="421">
        <v>0.34620000000000001</v>
      </c>
      <c r="Q696" s="421">
        <v>0.69640000000000002</v>
      </c>
      <c r="R696" s="421">
        <v>0.6</v>
      </c>
      <c r="S696" s="421">
        <v>0.61</v>
      </c>
    </row>
    <row r="697" spans="1:19" s="96" customFormat="1">
      <c r="A697" s="95">
        <f t="shared" si="80"/>
        <v>58653</v>
      </c>
      <c r="B697" s="95">
        <f t="shared" si="79"/>
        <v>59017</v>
      </c>
      <c r="C697" s="105">
        <f t="shared" si="86"/>
        <v>0.26800000000000002</v>
      </c>
      <c r="D697" s="105">
        <f t="shared" si="86"/>
        <v>0.28599999999999998</v>
      </c>
      <c r="E697" s="105">
        <f t="shared" si="86"/>
        <v>6.6000000000000003E-2</v>
      </c>
      <c r="F697" s="105">
        <f t="shared" si="86"/>
        <v>2.5999999999999999E-2</v>
      </c>
      <c r="G697" s="107">
        <v>0.26800000000000002</v>
      </c>
      <c r="H697" s="107">
        <v>0.28599999999999998</v>
      </c>
      <c r="I697" s="106">
        <v>6.6000000000000003E-2</v>
      </c>
      <c r="J697" s="107">
        <v>2.5999999999999999E-2</v>
      </c>
      <c r="K697" s="94">
        <f>((1/3)*L686)+((11/3)*L698)</f>
        <v>138429</v>
      </c>
      <c r="L697" s="114"/>
      <c r="M697" s="421">
        <f t="shared" si="84"/>
        <v>0.6</v>
      </c>
      <c r="N697" s="421">
        <v>0.26</v>
      </c>
      <c r="O697" s="421">
        <f t="shared" si="85"/>
        <v>0.61</v>
      </c>
      <c r="P697" s="421">
        <v>0.34620000000000001</v>
      </c>
      <c r="Q697" s="421">
        <v>0.69640000000000002</v>
      </c>
      <c r="R697" s="421">
        <v>0.6</v>
      </c>
      <c r="S697" s="421">
        <v>0.61</v>
      </c>
    </row>
    <row r="698" spans="1:19" s="60" customFormat="1">
      <c r="A698" s="59">
        <f t="shared" si="80"/>
        <v>58684</v>
      </c>
      <c r="B698" s="59">
        <f t="shared" si="79"/>
        <v>59048</v>
      </c>
      <c r="C698" s="102">
        <f t="shared" si="86"/>
        <v>0.26800000000000002</v>
      </c>
      <c r="D698" s="102">
        <f t="shared" si="86"/>
        <v>0.28599999999999998</v>
      </c>
      <c r="E698" s="102">
        <f t="shared" si="86"/>
        <v>6.6000000000000003E-2</v>
      </c>
      <c r="F698" s="102">
        <f t="shared" si="86"/>
        <v>2.5999999999999999E-2</v>
      </c>
      <c r="G698" s="104">
        <v>0.26800000000000002</v>
      </c>
      <c r="H698" s="104">
        <v>0.28599999999999998</v>
      </c>
      <c r="I698" s="103">
        <v>6.6000000000000003E-2</v>
      </c>
      <c r="J698" s="104">
        <v>2.5999999999999999E-2</v>
      </c>
      <c r="K698" s="54">
        <f>(L698*4)</f>
        <v>138981</v>
      </c>
      <c r="L698" s="113">
        <f>L686*1.05</f>
        <v>34745.15</v>
      </c>
      <c r="M698" s="98">
        <f t="shared" si="84"/>
        <v>0.6</v>
      </c>
      <c r="N698" s="98">
        <v>0.26</v>
      </c>
      <c r="O698" s="98">
        <f t="shared" si="85"/>
        <v>0.61</v>
      </c>
      <c r="P698" s="98">
        <v>0.34620000000000001</v>
      </c>
      <c r="Q698" s="98">
        <v>0.69640000000000002</v>
      </c>
      <c r="R698" s="98">
        <v>0.6</v>
      </c>
      <c r="S698" s="98">
        <v>0.61</v>
      </c>
    </row>
    <row r="699" spans="1:19" s="60" customFormat="1">
      <c r="A699" s="59">
        <f t="shared" si="80"/>
        <v>58714</v>
      </c>
      <c r="B699" s="59">
        <f t="shared" si="79"/>
        <v>59078</v>
      </c>
      <c r="C699" s="102">
        <f t="shared" si="86"/>
        <v>0.26800000000000002</v>
      </c>
      <c r="D699" s="102">
        <f t="shared" si="86"/>
        <v>0.28599999999999998</v>
      </c>
      <c r="E699" s="102">
        <f t="shared" si="86"/>
        <v>6.6000000000000003E-2</v>
      </c>
      <c r="F699" s="102">
        <f t="shared" si="86"/>
        <v>2.5999999999999999E-2</v>
      </c>
      <c r="G699" s="104">
        <v>0.26800000000000002</v>
      </c>
      <c r="H699" s="104">
        <v>0.28599999999999998</v>
      </c>
      <c r="I699" s="103">
        <v>6.6000000000000003E-2</v>
      </c>
      <c r="J699" s="104">
        <v>2.5999999999999999E-2</v>
      </c>
      <c r="K699" s="54">
        <f>((11/3)*L698)+((1/3)*L710)</f>
        <v>139560</v>
      </c>
      <c r="L699" s="113"/>
      <c r="M699" s="98">
        <f t="shared" si="84"/>
        <v>0.6</v>
      </c>
      <c r="N699" s="98">
        <v>0.26</v>
      </c>
      <c r="O699" s="98">
        <f t="shared" si="85"/>
        <v>0.61</v>
      </c>
      <c r="P699" s="98">
        <v>0.34620000000000001</v>
      </c>
      <c r="Q699" s="98">
        <v>0.69640000000000002</v>
      </c>
      <c r="R699" s="98">
        <v>0.6</v>
      </c>
      <c r="S699" s="98">
        <v>0.61</v>
      </c>
    </row>
    <row r="700" spans="1:19" s="60" customFormat="1">
      <c r="A700" s="59">
        <f t="shared" si="80"/>
        <v>58745</v>
      </c>
      <c r="B700" s="59">
        <f t="shared" si="79"/>
        <v>59109</v>
      </c>
      <c r="C700" s="102">
        <f t="shared" si="86"/>
        <v>0.26800000000000002</v>
      </c>
      <c r="D700" s="102">
        <f t="shared" si="86"/>
        <v>0.28599999999999998</v>
      </c>
      <c r="E700" s="102">
        <f t="shared" si="86"/>
        <v>6.6000000000000003E-2</v>
      </c>
      <c r="F700" s="102">
        <f t="shared" si="86"/>
        <v>2.5999999999999999E-2</v>
      </c>
      <c r="G700" s="104">
        <v>0.26800000000000002</v>
      </c>
      <c r="H700" s="104">
        <v>0.28599999999999998</v>
      </c>
      <c r="I700" s="103">
        <v>6.6000000000000003E-2</v>
      </c>
      <c r="J700" s="104">
        <v>2.5999999999999999E-2</v>
      </c>
      <c r="K700" s="54">
        <f>((10/3)*L698)+((2/3)*L710)</f>
        <v>140139</v>
      </c>
      <c r="L700" s="113"/>
      <c r="M700" s="98">
        <f t="shared" si="84"/>
        <v>0.6</v>
      </c>
      <c r="N700" s="98">
        <v>0.26</v>
      </c>
      <c r="O700" s="98">
        <f t="shared" si="85"/>
        <v>0.61</v>
      </c>
      <c r="P700" s="98">
        <v>0.34620000000000001</v>
      </c>
      <c r="Q700" s="98">
        <v>0.69640000000000002</v>
      </c>
      <c r="R700" s="98">
        <v>0.6</v>
      </c>
      <c r="S700" s="98">
        <v>0.61</v>
      </c>
    </row>
    <row r="701" spans="1:19" s="60" customFormat="1">
      <c r="A701" s="59">
        <f t="shared" si="80"/>
        <v>58775</v>
      </c>
      <c r="B701" s="59">
        <f t="shared" si="79"/>
        <v>59139</v>
      </c>
      <c r="C701" s="102">
        <f t="shared" si="86"/>
        <v>0.26800000000000002</v>
      </c>
      <c r="D701" s="102">
        <f t="shared" si="86"/>
        <v>0.28599999999999998</v>
      </c>
      <c r="E701" s="102">
        <f t="shared" si="86"/>
        <v>6.6000000000000003E-2</v>
      </c>
      <c r="F701" s="102">
        <f t="shared" si="86"/>
        <v>2.5999999999999999E-2</v>
      </c>
      <c r="G701" s="104">
        <v>0.26800000000000002</v>
      </c>
      <c r="H701" s="104">
        <v>0.28599999999999998</v>
      </c>
      <c r="I701" s="103">
        <v>6.6000000000000003E-2</v>
      </c>
      <c r="J701" s="104">
        <v>2.5999999999999999E-2</v>
      </c>
      <c r="K701" s="54">
        <f>((9/3)*L698)+((3/3)*L710)</f>
        <v>140718</v>
      </c>
      <c r="L701" s="113"/>
      <c r="M701" s="98">
        <f t="shared" si="84"/>
        <v>0.6</v>
      </c>
      <c r="N701" s="98">
        <v>0.26</v>
      </c>
      <c r="O701" s="98">
        <f t="shared" si="85"/>
        <v>0.61</v>
      </c>
      <c r="P701" s="98">
        <v>0.34620000000000001</v>
      </c>
      <c r="Q701" s="98">
        <v>0.69640000000000002</v>
      </c>
      <c r="R701" s="98">
        <v>0.6</v>
      </c>
      <c r="S701" s="98">
        <v>0.61</v>
      </c>
    </row>
    <row r="702" spans="1:19" s="60" customFormat="1">
      <c r="A702" s="59">
        <f t="shared" si="80"/>
        <v>58806</v>
      </c>
      <c r="B702" s="59">
        <f t="shared" si="79"/>
        <v>59170</v>
      </c>
      <c r="C702" s="102">
        <f t="shared" si="86"/>
        <v>0.26800000000000002</v>
      </c>
      <c r="D702" s="102">
        <f t="shared" si="86"/>
        <v>0.28599999999999998</v>
      </c>
      <c r="E702" s="102">
        <f t="shared" si="86"/>
        <v>6.6000000000000003E-2</v>
      </c>
      <c r="F702" s="102">
        <f t="shared" si="86"/>
        <v>2.5999999999999999E-2</v>
      </c>
      <c r="G702" s="104">
        <v>0.26800000000000002</v>
      </c>
      <c r="H702" s="104">
        <v>0.28599999999999998</v>
      </c>
      <c r="I702" s="103">
        <v>6.6000000000000003E-2</v>
      </c>
      <c r="J702" s="104">
        <v>2.5999999999999999E-2</v>
      </c>
      <c r="K702" s="54">
        <f>((8/3)*L698)+((4/3)*L710)</f>
        <v>141297</v>
      </c>
      <c r="L702" s="113"/>
      <c r="M702" s="98">
        <f t="shared" si="84"/>
        <v>0.6</v>
      </c>
      <c r="N702" s="98">
        <v>0.26</v>
      </c>
      <c r="O702" s="98">
        <f t="shared" si="85"/>
        <v>0.61</v>
      </c>
      <c r="P702" s="98">
        <v>0.34620000000000001</v>
      </c>
      <c r="Q702" s="98">
        <v>0.69640000000000002</v>
      </c>
      <c r="R702" s="98">
        <v>0.6</v>
      </c>
      <c r="S702" s="98">
        <v>0.61</v>
      </c>
    </row>
    <row r="703" spans="1:19" s="60" customFormat="1">
      <c r="A703" s="59">
        <f t="shared" si="80"/>
        <v>58837</v>
      </c>
      <c r="B703" s="59">
        <f t="shared" si="79"/>
        <v>59201</v>
      </c>
      <c r="C703" s="102">
        <f t="shared" si="86"/>
        <v>0.26800000000000002</v>
      </c>
      <c r="D703" s="102">
        <f t="shared" si="86"/>
        <v>0.28599999999999998</v>
      </c>
      <c r="E703" s="102">
        <f t="shared" si="86"/>
        <v>6.6000000000000003E-2</v>
      </c>
      <c r="F703" s="102">
        <f t="shared" si="86"/>
        <v>2.5999999999999999E-2</v>
      </c>
      <c r="G703" s="104">
        <v>0.26800000000000002</v>
      </c>
      <c r="H703" s="104">
        <v>0.28599999999999998</v>
      </c>
      <c r="I703" s="103">
        <v>6.6000000000000003E-2</v>
      </c>
      <c r="J703" s="104">
        <v>2.5999999999999999E-2</v>
      </c>
      <c r="K703" s="54">
        <f>((7/3)*L698)+((5/3)*L710)</f>
        <v>141876</v>
      </c>
      <c r="L703" s="113"/>
      <c r="M703" s="98">
        <f t="shared" si="84"/>
        <v>0.6</v>
      </c>
      <c r="N703" s="98">
        <v>0.26</v>
      </c>
      <c r="O703" s="98">
        <f t="shared" si="85"/>
        <v>0.61</v>
      </c>
      <c r="P703" s="98">
        <v>0.34620000000000001</v>
      </c>
      <c r="Q703" s="98">
        <v>0.69640000000000002</v>
      </c>
      <c r="R703" s="98">
        <v>0.6</v>
      </c>
      <c r="S703" s="98">
        <v>0.61</v>
      </c>
    </row>
    <row r="704" spans="1:19" s="60" customFormat="1">
      <c r="A704" s="59">
        <f t="shared" si="80"/>
        <v>58865</v>
      </c>
      <c r="B704" s="59">
        <f t="shared" si="79"/>
        <v>59229</v>
      </c>
      <c r="C704" s="102">
        <f t="shared" si="86"/>
        <v>0.26800000000000002</v>
      </c>
      <c r="D704" s="102">
        <f t="shared" si="86"/>
        <v>0.28599999999999998</v>
      </c>
      <c r="E704" s="102">
        <f t="shared" si="86"/>
        <v>6.6000000000000003E-2</v>
      </c>
      <c r="F704" s="102">
        <f t="shared" si="86"/>
        <v>2.5999999999999999E-2</v>
      </c>
      <c r="G704" s="104">
        <v>0.26800000000000002</v>
      </c>
      <c r="H704" s="104">
        <v>0.28599999999999998</v>
      </c>
      <c r="I704" s="103">
        <v>6.6000000000000003E-2</v>
      </c>
      <c r="J704" s="104">
        <v>2.5999999999999999E-2</v>
      </c>
      <c r="K704" s="54">
        <f>((6/3)*L698)+((6/3)*L710)</f>
        <v>142455</v>
      </c>
      <c r="L704" s="113"/>
      <c r="M704" s="98">
        <f t="shared" si="84"/>
        <v>0.6</v>
      </c>
      <c r="N704" s="98">
        <v>0.26</v>
      </c>
      <c r="O704" s="98">
        <f t="shared" si="85"/>
        <v>0.61</v>
      </c>
      <c r="P704" s="98">
        <v>0.34620000000000001</v>
      </c>
      <c r="Q704" s="98">
        <v>0.69640000000000002</v>
      </c>
      <c r="R704" s="98">
        <v>0.6</v>
      </c>
      <c r="S704" s="98">
        <v>0.61</v>
      </c>
    </row>
    <row r="705" spans="1:19" s="60" customFormat="1">
      <c r="A705" s="59">
        <f t="shared" si="80"/>
        <v>58896</v>
      </c>
      <c r="B705" s="59">
        <f t="shared" si="79"/>
        <v>59260</v>
      </c>
      <c r="C705" s="102">
        <f t="shared" si="86"/>
        <v>0.26800000000000002</v>
      </c>
      <c r="D705" s="102">
        <f t="shared" si="86"/>
        <v>0.28599999999999998</v>
      </c>
      <c r="E705" s="102">
        <f t="shared" si="86"/>
        <v>6.6000000000000003E-2</v>
      </c>
      <c r="F705" s="102">
        <f t="shared" si="86"/>
        <v>2.5999999999999999E-2</v>
      </c>
      <c r="G705" s="104">
        <v>0.26800000000000002</v>
      </c>
      <c r="H705" s="104">
        <v>0.28599999999999998</v>
      </c>
      <c r="I705" s="103">
        <v>6.6000000000000003E-2</v>
      </c>
      <c r="J705" s="104">
        <v>2.5999999999999999E-2</v>
      </c>
      <c r="K705" s="54">
        <f>((5/3)*L698)+((7/3)*L710)</f>
        <v>143034</v>
      </c>
      <c r="L705" s="113"/>
      <c r="M705" s="98">
        <f t="shared" si="84"/>
        <v>0.6</v>
      </c>
      <c r="N705" s="98">
        <v>0.26</v>
      </c>
      <c r="O705" s="98">
        <f t="shared" si="85"/>
        <v>0.61</v>
      </c>
      <c r="P705" s="98">
        <v>0.34620000000000001</v>
      </c>
      <c r="Q705" s="98">
        <v>0.69640000000000002</v>
      </c>
      <c r="R705" s="98">
        <v>0.6</v>
      </c>
      <c r="S705" s="98">
        <v>0.61</v>
      </c>
    </row>
    <row r="706" spans="1:19" s="60" customFormat="1">
      <c r="A706" s="59">
        <f t="shared" si="80"/>
        <v>58926</v>
      </c>
      <c r="B706" s="59">
        <f t="shared" ref="B706:B769" si="87">EDATE(A706,12)-1</f>
        <v>59290</v>
      </c>
      <c r="C706" s="102">
        <f t="shared" si="86"/>
        <v>0.26800000000000002</v>
      </c>
      <c r="D706" s="102">
        <f t="shared" si="86"/>
        <v>0.28599999999999998</v>
      </c>
      <c r="E706" s="102">
        <f t="shared" si="86"/>
        <v>6.6000000000000003E-2</v>
      </c>
      <c r="F706" s="102">
        <f t="shared" si="86"/>
        <v>2.5999999999999999E-2</v>
      </c>
      <c r="G706" s="104">
        <v>0.26800000000000002</v>
      </c>
      <c r="H706" s="104">
        <v>0.28599999999999998</v>
      </c>
      <c r="I706" s="103">
        <v>6.6000000000000003E-2</v>
      </c>
      <c r="J706" s="104">
        <v>2.5999999999999999E-2</v>
      </c>
      <c r="K706" s="54">
        <f>((4/3)*L698)+((8/3)*L710)</f>
        <v>143613</v>
      </c>
      <c r="L706" s="113"/>
      <c r="M706" s="98">
        <f t="shared" si="84"/>
        <v>0.6</v>
      </c>
      <c r="N706" s="98">
        <v>0.26</v>
      </c>
      <c r="O706" s="98">
        <f t="shared" si="85"/>
        <v>0.61</v>
      </c>
      <c r="P706" s="98">
        <v>0.34620000000000001</v>
      </c>
      <c r="Q706" s="98">
        <v>0.69640000000000002</v>
      </c>
      <c r="R706" s="98">
        <v>0.6</v>
      </c>
      <c r="S706" s="98">
        <v>0.61</v>
      </c>
    </row>
    <row r="707" spans="1:19" s="60" customFormat="1">
      <c r="A707" s="59">
        <f t="shared" ref="A707:A770" si="88">EDATE(A706,1)</f>
        <v>58957</v>
      </c>
      <c r="B707" s="59">
        <f t="shared" si="87"/>
        <v>59321</v>
      </c>
      <c r="C707" s="102">
        <f t="shared" ref="C707:F722" si="89">AVERAGE(G707:G718)</f>
        <v>0.26800000000000002</v>
      </c>
      <c r="D707" s="102">
        <f t="shared" si="89"/>
        <v>0.28599999999999998</v>
      </c>
      <c r="E707" s="102">
        <f t="shared" si="89"/>
        <v>6.6000000000000003E-2</v>
      </c>
      <c r="F707" s="102">
        <f t="shared" si="89"/>
        <v>2.5999999999999999E-2</v>
      </c>
      <c r="G707" s="104">
        <v>0.26800000000000002</v>
      </c>
      <c r="H707" s="104">
        <v>0.28599999999999998</v>
      </c>
      <c r="I707" s="103">
        <v>6.6000000000000003E-2</v>
      </c>
      <c r="J707" s="104">
        <v>2.5999999999999999E-2</v>
      </c>
      <c r="K707" s="54">
        <f>((3/3)*L698)+((9/3)*L710)</f>
        <v>144192</v>
      </c>
      <c r="L707" s="113"/>
      <c r="M707" s="98">
        <f t="shared" si="84"/>
        <v>0.6</v>
      </c>
      <c r="N707" s="98">
        <v>0.26</v>
      </c>
      <c r="O707" s="98">
        <f t="shared" si="85"/>
        <v>0.61</v>
      </c>
      <c r="P707" s="98">
        <v>0.34620000000000001</v>
      </c>
      <c r="Q707" s="98">
        <v>0.69640000000000002</v>
      </c>
      <c r="R707" s="98">
        <v>0.6</v>
      </c>
      <c r="S707" s="98">
        <v>0.61</v>
      </c>
    </row>
    <row r="708" spans="1:19" s="60" customFormat="1">
      <c r="A708" s="59">
        <f t="shared" si="88"/>
        <v>58987</v>
      </c>
      <c r="B708" s="59">
        <f t="shared" si="87"/>
        <v>59351</v>
      </c>
      <c r="C708" s="102">
        <f t="shared" si="89"/>
        <v>0.26800000000000002</v>
      </c>
      <c r="D708" s="102">
        <f t="shared" si="89"/>
        <v>0.28599999999999998</v>
      </c>
      <c r="E708" s="102">
        <f t="shared" si="89"/>
        <v>6.6000000000000003E-2</v>
      </c>
      <c r="F708" s="102">
        <f t="shared" si="89"/>
        <v>2.5999999999999999E-2</v>
      </c>
      <c r="G708" s="104">
        <v>0.26800000000000002</v>
      </c>
      <c r="H708" s="104">
        <v>0.28599999999999998</v>
      </c>
      <c r="I708" s="103">
        <v>6.6000000000000003E-2</v>
      </c>
      <c r="J708" s="104">
        <v>2.5999999999999999E-2</v>
      </c>
      <c r="K708" s="54">
        <f>((2/3)*L698)+((10/3)*L710)</f>
        <v>144771</v>
      </c>
      <c r="L708" s="113"/>
      <c r="M708" s="98">
        <f t="shared" si="84"/>
        <v>0.6</v>
      </c>
      <c r="N708" s="98">
        <v>0.26</v>
      </c>
      <c r="O708" s="98">
        <f t="shared" si="85"/>
        <v>0.61</v>
      </c>
      <c r="P708" s="98">
        <v>0.34620000000000001</v>
      </c>
      <c r="Q708" s="98">
        <v>0.69640000000000002</v>
      </c>
      <c r="R708" s="98">
        <v>0.6</v>
      </c>
      <c r="S708" s="98">
        <v>0.61</v>
      </c>
    </row>
    <row r="709" spans="1:19" s="60" customFormat="1">
      <c r="A709" s="59">
        <f t="shared" si="88"/>
        <v>59018</v>
      </c>
      <c r="B709" s="59">
        <f t="shared" si="87"/>
        <v>59382</v>
      </c>
      <c r="C709" s="99">
        <f t="shared" si="89"/>
        <v>0.26800000000000002</v>
      </c>
      <c r="D709" s="99">
        <f t="shared" si="89"/>
        <v>0.28599999999999998</v>
      </c>
      <c r="E709" s="99">
        <f t="shared" si="89"/>
        <v>6.6000000000000003E-2</v>
      </c>
      <c r="F709" s="99">
        <f t="shared" si="89"/>
        <v>2.5999999999999999E-2</v>
      </c>
      <c r="G709" s="104">
        <v>0.26800000000000002</v>
      </c>
      <c r="H709" s="104">
        <v>0.28599999999999998</v>
      </c>
      <c r="I709" s="103">
        <v>6.6000000000000003E-2</v>
      </c>
      <c r="J709" s="104">
        <v>2.5999999999999999E-2</v>
      </c>
      <c r="K709" s="54">
        <f>((1/3)*L698)+((11/3)*L710)</f>
        <v>145351</v>
      </c>
      <c r="L709" s="113"/>
      <c r="M709" s="98">
        <f t="shared" si="84"/>
        <v>0.6</v>
      </c>
      <c r="N709" s="98">
        <v>0.26</v>
      </c>
      <c r="O709" s="98">
        <f t="shared" si="85"/>
        <v>0.61</v>
      </c>
      <c r="P709" s="98">
        <v>0.34620000000000001</v>
      </c>
      <c r="Q709" s="98">
        <v>0.69640000000000002</v>
      </c>
      <c r="R709" s="98">
        <v>0.6</v>
      </c>
      <c r="S709" s="98">
        <v>0.61</v>
      </c>
    </row>
    <row r="710" spans="1:19" s="96" customFormat="1">
      <c r="A710" s="95">
        <f t="shared" si="88"/>
        <v>59049</v>
      </c>
      <c r="B710" s="95">
        <f t="shared" si="87"/>
        <v>59413</v>
      </c>
      <c r="C710" s="105">
        <f t="shared" si="89"/>
        <v>0.26800000000000002</v>
      </c>
      <c r="D710" s="105">
        <f t="shared" si="89"/>
        <v>0.28599999999999998</v>
      </c>
      <c r="E710" s="105">
        <f t="shared" si="89"/>
        <v>6.6000000000000003E-2</v>
      </c>
      <c r="F710" s="105">
        <f t="shared" si="89"/>
        <v>2.5999999999999999E-2</v>
      </c>
      <c r="G710" s="107">
        <v>0.26800000000000002</v>
      </c>
      <c r="H710" s="107">
        <v>0.28599999999999998</v>
      </c>
      <c r="I710" s="106">
        <v>6.6000000000000003E-2</v>
      </c>
      <c r="J710" s="107">
        <v>2.5999999999999999E-2</v>
      </c>
      <c r="K710" s="94">
        <f>(L710*4)</f>
        <v>145930</v>
      </c>
      <c r="L710" s="114">
        <f>L698*1.05</f>
        <v>36482.410000000003</v>
      </c>
      <c r="M710" s="421">
        <f t="shared" si="84"/>
        <v>0.6</v>
      </c>
      <c r="N710" s="421">
        <v>0.26</v>
      </c>
      <c r="O710" s="421">
        <f t="shared" si="85"/>
        <v>0.61</v>
      </c>
      <c r="P710" s="421">
        <v>0.34620000000000001</v>
      </c>
      <c r="Q710" s="421">
        <v>0.69640000000000002</v>
      </c>
      <c r="R710" s="421">
        <v>0.6</v>
      </c>
      <c r="S710" s="421">
        <v>0.61</v>
      </c>
    </row>
    <row r="711" spans="1:19" s="96" customFormat="1">
      <c r="A711" s="95">
        <f t="shared" si="88"/>
        <v>59079</v>
      </c>
      <c r="B711" s="95">
        <f t="shared" si="87"/>
        <v>59443</v>
      </c>
      <c r="C711" s="105">
        <f t="shared" si="89"/>
        <v>0.26800000000000002</v>
      </c>
      <c r="D711" s="105">
        <f t="shared" si="89"/>
        <v>0.28599999999999998</v>
      </c>
      <c r="E711" s="105">
        <f t="shared" si="89"/>
        <v>6.6000000000000003E-2</v>
      </c>
      <c r="F711" s="105">
        <f t="shared" si="89"/>
        <v>2.5999999999999999E-2</v>
      </c>
      <c r="G711" s="107">
        <v>0.26800000000000002</v>
      </c>
      <c r="H711" s="107">
        <v>0.28599999999999998</v>
      </c>
      <c r="I711" s="106">
        <v>6.6000000000000003E-2</v>
      </c>
      <c r="J711" s="107">
        <v>2.5999999999999999E-2</v>
      </c>
      <c r="K711" s="94">
        <f>((11/3)*L710)+((1/3)*L722)</f>
        <v>146538</v>
      </c>
      <c r="L711" s="114"/>
      <c r="M711" s="421">
        <f t="shared" si="84"/>
        <v>0.6</v>
      </c>
      <c r="N711" s="421">
        <v>0.26</v>
      </c>
      <c r="O711" s="421">
        <f t="shared" si="85"/>
        <v>0.61</v>
      </c>
      <c r="P711" s="421">
        <v>0.34620000000000001</v>
      </c>
      <c r="Q711" s="421">
        <v>0.69640000000000002</v>
      </c>
      <c r="R711" s="421">
        <v>0.6</v>
      </c>
      <c r="S711" s="421">
        <v>0.61</v>
      </c>
    </row>
    <row r="712" spans="1:19" s="96" customFormat="1">
      <c r="A712" s="95">
        <f t="shared" si="88"/>
        <v>59110</v>
      </c>
      <c r="B712" s="95">
        <f t="shared" si="87"/>
        <v>59474</v>
      </c>
      <c r="C712" s="105">
        <f t="shared" si="89"/>
        <v>0.26800000000000002</v>
      </c>
      <c r="D712" s="105">
        <f t="shared" si="89"/>
        <v>0.28599999999999998</v>
      </c>
      <c r="E712" s="105">
        <f t="shared" si="89"/>
        <v>6.6000000000000003E-2</v>
      </c>
      <c r="F712" s="105">
        <f t="shared" si="89"/>
        <v>2.5999999999999999E-2</v>
      </c>
      <c r="G712" s="107">
        <v>0.26800000000000002</v>
      </c>
      <c r="H712" s="107">
        <v>0.28599999999999998</v>
      </c>
      <c r="I712" s="106">
        <v>6.6000000000000003E-2</v>
      </c>
      <c r="J712" s="107">
        <v>2.5999999999999999E-2</v>
      </c>
      <c r="K712" s="94">
        <f>((10/3)*L710)+((2/3)*L722)</f>
        <v>147146</v>
      </c>
      <c r="L712" s="114"/>
      <c r="M712" s="421">
        <f t="shared" si="84"/>
        <v>0.6</v>
      </c>
      <c r="N712" s="421">
        <v>0.26</v>
      </c>
      <c r="O712" s="421">
        <f t="shared" si="85"/>
        <v>0.61</v>
      </c>
      <c r="P712" s="421">
        <v>0.34620000000000001</v>
      </c>
      <c r="Q712" s="421">
        <v>0.69640000000000002</v>
      </c>
      <c r="R712" s="421">
        <v>0.6</v>
      </c>
      <c r="S712" s="421">
        <v>0.61</v>
      </c>
    </row>
    <row r="713" spans="1:19" s="96" customFormat="1">
      <c r="A713" s="95">
        <f t="shared" si="88"/>
        <v>59140</v>
      </c>
      <c r="B713" s="95">
        <f t="shared" si="87"/>
        <v>59504</v>
      </c>
      <c r="C713" s="105">
        <f t="shared" si="89"/>
        <v>0.26800000000000002</v>
      </c>
      <c r="D713" s="105">
        <f t="shared" si="89"/>
        <v>0.28599999999999998</v>
      </c>
      <c r="E713" s="105">
        <f t="shared" si="89"/>
        <v>6.6000000000000003E-2</v>
      </c>
      <c r="F713" s="105">
        <f t="shared" si="89"/>
        <v>2.5999999999999999E-2</v>
      </c>
      <c r="G713" s="107">
        <v>0.26800000000000002</v>
      </c>
      <c r="H713" s="107">
        <v>0.28599999999999998</v>
      </c>
      <c r="I713" s="106">
        <v>6.6000000000000003E-2</v>
      </c>
      <c r="J713" s="107">
        <v>2.5999999999999999E-2</v>
      </c>
      <c r="K713" s="94">
        <f>((9/3)*L710)+((3/3)*L722)</f>
        <v>147754</v>
      </c>
      <c r="L713" s="114"/>
      <c r="M713" s="421">
        <f t="shared" si="84"/>
        <v>0.6</v>
      </c>
      <c r="N713" s="421">
        <v>0.26</v>
      </c>
      <c r="O713" s="421">
        <f t="shared" si="85"/>
        <v>0.61</v>
      </c>
      <c r="P713" s="421">
        <v>0.34620000000000001</v>
      </c>
      <c r="Q713" s="421">
        <v>0.69640000000000002</v>
      </c>
      <c r="R713" s="421">
        <v>0.6</v>
      </c>
      <c r="S713" s="421">
        <v>0.61</v>
      </c>
    </row>
    <row r="714" spans="1:19" s="96" customFormat="1">
      <c r="A714" s="95">
        <f t="shared" si="88"/>
        <v>59171</v>
      </c>
      <c r="B714" s="95">
        <f t="shared" si="87"/>
        <v>59535</v>
      </c>
      <c r="C714" s="105">
        <f t="shared" si="89"/>
        <v>0.26800000000000002</v>
      </c>
      <c r="D714" s="105">
        <f t="shared" si="89"/>
        <v>0.28599999999999998</v>
      </c>
      <c r="E714" s="105">
        <f t="shared" si="89"/>
        <v>6.6000000000000003E-2</v>
      </c>
      <c r="F714" s="105">
        <f t="shared" si="89"/>
        <v>2.5999999999999999E-2</v>
      </c>
      <c r="G714" s="107">
        <v>0.26800000000000002</v>
      </c>
      <c r="H714" s="107">
        <v>0.28599999999999998</v>
      </c>
      <c r="I714" s="106">
        <v>6.6000000000000003E-2</v>
      </c>
      <c r="J714" s="107">
        <v>2.5999999999999999E-2</v>
      </c>
      <c r="K714" s="94">
        <f>((8/3)*L710)+((4/3)*L722)</f>
        <v>148362</v>
      </c>
      <c r="L714" s="114"/>
      <c r="M714" s="421">
        <f t="shared" si="84"/>
        <v>0.6</v>
      </c>
      <c r="N714" s="421">
        <v>0.26</v>
      </c>
      <c r="O714" s="421">
        <f t="shared" si="85"/>
        <v>0.61</v>
      </c>
      <c r="P714" s="421">
        <v>0.34620000000000001</v>
      </c>
      <c r="Q714" s="421">
        <v>0.69640000000000002</v>
      </c>
      <c r="R714" s="421">
        <v>0.6</v>
      </c>
      <c r="S714" s="421">
        <v>0.61</v>
      </c>
    </row>
    <row r="715" spans="1:19" s="96" customFormat="1">
      <c r="A715" s="95">
        <f t="shared" si="88"/>
        <v>59202</v>
      </c>
      <c r="B715" s="95">
        <f t="shared" si="87"/>
        <v>59566</v>
      </c>
      <c r="C715" s="105">
        <f t="shared" si="89"/>
        <v>0.26800000000000002</v>
      </c>
      <c r="D715" s="105">
        <f t="shared" si="89"/>
        <v>0.28599999999999998</v>
      </c>
      <c r="E715" s="105">
        <f t="shared" si="89"/>
        <v>6.6000000000000003E-2</v>
      </c>
      <c r="F715" s="105">
        <f t="shared" si="89"/>
        <v>2.5999999999999999E-2</v>
      </c>
      <c r="G715" s="107">
        <v>0.26800000000000002</v>
      </c>
      <c r="H715" s="107">
        <v>0.28599999999999998</v>
      </c>
      <c r="I715" s="106">
        <v>6.6000000000000003E-2</v>
      </c>
      <c r="J715" s="107">
        <v>2.5999999999999999E-2</v>
      </c>
      <c r="K715" s="94">
        <f>((7/3)*L710)+((5/3)*L722)</f>
        <v>148970</v>
      </c>
      <c r="L715" s="114"/>
      <c r="M715" s="421">
        <f t="shared" si="84"/>
        <v>0.6</v>
      </c>
      <c r="N715" s="421">
        <v>0.26</v>
      </c>
      <c r="O715" s="421">
        <f t="shared" si="85"/>
        <v>0.61</v>
      </c>
      <c r="P715" s="421">
        <v>0.34620000000000001</v>
      </c>
      <c r="Q715" s="421">
        <v>0.69640000000000002</v>
      </c>
      <c r="R715" s="421">
        <v>0.6</v>
      </c>
      <c r="S715" s="421">
        <v>0.61</v>
      </c>
    </row>
    <row r="716" spans="1:19" s="96" customFormat="1">
      <c r="A716" s="95">
        <f t="shared" si="88"/>
        <v>59230</v>
      </c>
      <c r="B716" s="95">
        <f t="shared" si="87"/>
        <v>59594</v>
      </c>
      <c r="C716" s="105">
        <f t="shared" si="89"/>
        <v>0.26800000000000002</v>
      </c>
      <c r="D716" s="105">
        <f t="shared" si="89"/>
        <v>0.28599999999999998</v>
      </c>
      <c r="E716" s="105">
        <f t="shared" si="89"/>
        <v>6.6000000000000003E-2</v>
      </c>
      <c r="F716" s="105">
        <f t="shared" si="89"/>
        <v>2.5999999999999999E-2</v>
      </c>
      <c r="G716" s="107">
        <v>0.26800000000000002</v>
      </c>
      <c r="H716" s="107">
        <v>0.28599999999999998</v>
      </c>
      <c r="I716" s="106">
        <v>6.6000000000000003E-2</v>
      </c>
      <c r="J716" s="107">
        <v>2.5999999999999999E-2</v>
      </c>
      <c r="K716" s="94">
        <f>((6/3)*L710)+((6/3)*L722)</f>
        <v>149578</v>
      </c>
      <c r="L716" s="114"/>
      <c r="M716" s="421">
        <f t="shared" si="84"/>
        <v>0.6</v>
      </c>
      <c r="N716" s="421">
        <v>0.26</v>
      </c>
      <c r="O716" s="421">
        <f t="shared" si="85"/>
        <v>0.61</v>
      </c>
      <c r="P716" s="421">
        <v>0.34620000000000001</v>
      </c>
      <c r="Q716" s="421">
        <v>0.69640000000000002</v>
      </c>
      <c r="R716" s="421">
        <v>0.6</v>
      </c>
      <c r="S716" s="421">
        <v>0.61</v>
      </c>
    </row>
    <row r="717" spans="1:19" s="96" customFormat="1">
      <c r="A717" s="95">
        <f t="shared" si="88"/>
        <v>59261</v>
      </c>
      <c r="B717" s="95">
        <f t="shared" si="87"/>
        <v>59625</v>
      </c>
      <c r="C717" s="105">
        <f t="shared" si="89"/>
        <v>0.26800000000000002</v>
      </c>
      <c r="D717" s="105">
        <f t="shared" si="89"/>
        <v>0.28599999999999998</v>
      </c>
      <c r="E717" s="105">
        <f t="shared" si="89"/>
        <v>6.6000000000000003E-2</v>
      </c>
      <c r="F717" s="105">
        <f t="shared" si="89"/>
        <v>2.5999999999999999E-2</v>
      </c>
      <c r="G717" s="107">
        <v>0.26800000000000002</v>
      </c>
      <c r="H717" s="107">
        <v>0.28599999999999998</v>
      </c>
      <c r="I717" s="106">
        <v>6.6000000000000003E-2</v>
      </c>
      <c r="J717" s="107">
        <v>2.5999999999999999E-2</v>
      </c>
      <c r="K717" s="94">
        <f>((5/3)*L710)+((7/3)*L722)</f>
        <v>150186</v>
      </c>
      <c r="L717" s="114"/>
      <c r="M717" s="421">
        <f t="shared" si="84"/>
        <v>0.6</v>
      </c>
      <c r="N717" s="421">
        <v>0.26</v>
      </c>
      <c r="O717" s="421">
        <f t="shared" si="85"/>
        <v>0.61</v>
      </c>
      <c r="P717" s="421">
        <v>0.34620000000000001</v>
      </c>
      <c r="Q717" s="421">
        <v>0.69640000000000002</v>
      </c>
      <c r="R717" s="421">
        <v>0.6</v>
      </c>
      <c r="S717" s="421">
        <v>0.61</v>
      </c>
    </row>
    <row r="718" spans="1:19" s="96" customFormat="1">
      <c r="A718" s="95">
        <f t="shared" si="88"/>
        <v>59291</v>
      </c>
      <c r="B718" s="95">
        <f t="shared" si="87"/>
        <v>59655</v>
      </c>
      <c r="C718" s="105">
        <f t="shared" si="89"/>
        <v>0.26800000000000002</v>
      </c>
      <c r="D718" s="105">
        <f t="shared" si="89"/>
        <v>0.28599999999999998</v>
      </c>
      <c r="E718" s="105">
        <f t="shared" si="89"/>
        <v>6.6000000000000003E-2</v>
      </c>
      <c r="F718" s="105">
        <f t="shared" si="89"/>
        <v>2.5999999999999999E-2</v>
      </c>
      <c r="G718" s="107">
        <v>0.26800000000000002</v>
      </c>
      <c r="H718" s="107">
        <v>0.28599999999999998</v>
      </c>
      <c r="I718" s="106">
        <v>6.6000000000000003E-2</v>
      </c>
      <c r="J718" s="107">
        <v>2.5999999999999999E-2</v>
      </c>
      <c r="K718" s="94">
        <f>((4/3)*L710)+((8/3)*L722)</f>
        <v>150794</v>
      </c>
      <c r="L718" s="114"/>
      <c r="M718" s="421">
        <f t="shared" si="84"/>
        <v>0.6</v>
      </c>
      <c r="N718" s="421">
        <v>0.26</v>
      </c>
      <c r="O718" s="421">
        <f t="shared" si="85"/>
        <v>0.61</v>
      </c>
      <c r="P718" s="421">
        <v>0.34620000000000001</v>
      </c>
      <c r="Q718" s="421">
        <v>0.69640000000000002</v>
      </c>
      <c r="R718" s="421">
        <v>0.6</v>
      </c>
      <c r="S718" s="421">
        <v>0.61</v>
      </c>
    </row>
    <row r="719" spans="1:19" s="96" customFormat="1">
      <c r="A719" s="95">
        <f t="shared" si="88"/>
        <v>59322</v>
      </c>
      <c r="B719" s="95">
        <f t="shared" si="87"/>
        <v>59686</v>
      </c>
      <c r="C719" s="105">
        <f t="shared" si="89"/>
        <v>0.26800000000000002</v>
      </c>
      <c r="D719" s="105">
        <f t="shared" si="89"/>
        <v>0.28599999999999998</v>
      </c>
      <c r="E719" s="105">
        <f t="shared" si="89"/>
        <v>6.6000000000000003E-2</v>
      </c>
      <c r="F719" s="105">
        <f t="shared" si="89"/>
        <v>2.5999999999999999E-2</v>
      </c>
      <c r="G719" s="107">
        <v>0.26800000000000002</v>
      </c>
      <c r="H719" s="107">
        <v>0.28599999999999998</v>
      </c>
      <c r="I719" s="106">
        <v>6.6000000000000003E-2</v>
      </c>
      <c r="J719" s="107">
        <v>2.5999999999999999E-2</v>
      </c>
      <c r="K719" s="94">
        <f>((3/3)*L710)+((9/3)*L722)</f>
        <v>151402</v>
      </c>
      <c r="L719" s="114"/>
      <c r="M719" s="421">
        <f t="shared" si="84"/>
        <v>0.6</v>
      </c>
      <c r="N719" s="421">
        <v>0.26</v>
      </c>
      <c r="O719" s="421">
        <f t="shared" si="85"/>
        <v>0.61</v>
      </c>
      <c r="P719" s="421">
        <v>0.34620000000000001</v>
      </c>
      <c r="Q719" s="421">
        <v>0.69640000000000002</v>
      </c>
      <c r="R719" s="421">
        <v>0.6</v>
      </c>
      <c r="S719" s="421">
        <v>0.61</v>
      </c>
    </row>
    <row r="720" spans="1:19" s="96" customFormat="1">
      <c r="A720" s="95">
        <f t="shared" si="88"/>
        <v>59352</v>
      </c>
      <c r="B720" s="95">
        <f t="shared" si="87"/>
        <v>59716</v>
      </c>
      <c r="C720" s="105">
        <f t="shared" si="89"/>
        <v>0.26800000000000002</v>
      </c>
      <c r="D720" s="105">
        <f t="shared" si="89"/>
        <v>0.28599999999999998</v>
      </c>
      <c r="E720" s="105">
        <f t="shared" si="89"/>
        <v>6.6000000000000003E-2</v>
      </c>
      <c r="F720" s="105">
        <f t="shared" si="89"/>
        <v>2.5999999999999999E-2</v>
      </c>
      <c r="G720" s="107">
        <v>0.26800000000000002</v>
      </c>
      <c r="H720" s="107">
        <v>0.28599999999999998</v>
      </c>
      <c r="I720" s="106">
        <v>6.6000000000000003E-2</v>
      </c>
      <c r="J720" s="107">
        <v>2.5999999999999999E-2</v>
      </c>
      <c r="K720" s="94">
        <f>((2/3)*L710)+((10/3)*L722)</f>
        <v>152010</v>
      </c>
      <c r="L720" s="114"/>
      <c r="M720" s="421">
        <f t="shared" si="84"/>
        <v>0.6</v>
      </c>
      <c r="N720" s="421">
        <v>0.26</v>
      </c>
      <c r="O720" s="421">
        <f t="shared" si="85"/>
        <v>0.61</v>
      </c>
      <c r="P720" s="421">
        <v>0.34620000000000001</v>
      </c>
      <c r="Q720" s="421">
        <v>0.69640000000000002</v>
      </c>
      <c r="R720" s="421">
        <v>0.6</v>
      </c>
      <c r="S720" s="421">
        <v>0.61</v>
      </c>
    </row>
    <row r="721" spans="1:19" s="96" customFormat="1">
      <c r="A721" s="95">
        <f t="shared" si="88"/>
        <v>59383</v>
      </c>
      <c r="B721" s="95">
        <f t="shared" si="87"/>
        <v>59747</v>
      </c>
      <c r="C721" s="105">
        <f t="shared" si="89"/>
        <v>0.26800000000000002</v>
      </c>
      <c r="D721" s="105">
        <f t="shared" si="89"/>
        <v>0.28599999999999998</v>
      </c>
      <c r="E721" s="105">
        <f t="shared" si="89"/>
        <v>6.6000000000000003E-2</v>
      </c>
      <c r="F721" s="105">
        <f t="shared" si="89"/>
        <v>2.5999999999999999E-2</v>
      </c>
      <c r="G721" s="107">
        <v>0.26800000000000002</v>
      </c>
      <c r="H721" s="107">
        <v>0.28599999999999998</v>
      </c>
      <c r="I721" s="106">
        <v>6.6000000000000003E-2</v>
      </c>
      <c r="J721" s="107">
        <v>2.5999999999999999E-2</v>
      </c>
      <c r="K721" s="94">
        <f>((1/3)*L710)+((11/3)*L722)</f>
        <v>152618</v>
      </c>
      <c r="L721" s="114"/>
      <c r="M721" s="421">
        <f t="shared" si="84"/>
        <v>0.6</v>
      </c>
      <c r="N721" s="421">
        <v>0.26</v>
      </c>
      <c r="O721" s="421">
        <f t="shared" si="85"/>
        <v>0.61</v>
      </c>
      <c r="P721" s="421">
        <v>0.34620000000000001</v>
      </c>
      <c r="Q721" s="421">
        <v>0.69640000000000002</v>
      </c>
      <c r="R721" s="421">
        <v>0.6</v>
      </c>
      <c r="S721" s="421">
        <v>0.61</v>
      </c>
    </row>
    <row r="722" spans="1:19" s="60" customFormat="1">
      <c r="A722" s="59">
        <f t="shared" si="88"/>
        <v>59414</v>
      </c>
      <c r="B722" s="59">
        <f t="shared" si="87"/>
        <v>59778</v>
      </c>
      <c r="C722" s="102">
        <f t="shared" si="89"/>
        <v>0.26800000000000002</v>
      </c>
      <c r="D722" s="102">
        <f t="shared" si="89"/>
        <v>0.28599999999999998</v>
      </c>
      <c r="E722" s="102">
        <f t="shared" si="89"/>
        <v>6.6000000000000003E-2</v>
      </c>
      <c r="F722" s="102">
        <f t="shared" si="89"/>
        <v>2.5999999999999999E-2</v>
      </c>
      <c r="G722" s="104">
        <v>0.26800000000000002</v>
      </c>
      <c r="H722" s="104">
        <v>0.28599999999999998</v>
      </c>
      <c r="I722" s="103">
        <v>6.6000000000000003E-2</v>
      </c>
      <c r="J722" s="104">
        <v>2.5999999999999999E-2</v>
      </c>
      <c r="K722" s="54">
        <f>(L722*4)</f>
        <v>153226</v>
      </c>
      <c r="L722" s="113">
        <f>L710*1.05</f>
        <v>38306.53</v>
      </c>
      <c r="M722" s="98">
        <f t="shared" si="84"/>
        <v>0.6</v>
      </c>
      <c r="N722" s="98">
        <v>0.26</v>
      </c>
      <c r="O722" s="98">
        <f t="shared" si="85"/>
        <v>0.61</v>
      </c>
      <c r="P722" s="98">
        <v>0.34620000000000001</v>
      </c>
      <c r="Q722" s="98">
        <v>0.69640000000000002</v>
      </c>
      <c r="R722" s="98">
        <v>0.6</v>
      </c>
      <c r="S722" s="98">
        <v>0.61</v>
      </c>
    </row>
    <row r="723" spans="1:19" s="60" customFormat="1">
      <c r="A723" s="59">
        <f t="shared" si="88"/>
        <v>59444</v>
      </c>
      <c r="B723" s="59">
        <f t="shared" si="87"/>
        <v>59808</v>
      </c>
      <c r="C723" s="102">
        <f t="shared" ref="C723:F738" si="90">AVERAGE(G723:G734)</f>
        <v>0.26800000000000002</v>
      </c>
      <c r="D723" s="102">
        <f t="shared" si="90"/>
        <v>0.28599999999999998</v>
      </c>
      <c r="E723" s="102">
        <f t="shared" si="90"/>
        <v>6.6000000000000003E-2</v>
      </c>
      <c r="F723" s="102">
        <f t="shared" si="90"/>
        <v>2.5999999999999999E-2</v>
      </c>
      <c r="G723" s="104">
        <v>0.26800000000000002</v>
      </c>
      <c r="H723" s="104">
        <v>0.28599999999999998</v>
      </c>
      <c r="I723" s="103">
        <v>6.6000000000000003E-2</v>
      </c>
      <c r="J723" s="104">
        <v>2.5999999999999999E-2</v>
      </c>
      <c r="K723" s="54">
        <f>((11/3)*L722)+((1/3)*L734)</f>
        <v>153865</v>
      </c>
      <c r="L723" s="113"/>
      <c r="M723" s="98">
        <f t="shared" si="84"/>
        <v>0.6</v>
      </c>
      <c r="N723" s="98">
        <v>0.26</v>
      </c>
      <c r="O723" s="98">
        <f t="shared" si="85"/>
        <v>0.61</v>
      </c>
      <c r="P723" s="98">
        <v>0.34620000000000001</v>
      </c>
      <c r="Q723" s="98">
        <v>0.69640000000000002</v>
      </c>
      <c r="R723" s="98">
        <v>0.6</v>
      </c>
      <c r="S723" s="98">
        <v>0.61</v>
      </c>
    </row>
    <row r="724" spans="1:19" s="60" customFormat="1">
      <c r="A724" s="59">
        <f t="shared" si="88"/>
        <v>59475</v>
      </c>
      <c r="B724" s="59">
        <f t="shared" si="87"/>
        <v>59839</v>
      </c>
      <c r="C724" s="102">
        <f t="shared" si="90"/>
        <v>0.26800000000000002</v>
      </c>
      <c r="D724" s="102">
        <f t="shared" si="90"/>
        <v>0.28599999999999998</v>
      </c>
      <c r="E724" s="102">
        <f t="shared" si="90"/>
        <v>6.6000000000000003E-2</v>
      </c>
      <c r="F724" s="102">
        <f t="shared" si="90"/>
        <v>2.5999999999999999E-2</v>
      </c>
      <c r="G724" s="104">
        <v>0.26800000000000002</v>
      </c>
      <c r="H724" s="104">
        <v>0.28599999999999998</v>
      </c>
      <c r="I724" s="103">
        <v>6.6000000000000003E-2</v>
      </c>
      <c r="J724" s="104">
        <v>2.5999999999999999E-2</v>
      </c>
      <c r="K724" s="54">
        <f>((10/3)*L722)+((2/3)*L734)</f>
        <v>154503</v>
      </c>
      <c r="L724" s="113"/>
      <c r="M724" s="98">
        <f t="shared" si="84"/>
        <v>0.6</v>
      </c>
      <c r="N724" s="98">
        <v>0.26</v>
      </c>
      <c r="O724" s="98">
        <f t="shared" si="85"/>
        <v>0.61</v>
      </c>
      <c r="P724" s="98">
        <v>0.34620000000000001</v>
      </c>
      <c r="Q724" s="98">
        <v>0.69640000000000002</v>
      </c>
      <c r="R724" s="98">
        <v>0.6</v>
      </c>
      <c r="S724" s="98">
        <v>0.61</v>
      </c>
    </row>
    <row r="725" spans="1:19" s="60" customFormat="1">
      <c r="A725" s="59">
        <f t="shared" si="88"/>
        <v>59505</v>
      </c>
      <c r="B725" s="59">
        <f t="shared" si="87"/>
        <v>59869</v>
      </c>
      <c r="C725" s="102">
        <f t="shared" si="90"/>
        <v>0.26800000000000002</v>
      </c>
      <c r="D725" s="102">
        <f t="shared" si="90"/>
        <v>0.28599999999999998</v>
      </c>
      <c r="E725" s="102">
        <f t="shared" si="90"/>
        <v>6.6000000000000003E-2</v>
      </c>
      <c r="F725" s="102">
        <f t="shared" si="90"/>
        <v>2.5999999999999999E-2</v>
      </c>
      <c r="G725" s="104">
        <v>0.26800000000000002</v>
      </c>
      <c r="H725" s="104">
        <v>0.28599999999999998</v>
      </c>
      <c r="I725" s="103">
        <v>6.6000000000000003E-2</v>
      </c>
      <c r="J725" s="104">
        <v>2.5999999999999999E-2</v>
      </c>
      <c r="K725" s="54">
        <f>((9/3)*L722)+((3/3)*L734)</f>
        <v>155141</v>
      </c>
      <c r="L725" s="113"/>
      <c r="M725" s="98">
        <f t="shared" si="84"/>
        <v>0.6</v>
      </c>
      <c r="N725" s="98">
        <v>0.26</v>
      </c>
      <c r="O725" s="98">
        <f t="shared" si="85"/>
        <v>0.61</v>
      </c>
      <c r="P725" s="98">
        <v>0.34620000000000001</v>
      </c>
      <c r="Q725" s="98">
        <v>0.69640000000000002</v>
      </c>
      <c r="R725" s="98">
        <v>0.6</v>
      </c>
      <c r="S725" s="98">
        <v>0.61</v>
      </c>
    </row>
    <row r="726" spans="1:19" s="60" customFormat="1">
      <c r="A726" s="59">
        <f t="shared" si="88"/>
        <v>59536</v>
      </c>
      <c r="B726" s="59">
        <f t="shared" si="87"/>
        <v>59900</v>
      </c>
      <c r="C726" s="102">
        <f t="shared" si="90"/>
        <v>0.26800000000000002</v>
      </c>
      <c r="D726" s="102">
        <f t="shared" si="90"/>
        <v>0.28599999999999998</v>
      </c>
      <c r="E726" s="102">
        <f t="shared" si="90"/>
        <v>6.6000000000000003E-2</v>
      </c>
      <c r="F726" s="102">
        <f t="shared" si="90"/>
        <v>2.5999999999999999E-2</v>
      </c>
      <c r="G726" s="104">
        <v>0.26800000000000002</v>
      </c>
      <c r="H726" s="104">
        <v>0.28599999999999998</v>
      </c>
      <c r="I726" s="103">
        <v>6.6000000000000003E-2</v>
      </c>
      <c r="J726" s="104">
        <v>2.5999999999999999E-2</v>
      </c>
      <c r="K726" s="54">
        <f>((8/3)*L722)+((4/3)*L734)</f>
        <v>155780</v>
      </c>
      <c r="L726" s="113"/>
      <c r="M726" s="98">
        <f t="shared" si="84"/>
        <v>0.6</v>
      </c>
      <c r="N726" s="98">
        <v>0.26</v>
      </c>
      <c r="O726" s="98">
        <f t="shared" si="85"/>
        <v>0.61</v>
      </c>
      <c r="P726" s="98">
        <v>0.34620000000000001</v>
      </c>
      <c r="Q726" s="98">
        <v>0.69640000000000002</v>
      </c>
      <c r="R726" s="98">
        <v>0.6</v>
      </c>
      <c r="S726" s="98">
        <v>0.61</v>
      </c>
    </row>
    <row r="727" spans="1:19" s="60" customFormat="1">
      <c r="A727" s="59">
        <f t="shared" si="88"/>
        <v>59567</v>
      </c>
      <c r="B727" s="59">
        <f t="shared" si="87"/>
        <v>59931</v>
      </c>
      <c r="C727" s="102">
        <f t="shared" si="90"/>
        <v>0.26800000000000002</v>
      </c>
      <c r="D727" s="102">
        <f t="shared" si="90"/>
        <v>0.28599999999999998</v>
      </c>
      <c r="E727" s="102">
        <f t="shared" si="90"/>
        <v>6.6000000000000003E-2</v>
      </c>
      <c r="F727" s="102">
        <f t="shared" si="90"/>
        <v>2.5999999999999999E-2</v>
      </c>
      <c r="G727" s="104">
        <v>0.26800000000000002</v>
      </c>
      <c r="H727" s="104">
        <v>0.28599999999999998</v>
      </c>
      <c r="I727" s="103">
        <v>6.6000000000000003E-2</v>
      </c>
      <c r="J727" s="104">
        <v>2.5999999999999999E-2</v>
      </c>
      <c r="K727" s="54">
        <f>((7/3)*L722)+((5/3)*L734)</f>
        <v>156418</v>
      </c>
      <c r="L727" s="113"/>
      <c r="M727" s="98">
        <f t="shared" si="84"/>
        <v>0.6</v>
      </c>
      <c r="N727" s="98">
        <v>0.26</v>
      </c>
      <c r="O727" s="98">
        <f t="shared" si="85"/>
        <v>0.61</v>
      </c>
      <c r="P727" s="98">
        <v>0.34620000000000001</v>
      </c>
      <c r="Q727" s="98">
        <v>0.69640000000000002</v>
      </c>
      <c r="R727" s="98">
        <v>0.6</v>
      </c>
      <c r="S727" s="98">
        <v>0.61</v>
      </c>
    </row>
    <row r="728" spans="1:19" s="60" customFormat="1">
      <c r="A728" s="59">
        <f t="shared" si="88"/>
        <v>59595</v>
      </c>
      <c r="B728" s="59">
        <f t="shared" si="87"/>
        <v>59960</v>
      </c>
      <c r="C728" s="102">
        <f t="shared" si="90"/>
        <v>0.26800000000000002</v>
      </c>
      <c r="D728" s="102">
        <f t="shared" si="90"/>
        <v>0.28599999999999998</v>
      </c>
      <c r="E728" s="102">
        <f t="shared" si="90"/>
        <v>6.6000000000000003E-2</v>
      </c>
      <c r="F728" s="102">
        <f t="shared" si="90"/>
        <v>2.5999999999999999E-2</v>
      </c>
      <c r="G728" s="104">
        <v>0.26800000000000002</v>
      </c>
      <c r="H728" s="104">
        <v>0.28599999999999998</v>
      </c>
      <c r="I728" s="103">
        <v>6.6000000000000003E-2</v>
      </c>
      <c r="J728" s="104">
        <v>2.5999999999999999E-2</v>
      </c>
      <c r="K728" s="54">
        <f>((6/3)*L722)+((6/3)*L734)</f>
        <v>157057</v>
      </c>
      <c r="L728" s="113"/>
      <c r="M728" s="98">
        <f t="shared" si="84"/>
        <v>0.6</v>
      </c>
      <c r="N728" s="98">
        <v>0.26</v>
      </c>
      <c r="O728" s="98">
        <f t="shared" si="85"/>
        <v>0.61</v>
      </c>
      <c r="P728" s="98">
        <v>0.34620000000000001</v>
      </c>
      <c r="Q728" s="98">
        <v>0.69640000000000002</v>
      </c>
      <c r="R728" s="98">
        <v>0.6</v>
      </c>
      <c r="S728" s="98">
        <v>0.61</v>
      </c>
    </row>
    <row r="729" spans="1:19" s="60" customFormat="1">
      <c r="A729" s="59">
        <f t="shared" si="88"/>
        <v>59626</v>
      </c>
      <c r="B729" s="59">
        <f t="shared" si="87"/>
        <v>59991</v>
      </c>
      <c r="C729" s="102">
        <f t="shared" si="90"/>
        <v>0.26800000000000002</v>
      </c>
      <c r="D729" s="102">
        <f t="shared" si="90"/>
        <v>0.28599999999999998</v>
      </c>
      <c r="E729" s="102">
        <f t="shared" si="90"/>
        <v>6.6000000000000003E-2</v>
      </c>
      <c r="F729" s="102">
        <f t="shared" si="90"/>
        <v>2.5999999999999999E-2</v>
      </c>
      <c r="G729" s="104">
        <v>0.26800000000000002</v>
      </c>
      <c r="H729" s="104">
        <v>0.28599999999999998</v>
      </c>
      <c r="I729" s="103">
        <v>6.6000000000000003E-2</v>
      </c>
      <c r="J729" s="104">
        <v>2.5999999999999999E-2</v>
      </c>
      <c r="K729" s="54">
        <f>((5/3)*L722)+((7/3)*L734)</f>
        <v>157695</v>
      </c>
      <c r="L729" s="113"/>
      <c r="M729" s="98">
        <f t="shared" si="84"/>
        <v>0.6</v>
      </c>
      <c r="N729" s="98">
        <v>0.26</v>
      </c>
      <c r="O729" s="98">
        <f t="shared" si="85"/>
        <v>0.61</v>
      </c>
      <c r="P729" s="98">
        <v>0.34620000000000001</v>
      </c>
      <c r="Q729" s="98">
        <v>0.69640000000000002</v>
      </c>
      <c r="R729" s="98">
        <v>0.6</v>
      </c>
      <c r="S729" s="98">
        <v>0.61</v>
      </c>
    </row>
    <row r="730" spans="1:19" s="60" customFormat="1">
      <c r="A730" s="59">
        <f t="shared" si="88"/>
        <v>59656</v>
      </c>
      <c r="B730" s="59">
        <f t="shared" si="87"/>
        <v>60021</v>
      </c>
      <c r="C730" s="102">
        <f t="shared" si="90"/>
        <v>0.26800000000000002</v>
      </c>
      <c r="D730" s="102">
        <f t="shared" si="90"/>
        <v>0.28599999999999998</v>
      </c>
      <c r="E730" s="102">
        <f t="shared" si="90"/>
        <v>6.6000000000000003E-2</v>
      </c>
      <c r="F730" s="102">
        <f t="shared" si="90"/>
        <v>2.5999999999999999E-2</v>
      </c>
      <c r="G730" s="104">
        <v>0.26800000000000002</v>
      </c>
      <c r="H730" s="104">
        <v>0.28599999999999998</v>
      </c>
      <c r="I730" s="103">
        <v>6.6000000000000003E-2</v>
      </c>
      <c r="J730" s="104">
        <v>2.5999999999999999E-2</v>
      </c>
      <c r="K730" s="54">
        <f>((4/3)*L722)+((8/3)*L734)</f>
        <v>158334</v>
      </c>
      <c r="L730" s="113"/>
      <c r="M730" s="98">
        <f t="shared" si="84"/>
        <v>0.6</v>
      </c>
      <c r="N730" s="98">
        <v>0.26</v>
      </c>
      <c r="O730" s="98">
        <f t="shared" si="85"/>
        <v>0.61</v>
      </c>
      <c r="P730" s="98">
        <v>0.34620000000000001</v>
      </c>
      <c r="Q730" s="98">
        <v>0.69640000000000002</v>
      </c>
      <c r="R730" s="98">
        <v>0.6</v>
      </c>
      <c r="S730" s="98">
        <v>0.61</v>
      </c>
    </row>
    <row r="731" spans="1:19" s="60" customFormat="1">
      <c r="A731" s="59">
        <f t="shared" si="88"/>
        <v>59687</v>
      </c>
      <c r="B731" s="59">
        <f t="shared" si="87"/>
        <v>60052</v>
      </c>
      <c r="C731" s="102">
        <f t="shared" si="90"/>
        <v>0.26800000000000002</v>
      </c>
      <c r="D731" s="102">
        <f t="shared" si="90"/>
        <v>0.28599999999999998</v>
      </c>
      <c r="E731" s="102">
        <f t="shared" si="90"/>
        <v>6.6000000000000003E-2</v>
      </c>
      <c r="F731" s="102">
        <f t="shared" si="90"/>
        <v>2.5999999999999999E-2</v>
      </c>
      <c r="G731" s="104">
        <v>0.26800000000000002</v>
      </c>
      <c r="H731" s="104">
        <v>0.28599999999999998</v>
      </c>
      <c r="I731" s="103">
        <v>6.6000000000000003E-2</v>
      </c>
      <c r="J731" s="104">
        <v>2.5999999999999999E-2</v>
      </c>
      <c r="K731" s="54">
        <f>((3/3)*L722)+((9/3)*L734)</f>
        <v>158972</v>
      </c>
      <c r="L731" s="113"/>
      <c r="M731" s="98">
        <f t="shared" si="84"/>
        <v>0.6</v>
      </c>
      <c r="N731" s="98">
        <v>0.26</v>
      </c>
      <c r="O731" s="98">
        <f t="shared" si="85"/>
        <v>0.61</v>
      </c>
      <c r="P731" s="98">
        <v>0.34620000000000001</v>
      </c>
      <c r="Q731" s="98">
        <v>0.69640000000000002</v>
      </c>
      <c r="R731" s="98">
        <v>0.6</v>
      </c>
      <c r="S731" s="98">
        <v>0.61</v>
      </c>
    </row>
    <row r="732" spans="1:19" s="60" customFormat="1">
      <c r="A732" s="59">
        <f t="shared" si="88"/>
        <v>59717</v>
      </c>
      <c r="B732" s="59">
        <f t="shared" si="87"/>
        <v>60082</v>
      </c>
      <c r="C732" s="102">
        <f t="shared" si="90"/>
        <v>0.26800000000000002</v>
      </c>
      <c r="D732" s="102">
        <f t="shared" si="90"/>
        <v>0.28599999999999998</v>
      </c>
      <c r="E732" s="102">
        <f t="shared" si="90"/>
        <v>6.6000000000000003E-2</v>
      </c>
      <c r="F732" s="102">
        <f t="shared" si="90"/>
        <v>2.5999999999999999E-2</v>
      </c>
      <c r="G732" s="104">
        <v>0.26800000000000002</v>
      </c>
      <c r="H732" s="104">
        <v>0.28599999999999998</v>
      </c>
      <c r="I732" s="103">
        <v>6.6000000000000003E-2</v>
      </c>
      <c r="J732" s="104">
        <v>2.5999999999999999E-2</v>
      </c>
      <c r="K732" s="54">
        <f>((2/3)*L722)+((10/3)*L734)</f>
        <v>159611</v>
      </c>
      <c r="L732" s="113"/>
      <c r="M732" s="98">
        <f t="shared" si="84"/>
        <v>0.6</v>
      </c>
      <c r="N732" s="98">
        <v>0.26</v>
      </c>
      <c r="O732" s="98">
        <f t="shared" si="85"/>
        <v>0.61</v>
      </c>
      <c r="P732" s="98">
        <v>0.34620000000000001</v>
      </c>
      <c r="Q732" s="98">
        <v>0.69640000000000002</v>
      </c>
      <c r="R732" s="98">
        <v>0.6</v>
      </c>
      <c r="S732" s="98">
        <v>0.61</v>
      </c>
    </row>
    <row r="733" spans="1:19" s="60" customFormat="1">
      <c r="A733" s="59">
        <f t="shared" si="88"/>
        <v>59748</v>
      </c>
      <c r="B733" s="59">
        <f t="shared" si="87"/>
        <v>60113</v>
      </c>
      <c r="C733" s="99">
        <f t="shared" si="90"/>
        <v>0.26800000000000002</v>
      </c>
      <c r="D733" s="99">
        <f t="shared" si="90"/>
        <v>0.28599999999999998</v>
      </c>
      <c r="E733" s="99">
        <f t="shared" si="90"/>
        <v>6.6000000000000003E-2</v>
      </c>
      <c r="F733" s="99">
        <f t="shared" si="90"/>
        <v>2.5999999999999999E-2</v>
      </c>
      <c r="G733" s="104">
        <v>0.26800000000000002</v>
      </c>
      <c r="H733" s="104">
        <v>0.28599999999999998</v>
      </c>
      <c r="I733" s="103">
        <v>6.6000000000000003E-2</v>
      </c>
      <c r="J733" s="104">
        <v>2.5999999999999999E-2</v>
      </c>
      <c r="K733" s="54">
        <f>((1/3)*L722)+((11/3)*L734)</f>
        <v>160249</v>
      </c>
      <c r="L733" s="113"/>
      <c r="M733" s="98">
        <f t="shared" si="84"/>
        <v>0.6</v>
      </c>
      <c r="N733" s="98">
        <v>0.26</v>
      </c>
      <c r="O733" s="98">
        <f t="shared" si="85"/>
        <v>0.61</v>
      </c>
      <c r="P733" s="98">
        <v>0.34620000000000001</v>
      </c>
      <c r="Q733" s="98">
        <v>0.69640000000000002</v>
      </c>
      <c r="R733" s="98">
        <v>0.6</v>
      </c>
      <c r="S733" s="98">
        <v>0.61</v>
      </c>
    </row>
    <row r="734" spans="1:19" s="96" customFormat="1">
      <c r="A734" s="95">
        <f t="shared" si="88"/>
        <v>59779</v>
      </c>
      <c r="B734" s="95">
        <f t="shared" si="87"/>
        <v>60144</v>
      </c>
      <c r="C734" s="105">
        <f t="shared" si="90"/>
        <v>0.26800000000000002</v>
      </c>
      <c r="D734" s="105">
        <f t="shared" si="90"/>
        <v>0.28599999999999998</v>
      </c>
      <c r="E734" s="105">
        <f t="shared" si="90"/>
        <v>6.6000000000000003E-2</v>
      </c>
      <c r="F734" s="105">
        <f t="shared" si="90"/>
        <v>2.5999999999999999E-2</v>
      </c>
      <c r="G734" s="107">
        <v>0.26800000000000002</v>
      </c>
      <c r="H734" s="107">
        <v>0.28599999999999998</v>
      </c>
      <c r="I734" s="106">
        <v>6.6000000000000003E-2</v>
      </c>
      <c r="J734" s="107">
        <v>2.5999999999999999E-2</v>
      </c>
      <c r="K734" s="94">
        <f>(L734*4)</f>
        <v>160887</v>
      </c>
      <c r="L734" s="114">
        <f>L722*1.05</f>
        <v>40221.86</v>
      </c>
      <c r="M734" s="421">
        <f t="shared" si="84"/>
        <v>0.6</v>
      </c>
      <c r="N734" s="421">
        <v>0.26</v>
      </c>
      <c r="O734" s="421">
        <f t="shared" si="85"/>
        <v>0.61</v>
      </c>
      <c r="P734" s="421">
        <v>0.34620000000000001</v>
      </c>
      <c r="Q734" s="421">
        <v>0.69640000000000002</v>
      </c>
      <c r="R734" s="421">
        <v>0.6</v>
      </c>
      <c r="S734" s="421">
        <v>0.61</v>
      </c>
    </row>
    <row r="735" spans="1:19" s="96" customFormat="1">
      <c r="A735" s="95">
        <f t="shared" si="88"/>
        <v>59809</v>
      </c>
      <c r="B735" s="95">
        <f t="shared" si="87"/>
        <v>60174</v>
      </c>
      <c r="C735" s="105">
        <f t="shared" si="90"/>
        <v>0.26800000000000002</v>
      </c>
      <c r="D735" s="105">
        <f t="shared" si="90"/>
        <v>0.28599999999999998</v>
      </c>
      <c r="E735" s="105">
        <f t="shared" si="90"/>
        <v>6.6000000000000003E-2</v>
      </c>
      <c r="F735" s="105">
        <f t="shared" si="90"/>
        <v>2.5999999999999999E-2</v>
      </c>
      <c r="G735" s="107">
        <v>0.26800000000000002</v>
      </c>
      <c r="H735" s="107">
        <v>0.28599999999999998</v>
      </c>
      <c r="I735" s="106">
        <v>6.6000000000000003E-2</v>
      </c>
      <c r="J735" s="107">
        <v>2.5999999999999999E-2</v>
      </c>
      <c r="K735" s="94">
        <f>((11/3)*L734)+((1/3)*L746)</f>
        <v>161558</v>
      </c>
      <c r="L735" s="114"/>
      <c r="M735" s="421">
        <f t="shared" si="84"/>
        <v>0.6</v>
      </c>
      <c r="N735" s="421">
        <v>0.26</v>
      </c>
      <c r="O735" s="421">
        <f t="shared" si="85"/>
        <v>0.61</v>
      </c>
      <c r="P735" s="421">
        <v>0.34620000000000001</v>
      </c>
      <c r="Q735" s="421">
        <v>0.69640000000000002</v>
      </c>
      <c r="R735" s="421">
        <v>0.6</v>
      </c>
      <c r="S735" s="421">
        <v>0.61</v>
      </c>
    </row>
    <row r="736" spans="1:19" s="96" customFormat="1">
      <c r="A736" s="95">
        <f t="shared" si="88"/>
        <v>59840</v>
      </c>
      <c r="B736" s="95">
        <f t="shared" si="87"/>
        <v>60205</v>
      </c>
      <c r="C736" s="105">
        <f t="shared" si="90"/>
        <v>0.26800000000000002</v>
      </c>
      <c r="D736" s="105">
        <f t="shared" si="90"/>
        <v>0.28599999999999998</v>
      </c>
      <c r="E736" s="105">
        <f t="shared" si="90"/>
        <v>6.6000000000000003E-2</v>
      </c>
      <c r="F736" s="105">
        <f t="shared" si="90"/>
        <v>2.5999999999999999E-2</v>
      </c>
      <c r="G736" s="107">
        <v>0.26800000000000002</v>
      </c>
      <c r="H736" s="107">
        <v>0.28599999999999998</v>
      </c>
      <c r="I736" s="106">
        <v>6.6000000000000003E-2</v>
      </c>
      <c r="J736" s="107">
        <v>2.5999999999999999E-2</v>
      </c>
      <c r="K736" s="94">
        <f>((10/3)*L734)+((2/3)*L746)</f>
        <v>162228</v>
      </c>
      <c r="L736" s="114"/>
      <c r="M736" s="421">
        <f t="shared" si="84"/>
        <v>0.6</v>
      </c>
      <c r="N736" s="421">
        <v>0.26</v>
      </c>
      <c r="O736" s="421">
        <f t="shared" si="85"/>
        <v>0.61</v>
      </c>
      <c r="P736" s="421">
        <v>0.34620000000000001</v>
      </c>
      <c r="Q736" s="421">
        <v>0.69640000000000002</v>
      </c>
      <c r="R736" s="421">
        <v>0.6</v>
      </c>
      <c r="S736" s="421">
        <v>0.61</v>
      </c>
    </row>
    <row r="737" spans="1:19" s="96" customFormat="1">
      <c r="A737" s="95">
        <f t="shared" si="88"/>
        <v>59870</v>
      </c>
      <c r="B737" s="95">
        <f t="shared" si="87"/>
        <v>60235</v>
      </c>
      <c r="C737" s="105">
        <f t="shared" si="90"/>
        <v>0.26800000000000002</v>
      </c>
      <c r="D737" s="105">
        <f t="shared" si="90"/>
        <v>0.28599999999999998</v>
      </c>
      <c r="E737" s="105">
        <f t="shared" si="90"/>
        <v>6.6000000000000003E-2</v>
      </c>
      <c r="F737" s="105">
        <f t="shared" si="90"/>
        <v>2.5999999999999999E-2</v>
      </c>
      <c r="G737" s="107">
        <v>0.26800000000000002</v>
      </c>
      <c r="H737" s="107">
        <v>0.28599999999999998</v>
      </c>
      <c r="I737" s="106">
        <v>6.6000000000000003E-2</v>
      </c>
      <c r="J737" s="107">
        <v>2.5999999999999999E-2</v>
      </c>
      <c r="K737" s="94">
        <f>((9/3)*L734)+((3/3)*L746)</f>
        <v>162899</v>
      </c>
      <c r="L737" s="114"/>
      <c r="M737" s="421">
        <f t="shared" si="84"/>
        <v>0.6</v>
      </c>
      <c r="N737" s="421">
        <v>0.26</v>
      </c>
      <c r="O737" s="421">
        <f t="shared" si="85"/>
        <v>0.61</v>
      </c>
      <c r="P737" s="421">
        <v>0.34620000000000001</v>
      </c>
      <c r="Q737" s="421">
        <v>0.69640000000000002</v>
      </c>
      <c r="R737" s="421">
        <v>0.6</v>
      </c>
      <c r="S737" s="421">
        <v>0.61</v>
      </c>
    </row>
    <row r="738" spans="1:19" s="96" customFormat="1">
      <c r="A738" s="95">
        <f t="shared" si="88"/>
        <v>59901</v>
      </c>
      <c r="B738" s="95">
        <f t="shared" si="87"/>
        <v>60266</v>
      </c>
      <c r="C738" s="105">
        <f t="shared" si="90"/>
        <v>0.26800000000000002</v>
      </c>
      <c r="D738" s="105">
        <f t="shared" si="90"/>
        <v>0.28599999999999998</v>
      </c>
      <c r="E738" s="105">
        <f t="shared" si="90"/>
        <v>6.6000000000000003E-2</v>
      </c>
      <c r="F738" s="105">
        <f t="shared" si="90"/>
        <v>2.5999999999999999E-2</v>
      </c>
      <c r="G738" s="107">
        <v>0.26800000000000002</v>
      </c>
      <c r="H738" s="107">
        <v>0.28599999999999998</v>
      </c>
      <c r="I738" s="106">
        <v>6.6000000000000003E-2</v>
      </c>
      <c r="J738" s="107">
        <v>2.5999999999999999E-2</v>
      </c>
      <c r="K738" s="94">
        <f>((8/3)*L734)+((4/3)*L746)</f>
        <v>163569</v>
      </c>
      <c r="L738" s="114"/>
      <c r="M738" s="421">
        <f t="shared" si="84"/>
        <v>0.6</v>
      </c>
      <c r="N738" s="421">
        <v>0.26</v>
      </c>
      <c r="O738" s="421">
        <f t="shared" si="85"/>
        <v>0.61</v>
      </c>
      <c r="P738" s="421">
        <v>0.34620000000000001</v>
      </c>
      <c r="Q738" s="421">
        <v>0.69640000000000002</v>
      </c>
      <c r="R738" s="421">
        <v>0.6</v>
      </c>
      <c r="S738" s="421">
        <v>0.61</v>
      </c>
    </row>
    <row r="739" spans="1:19" s="96" customFormat="1">
      <c r="A739" s="95">
        <f t="shared" si="88"/>
        <v>59932</v>
      </c>
      <c r="B739" s="95">
        <f t="shared" si="87"/>
        <v>60297</v>
      </c>
      <c r="C739" s="105">
        <f t="shared" ref="C739:F754" si="91">AVERAGE(G739:G750)</f>
        <v>0.26800000000000002</v>
      </c>
      <c r="D739" s="105">
        <f t="shared" si="91"/>
        <v>0.28599999999999998</v>
      </c>
      <c r="E739" s="105">
        <f t="shared" si="91"/>
        <v>6.6000000000000003E-2</v>
      </c>
      <c r="F739" s="105">
        <f t="shared" si="91"/>
        <v>2.5999999999999999E-2</v>
      </c>
      <c r="G739" s="107">
        <v>0.26800000000000002</v>
      </c>
      <c r="H739" s="107">
        <v>0.28599999999999998</v>
      </c>
      <c r="I739" s="106">
        <v>6.6000000000000003E-2</v>
      </c>
      <c r="J739" s="107">
        <v>2.5999999999999999E-2</v>
      </c>
      <c r="K739" s="94">
        <f>((7/3)*L734)+((5/3)*L746)</f>
        <v>164239</v>
      </c>
      <c r="L739" s="114"/>
      <c r="M739" s="421">
        <f t="shared" si="84"/>
        <v>0.6</v>
      </c>
      <c r="N739" s="421">
        <v>0.26</v>
      </c>
      <c r="O739" s="421">
        <f t="shared" si="85"/>
        <v>0.61</v>
      </c>
      <c r="P739" s="421">
        <v>0.34620000000000001</v>
      </c>
      <c r="Q739" s="421">
        <v>0.69640000000000002</v>
      </c>
      <c r="R739" s="421">
        <v>0.6</v>
      </c>
      <c r="S739" s="421">
        <v>0.61</v>
      </c>
    </row>
    <row r="740" spans="1:19" s="96" customFormat="1">
      <c r="A740" s="95">
        <f t="shared" si="88"/>
        <v>59961</v>
      </c>
      <c r="B740" s="95">
        <f t="shared" si="87"/>
        <v>60325</v>
      </c>
      <c r="C740" s="105">
        <f t="shared" si="91"/>
        <v>0.26800000000000002</v>
      </c>
      <c r="D740" s="105">
        <f t="shared" si="91"/>
        <v>0.28599999999999998</v>
      </c>
      <c r="E740" s="105">
        <f t="shared" si="91"/>
        <v>6.6000000000000003E-2</v>
      </c>
      <c r="F740" s="105">
        <f t="shared" si="91"/>
        <v>2.5999999999999999E-2</v>
      </c>
      <c r="G740" s="107">
        <v>0.26800000000000002</v>
      </c>
      <c r="H740" s="107">
        <v>0.28599999999999998</v>
      </c>
      <c r="I740" s="106">
        <v>6.6000000000000003E-2</v>
      </c>
      <c r="J740" s="107">
        <v>2.5999999999999999E-2</v>
      </c>
      <c r="K740" s="94">
        <f>((6/3)*L734)+((6/3)*L746)</f>
        <v>164910</v>
      </c>
      <c r="L740" s="114"/>
      <c r="M740" s="421">
        <f t="shared" si="84"/>
        <v>0.6</v>
      </c>
      <c r="N740" s="421">
        <v>0.26</v>
      </c>
      <c r="O740" s="421">
        <f t="shared" si="85"/>
        <v>0.61</v>
      </c>
      <c r="P740" s="421">
        <v>0.34620000000000001</v>
      </c>
      <c r="Q740" s="421">
        <v>0.69640000000000002</v>
      </c>
      <c r="R740" s="421">
        <v>0.6</v>
      </c>
      <c r="S740" s="421">
        <v>0.61</v>
      </c>
    </row>
    <row r="741" spans="1:19" s="96" customFormat="1">
      <c r="A741" s="95">
        <f t="shared" si="88"/>
        <v>59992</v>
      </c>
      <c r="B741" s="95">
        <f t="shared" si="87"/>
        <v>60356</v>
      </c>
      <c r="C741" s="105">
        <f t="shared" si="91"/>
        <v>0.26800000000000002</v>
      </c>
      <c r="D741" s="105">
        <f t="shared" si="91"/>
        <v>0.28599999999999998</v>
      </c>
      <c r="E741" s="105">
        <f t="shared" si="91"/>
        <v>6.6000000000000003E-2</v>
      </c>
      <c r="F741" s="105">
        <f t="shared" si="91"/>
        <v>2.5999999999999999E-2</v>
      </c>
      <c r="G741" s="107">
        <v>0.26800000000000002</v>
      </c>
      <c r="H741" s="107">
        <v>0.28599999999999998</v>
      </c>
      <c r="I741" s="106">
        <v>6.6000000000000003E-2</v>
      </c>
      <c r="J741" s="107">
        <v>2.5999999999999999E-2</v>
      </c>
      <c r="K741" s="94">
        <f>((5/3)*L734)+((7/3)*L746)</f>
        <v>165580</v>
      </c>
      <c r="L741" s="114"/>
      <c r="M741" s="421">
        <f t="shared" si="84"/>
        <v>0.6</v>
      </c>
      <c r="N741" s="421">
        <v>0.26</v>
      </c>
      <c r="O741" s="421">
        <f t="shared" si="85"/>
        <v>0.61</v>
      </c>
      <c r="P741" s="421">
        <v>0.34620000000000001</v>
      </c>
      <c r="Q741" s="421">
        <v>0.69640000000000002</v>
      </c>
      <c r="R741" s="421">
        <v>0.6</v>
      </c>
      <c r="S741" s="421">
        <v>0.61</v>
      </c>
    </row>
    <row r="742" spans="1:19" s="96" customFormat="1">
      <c r="A742" s="95">
        <f t="shared" si="88"/>
        <v>60022</v>
      </c>
      <c r="B742" s="95">
        <f t="shared" si="87"/>
        <v>60386</v>
      </c>
      <c r="C742" s="105">
        <f t="shared" si="91"/>
        <v>0.26800000000000002</v>
      </c>
      <c r="D742" s="105">
        <f t="shared" si="91"/>
        <v>0.28599999999999998</v>
      </c>
      <c r="E742" s="105">
        <f t="shared" si="91"/>
        <v>6.6000000000000003E-2</v>
      </c>
      <c r="F742" s="105">
        <f t="shared" si="91"/>
        <v>2.5999999999999999E-2</v>
      </c>
      <c r="G742" s="107">
        <v>0.26800000000000002</v>
      </c>
      <c r="H742" s="107">
        <v>0.28599999999999998</v>
      </c>
      <c r="I742" s="106">
        <v>6.6000000000000003E-2</v>
      </c>
      <c r="J742" s="107">
        <v>2.5999999999999999E-2</v>
      </c>
      <c r="K742" s="94">
        <f>((4/3)*L734)+((8/3)*L746)</f>
        <v>166250</v>
      </c>
      <c r="L742" s="114"/>
      <c r="M742" s="421">
        <f t="shared" si="84"/>
        <v>0.6</v>
      </c>
      <c r="N742" s="421">
        <v>0.26</v>
      </c>
      <c r="O742" s="421">
        <f t="shared" si="85"/>
        <v>0.61</v>
      </c>
      <c r="P742" s="421">
        <v>0.34620000000000001</v>
      </c>
      <c r="Q742" s="421">
        <v>0.69640000000000002</v>
      </c>
      <c r="R742" s="421">
        <v>0.6</v>
      </c>
      <c r="S742" s="421">
        <v>0.61</v>
      </c>
    </row>
    <row r="743" spans="1:19" s="96" customFormat="1">
      <c r="A743" s="95">
        <f t="shared" si="88"/>
        <v>60053</v>
      </c>
      <c r="B743" s="95">
        <f t="shared" si="87"/>
        <v>60417</v>
      </c>
      <c r="C743" s="105">
        <f t="shared" si="91"/>
        <v>0.26800000000000002</v>
      </c>
      <c r="D743" s="105">
        <f t="shared" si="91"/>
        <v>0.28599999999999998</v>
      </c>
      <c r="E743" s="105">
        <f t="shared" si="91"/>
        <v>6.6000000000000003E-2</v>
      </c>
      <c r="F743" s="105">
        <f t="shared" si="91"/>
        <v>2.5999999999999999E-2</v>
      </c>
      <c r="G743" s="107">
        <v>0.26800000000000002</v>
      </c>
      <c r="H743" s="107">
        <v>0.28599999999999998</v>
      </c>
      <c r="I743" s="106">
        <v>6.6000000000000003E-2</v>
      </c>
      <c r="J743" s="107">
        <v>2.5999999999999999E-2</v>
      </c>
      <c r="K743" s="94">
        <f>((3/3)*L734)+((9/3)*L746)</f>
        <v>166921</v>
      </c>
      <c r="L743" s="114"/>
      <c r="M743" s="421">
        <f t="shared" si="84"/>
        <v>0.6</v>
      </c>
      <c r="N743" s="421">
        <v>0.26</v>
      </c>
      <c r="O743" s="421">
        <f t="shared" si="85"/>
        <v>0.61</v>
      </c>
      <c r="P743" s="421">
        <v>0.34620000000000001</v>
      </c>
      <c r="Q743" s="421">
        <v>0.69640000000000002</v>
      </c>
      <c r="R743" s="421">
        <v>0.6</v>
      </c>
      <c r="S743" s="421">
        <v>0.61</v>
      </c>
    </row>
    <row r="744" spans="1:19" s="96" customFormat="1">
      <c r="A744" s="95">
        <f t="shared" si="88"/>
        <v>60083</v>
      </c>
      <c r="B744" s="95">
        <f t="shared" si="87"/>
        <v>60447</v>
      </c>
      <c r="C744" s="105">
        <f t="shared" si="91"/>
        <v>0.26800000000000002</v>
      </c>
      <c r="D744" s="105">
        <f t="shared" si="91"/>
        <v>0.28599999999999998</v>
      </c>
      <c r="E744" s="105">
        <f t="shared" si="91"/>
        <v>6.6000000000000003E-2</v>
      </c>
      <c r="F744" s="105">
        <f t="shared" si="91"/>
        <v>2.5999999999999999E-2</v>
      </c>
      <c r="G744" s="107">
        <v>0.26800000000000002</v>
      </c>
      <c r="H744" s="107">
        <v>0.28599999999999998</v>
      </c>
      <c r="I744" s="106">
        <v>6.6000000000000003E-2</v>
      </c>
      <c r="J744" s="107">
        <v>2.5999999999999999E-2</v>
      </c>
      <c r="K744" s="94">
        <f>((2/3)*L734)+((10/3)*L746)</f>
        <v>167591</v>
      </c>
      <c r="L744" s="114"/>
      <c r="M744" s="421">
        <f t="shared" si="84"/>
        <v>0.6</v>
      </c>
      <c r="N744" s="421">
        <v>0.26</v>
      </c>
      <c r="O744" s="421">
        <f t="shared" si="85"/>
        <v>0.61</v>
      </c>
      <c r="P744" s="421">
        <v>0.34620000000000001</v>
      </c>
      <c r="Q744" s="421">
        <v>0.69640000000000002</v>
      </c>
      <c r="R744" s="421">
        <v>0.6</v>
      </c>
      <c r="S744" s="421">
        <v>0.61</v>
      </c>
    </row>
    <row r="745" spans="1:19" s="96" customFormat="1">
      <c r="A745" s="95">
        <f t="shared" si="88"/>
        <v>60114</v>
      </c>
      <c r="B745" s="95">
        <f t="shared" si="87"/>
        <v>60478</v>
      </c>
      <c r="C745" s="105">
        <f t="shared" si="91"/>
        <v>0.26800000000000002</v>
      </c>
      <c r="D745" s="105">
        <f t="shared" si="91"/>
        <v>0.28599999999999998</v>
      </c>
      <c r="E745" s="105">
        <f t="shared" si="91"/>
        <v>6.6000000000000003E-2</v>
      </c>
      <c r="F745" s="105">
        <f t="shared" si="91"/>
        <v>2.5999999999999999E-2</v>
      </c>
      <c r="G745" s="107">
        <v>0.26800000000000002</v>
      </c>
      <c r="H745" s="107">
        <v>0.28599999999999998</v>
      </c>
      <c r="I745" s="106">
        <v>6.6000000000000003E-2</v>
      </c>
      <c r="J745" s="107">
        <v>2.5999999999999999E-2</v>
      </c>
      <c r="K745" s="94">
        <f>((1/3)*L734)+((11/3)*L746)</f>
        <v>168261</v>
      </c>
      <c r="L745" s="114"/>
      <c r="M745" s="421">
        <f t="shared" si="84"/>
        <v>0.6</v>
      </c>
      <c r="N745" s="421">
        <v>0.26</v>
      </c>
      <c r="O745" s="421">
        <f t="shared" si="85"/>
        <v>0.61</v>
      </c>
      <c r="P745" s="421">
        <v>0.34620000000000001</v>
      </c>
      <c r="Q745" s="421">
        <v>0.69640000000000002</v>
      </c>
      <c r="R745" s="421">
        <v>0.6</v>
      </c>
      <c r="S745" s="421">
        <v>0.61</v>
      </c>
    </row>
    <row r="746" spans="1:19" s="60" customFormat="1">
      <c r="A746" s="59">
        <f t="shared" si="88"/>
        <v>60145</v>
      </c>
      <c r="B746" s="59">
        <f t="shared" si="87"/>
        <v>60509</v>
      </c>
      <c r="C746" s="102">
        <f t="shared" si="91"/>
        <v>0.26800000000000002</v>
      </c>
      <c r="D746" s="102">
        <f t="shared" si="91"/>
        <v>0.28599999999999998</v>
      </c>
      <c r="E746" s="102">
        <f t="shared" si="91"/>
        <v>6.6000000000000003E-2</v>
      </c>
      <c r="F746" s="102">
        <f t="shared" si="91"/>
        <v>2.5999999999999999E-2</v>
      </c>
      <c r="G746" s="104">
        <v>0.26800000000000002</v>
      </c>
      <c r="H746" s="104">
        <v>0.28599999999999998</v>
      </c>
      <c r="I746" s="103">
        <v>6.6000000000000003E-2</v>
      </c>
      <c r="J746" s="104">
        <v>2.5999999999999999E-2</v>
      </c>
      <c r="K746" s="54">
        <f>(L746*4)</f>
        <v>168932</v>
      </c>
      <c r="L746" s="113">
        <f>L734*1.05</f>
        <v>42232.95</v>
      </c>
      <c r="M746" s="98">
        <f t="shared" si="84"/>
        <v>0.6</v>
      </c>
      <c r="N746" s="98">
        <v>0.26</v>
      </c>
      <c r="O746" s="98">
        <f t="shared" si="85"/>
        <v>0.61</v>
      </c>
      <c r="P746" s="98">
        <v>0.34620000000000001</v>
      </c>
      <c r="Q746" s="98">
        <v>0.69640000000000002</v>
      </c>
      <c r="R746" s="98">
        <v>0.6</v>
      </c>
      <c r="S746" s="98">
        <v>0.61</v>
      </c>
    </row>
    <row r="747" spans="1:19" s="60" customFormat="1">
      <c r="A747" s="59">
        <f t="shared" si="88"/>
        <v>60175</v>
      </c>
      <c r="B747" s="59">
        <f t="shared" si="87"/>
        <v>60539</v>
      </c>
      <c r="C747" s="102">
        <f t="shared" si="91"/>
        <v>0.26800000000000002</v>
      </c>
      <c r="D747" s="102">
        <f t="shared" si="91"/>
        <v>0.28599999999999998</v>
      </c>
      <c r="E747" s="102">
        <f t="shared" si="91"/>
        <v>6.6000000000000003E-2</v>
      </c>
      <c r="F747" s="102">
        <f t="shared" si="91"/>
        <v>2.5999999999999999E-2</v>
      </c>
      <c r="G747" s="104">
        <v>0.26800000000000002</v>
      </c>
      <c r="H747" s="104">
        <v>0.28599999999999998</v>
      </c>
      <c r="I747" s="103">
        <v>6.6000000000000003E-2</v>
      </c>
      <c r="J747" s="104">
        <v>2.5999999999999999E-2</v>
      </c>
      <c r="K747" s="54">
        <f>((11/3)*L746)+((1/3)*L758)</f>
        <v>169636</v>
      </c>
      <c r="L747" s="113"/>
      <c r="M747" s="98">
        <f t="shared" si="84"/>
        <v>0.6</v>
      </c>
      <c r="N747" s="98">
        <v>0.26</v>
      </c>
      <c r="O747" s="98">
        <f t="shared" si="85"/>
        <v>0.61</v>
      </c>
      <c r="P747" s="98">
        <v>0.34620000000000001</v>
      </c>
      <c r="Q747" s="98">
        <v>0.69640000000000002</v>
      </c>
      <c r="R747" s="98">
        <v>0.6</v>
      </c>
      <c r="S747" s="98">
        <v>0.61</v>
      </c>
    </row>
    <row r="748" spans="1:19" s="60" customFormat="1">
      <c r="A748" s="59">
        <f t="shared" si="88"/>
        <v>60206</v>
      </c>
      <c r="B748" s="59">
        <f t="shared" si="87"/>
        <v>60570</v>
      </c>
      <c r="C748" s="102">
        <f t="shared" si="91"/>
        <v>0.26800000000000002</v>
      </c>
      <c r="D748" s="102">
        <f t="shared" si="91"/>
        <v>0.28599999999999998</v>
      </c>
      <c r="E748" s="102">
        <f t="shared" si="91"/>
        <v>6.6000000000000003E-2</v>
      </c>
      <c r="F748" s="102">
        <f t="shared" si="91"/>
        <v>2.5999999999999999E-2</v>
      </c>
      <c r="G748" s="104">
        <v>0.26800000000000002</v>
      </c>
      <c r="H748" s="104">
        <v>0.28599999999999998</v>
      </c>
      <c r="I748" s="103">
        <v>6.6000000000000003E-2</v>
      </c>
      <c r="J748" s="104">
        <v>2.5999999999999999E-2</v>
      </c>
      <c r="K748" s="54">
        <f>((10/3)*L746)+((2/3)*L758)</f>
        <v>170340</v>
      </c>
      <c r="L748" s="113"/>
      <c r="M748" s="98">
        <f t="shared" si="84"/>
        <v>0.6</v>
      </c>
      <c r="N748" s="98">
        <v>0.26</v>
      </c>
      <c r="O748" s="98">
        <f t="shared" si="85"/>
        <v>0.61</v>
      </c>
      <c r="P748" s="98">
        <v>0.34620000000000001</v>
      </c>
      <c r="Q748" s="98">
        <v>0.69640000000000002</v>
      </c>
      <c r="R748" s="98">
        <v>0.6</v>
      </c>
      <c r="S748" s="98">
        <v>0.61</v>
      </c>
    </row>
    <row r="749" spans="1:19" s="60" customFormat="1">
      <c r="A749" s="59">
        <f t="shared" si="88"/>
        <v>60236</v>
      </c>
      <c r="B749" s="59">
        <f t="shared" si="87"/>
        <v>60600</v>
      </c>
      <c r="C749" s="102">
        <f t="shared" si="91"/>
        <v>0.26800000000000002</v>
      </c>
      <c r="D749" s="102">
        <f t="shared" si="91"/>
        <v>0.28599999999999998</v>
      </c>
      <c r="E749" s="102">
        <f t="shared" si="91"/>
        <v>6.6000000000000003E-2</v>
      </c>
      <c r="F749" s="102">
        <f t="shared" si="91"/>
        <v>2.5999999999999999E-2</v>
      </c>
      <c r="G749" s="104">
        <v>0.26800000000000002</v>
      </c>
      <c r="H749" s="104">
        <v>0.28599999999999998</v>
      </c>
      <c r="I749" s="103">
        <v>6.6000000000000003E-2</v>
      </c>
      <c r="J749" s="104">
        <v>2.5999999999999999E-2</v>
      </c>
      <c r="K749" s="54">
        <f>((9/3)*L746)+((3/3)*L758)</f>
        <v>171043</v>
      </c>
      <c r="L749" s="113"/>
      <c r="M749" s="98">
        <f t="shared" si="84"/>
        <v>0.6</v>
      </c>
      <c r="N749" s="98">
        <v>0.26</v>
      </c>
      <c r="O749" s="98">
        <f t="shared" si="85"/>
        <v>0.61</v>
      </c>
      <c r="P749" s="98">
        <v>0.34620000000000001</v>
      </c>
      <c r="Q749" s="98">
        <v>0.69640000000000002</v>
      </c>
      <c r="R749" s="98">
        <v>0.6</v>
      </c>
      <c r="S749" s="98">
        <v>0.61</v>
      </c>
    </row>
    <row r="750" spans="1:19" s="60" customFormat="1">
      <c r="A750" s="59">
        <f t="shared" si="88"/>
        <v>60267</v>
      </c>
      <c r="B750" s="59">
        <f t="shared" si="87"/>
        <v>60631</v>
      </c>
      <c r="C750" s="102">
        <f t="shared" si="91"/>
        <v>0.26800000000000002</v>
      </c>
      <c r="D750" s="102">
        <f t="shared" si="91"/>
        <v>0.28599999999999998</v>
      </c>
      <c r="E750" s="102">
        <f t="shared" si="91"/>
        <v>6.6000000000000003E-2</v>
      </c>
      <c r="F750" s="102">
        <f t="shared" si="91"/>
        <v>2.5999999999999999E-2</v>
      </c>
      <c r="G750" s="104">
        <v>0.26800000000000002</v>
      </c>
      <c r="H750" s="104">
        <v>0.28599999999999998</v>
      </c>
      <c r="I750" s="103">
        <v>6.6000000000000003E-2</v>
      </c>
      <c r="J750" s="104">
        <v>2.5999999999999999E-2</v>
      </c>
      <c r="K750" s="54">
        <f>((8/3)*L746)+((4/3)*L758)</f>
        <v>171747</v>
      </c>
      <c r="L750" s="113"/>
      <c r="M750" s="98">
        <f t="shared" si="84"/>
        <v>0.6</v>
      </c>
      <c r="N750" s="98">
        <v>0.26</v>
      </c>
      <c r="O750" s="98">
        <f t="shared" si="85"/>
        <v>0.61</v>
      </c>
      <c r="P750" s="98">
        <v>0.34620000000000001</v>
      </c>
      <c r="Q750" s="98">
        <v>0.69640000000000002</v>
      </c>
      <c r="R750" s="98">
        <v>0.6</v>
      </c>
      <c r="S750" s="98">
        <v>0.61</v>
      </c>
    </row>
    <row r="751" spans="1:19" s="60" customFormat="1">
      <c r="A751" s="59">
        <f t="shared" si="88"/>
        <v>60298</v>
      </c>
      <c r="B751" s="59">
        <f t="shared" si="87"/>
        <v>60662</v>
      </c>
      <c r="C751" s="102">
        <f t="shared" si="91"/>
        <v>0.26800000000000002</v>
      </c>
      <c r="D751" s="102">
        <f t="shared" si="91"/>
        <v>0.28599999999999998</v>
      </c>
      <c r="E751" s="102">
        <f t="shared" si="91"/>
        <v>6.6000000000000003E-2</v>
      </c>
      <c r="F751" s="102">
        <f t="shared" si="91"/>
        <v>2.5999999999999999E-2</v>
      </c>
      <c r="G751" s="104">
        <v>0.26800000000000002</v>
      </c>
      <c r="H751" s="104">
        <v>0.28599999999999998</v>
      </c>
      <c r="I751" s="103">
        <v>6.6000000000000003E-2</v>
      </c>
      <c r="J751" s="104">
        <v>2.5999999999999999E-2</v>
      </c>
      <c r="K751" s="54">
        <f>((7/3)*L746)+((5/3)*L758)</f>
        <v>172451</v>
      </c>
      <c r="L751" s="113"/>
      <c r="M751" s="98">
        <f t="shared" ref="M751:M805" si="92">AVERAGE(R751:R762)</f>
        <v>0.6</v>
      </c>
      <c r="N751" s="98">
        <v>0.26</v>
      </c>
      <c r="O751" s="98">
        <f t="shared" ref="O751:O805" si="93">AVERAGE(S751:S762)</f>
        <v>0.61</v>
      </c>
      <c r="P751" s="98">
        <v>0.34620000000000001</v>
      </c>
      <c r="Q751" s="98">
        <v>0.69640000000000002</v>
      </c>
      <c r="R751" s="98">
        <v>0.6</v>
      </c>
      <c r="S751" s="98">
        <v>0.61</v>
      </c>
    </row>
    <row r="752" spans="1:19" s="60" customFormat="1">
      <c r="A752" s="59">
        <f t="shared" si="88"/>
        <v>60326</v>
      </c>
      <c r="B752" s="59">
        <f t="shared" si="87"/>
        <v>60690</v>
      </c>
      <c r="C752" s="102">
        <f t="shared" si="91"/>
        <v>0.26800000000000002</v>
      </c>
      <c r="D752" s="102">
        <f t="shared" si="91"/>
        <v>0.28599999999999998</v>
      </c>
      <c r="E752" s="102">
        <f t="shared" si="91"/>
        <v>6.6000000000000003E-2</v>
      </c>
      <c r="F752" s="102">
        <f t="shared" si="91"/>
        <v>2.5999999999999999E-2</v>
      </c>
      <c r="G752" s="104">
        <v>0.26800000000000002</v>
      </c>
      <c r="H752" s="104">
        <v>0.28599999999999998</v>
      </c>
      <c r="I752" s="103">
        <v>6.6000000000000003E-2</v>
      </c>
      <c r="J752" s="104">
        <v>2.5999999999999999E-2</v>
      </c>
      <c r="K752" s="54">
        <f>((6/3)*L746)+((6/3)*L758)</f>
        <v>173155</v>
      </c>
      <c r="L752" s="113"/>
      <c r="M752" s="98">
        <f t="shared" si="92"/>
        <v>0.6</v>
      </c>
      <c r="N752" s="98">
        <v>0.26</v>
      </c>
      <c r="O752" s="98">
        <f t="shared" si="93"/>
        <v>0.61</v>
      </c>
      <c r="P752" s="98">
        <v>0.34620000000000001</v>
      </c>
      <c r="Q752" s="98">
        <v>0.69640000000000002</v>
      </c>
      <c r="R752" s="98">
        <v>0.6</v>
      </c>
      <c r="S752" s="98">
        <v>0.61</v>
      </c>
    </row>
    <row r="753" spans="1:19" s="60" customFormat="1">
      <c r="A753" s="59">
        <f t="shared" si="88"/>
        <v>60357</v>
      </c>
      <c r="B753" s="59">
        <f t="shared" si="87"/>
        <v>60721</v>
      </c>
      <c r="C753" s="102">
        <f t="shared" si="91"/>
        <v>0.26800000000000002</v>
      </c>
      <c r="D753" s="102">
        <f t="shared" si="91"/>
        <v>0.28599999999999998</v>
      </c>
      <c r="E753" s="102">
        <f t="shared" si="91"/>
        <v>6.6000000000000003E-2</v>
      </c>
      <c r="F753" s="102">
        <f t="shared" si="91"/>
        <v>2.5999999999999999E-2</v>
      </c>
      <c r="G753" s="104">
        <v>0.26800000000000002</v>
      </c>
      <c r="H753" s="104">
        <v>0.28599999999999998</v>
      </c>
      <c r="I753" s="103">
        <v>6.6000000000000003E-2</v>
      </c>
      <c r="J753" s="104">
        <v>2.5999999999999999E-2</v>
      </c>
      <c r="K753" s="54">
        <f>((5/3)*L746)+((7/3)*L758)</f>
        <v>173859</v>
      </c>
      <c r="L753" s="113"/>
      <c r="M753" s="98">
        <f t="shared" si="92"/>
        <v>0.6</v>
      </c>
      <c r="N753" s="98">
        <v>0.26</v>
      </c>
      <c r="O753" s="98">
        <f t="shared" si="93"/>
        <v>0.61</v>
      </c>
      <c r="P753" s="98">
        <v>0.34620000000000001</v>
      </c>
      <c r="Q753" s="98">
        <v>0.69640000000000002</v>
      </c>
      <c r="R753" s="98">
        <v>0.6</v>
      </c>
      <c r="S753" s="98">
        <v>0.61</v>
      </c>
    </row>
    <row r="754" spans="1:19" s="60" customFormat="1">
      <c r="A754" s="59">
        <f t="shared" si="88"/>
        <v>60387</v>
      </c>
      <c r="B754" s="59">
        <f t="shared" si="87"/>
        <v>60751</v>
      </c>
      <c r="C754" s="102">
        <f t="shared" si="91"/>
        <v>0.26800000000000002</v>
      </c>
      <c r="D754" s="102">
        <f t="shared" si="91"/>
        <v>0.28599999999999998</v>
      </c>
      <c r="E754" s="102">
        <f t="shared" si="91"/>
        <v>6.6000000000000003E-2</v>
      </c>
      <c r="F754" s="102">
        <f t="shared" si="91"/>
        <v>2.5999999999999999E-2</v>
      </c>
      <c r="G754" s="104">
        <v>0.26800000000000002</v>
      </c>
      <c r="H754" s="104">
        <v>0.28599999999999998</v>
      </c>
      <c r="I754" s="103">
        <v>6.6000000000000003E-2</v>
      </c>
      <c r="J754" s="104">
        <v>2.5999999999999999E-2</v>
      </c>
      <c r="K754" s="54">
        <f>((4/3)*L746)+((8/3)*L758)</f>
        <v>174563</v>
      </c>
      <c r="L754" s="113"/>
      <c r="M754" s="98">
        <f t="shared" si="92"/>
        <v>0.6</v>
      </c>
      <c r="N754" s="98">
        <v>0.26</v>
      </c>
      <c r="O754" s="98">
        <f t="shared" si="93"/>
        <v>0.61</v>
      </c>
      <c r="P754" s="98">
        <v>0.34620000000000001</v>
      </c>
      <c r="Q754" s="98">
        <v>0.69640000000000002</v>
      </c>
      <c r="R754" s="98">
        <v>0.6</v>
      </c>
      <c r="S754" s="98">
        <v>0.61</v>
      </c>
    </row>
    <row r="755" spans="1:19" s="60" customFormat="1">
      <c r="A755" s="59">
        <f t="shared" si="88"/>
        <v>60418</v>
      </c>
      <c r="B755" s="59">
        <f t="shared" si="87"/>
        <v>60782</v>
      </c>
      <c r="C755" s="102">
        <f t="shared" ref="C755:F770" si="94">AVERAGE(G755:G766)</f>
        <v>0.26800000000000002</v>
      </c>
      <c r="D755" s="102">
        <f t="shared" si="94"/>
        <v>0.28599999999999998</v>
      </c>
      <c r="E755" s="102">
        <f t="shared" si="94"/>
        <v>6.6000000000000003E-2</v>
      </c>
      <c r="F755" s="102">
        <f t="shared" si="94"/>
        <v>2.5999999999999999E-2</v>
      </c>
      <c r="G755" s="104">
        <v>0.26800000000000002</v>
      </c>
      <c r="H755" s="104">
        <v>0.28599999999999998</v>
      </c>
      <c r="I755" s="103">
        <v>6.6000000000000003E-2</v>
      </c>
      <c r="J755" s="104">
        <v>2.5999999999999999E-2</v>
      </c>
      <c r="K755" s="54">
        <f>((3/3)*L746)+((9/3)*L758)</f>
        <v>175267</v>
      </c>
      <c r="L755" s="113"/>
      <c r="M755" s="98">
        <f t="shared" si="92"/>
        <v>0.6</v>
      </c>
      <c r="N755" s="98">
        <v>0.26</v>
      </c>
      <c r="O755" s="98">
        <f t="shared" si="93"/>
        <v>0.61</v>
      </c>
      <c r="P755" s="98">
        <v>0.34620000000000001</v>
      </c>
      <c r="Q755" s="98">
        <v>0.69640000000000002</v>
      </c>
      <c r="R755" s="98">
        <v>0.6</v>
      </c>
      <c r="S755" s="98">
        <v>0.61</v>
      </c>
    </row>
    <row r="756" spans="1:19" s="60" customFormat="1">
      <c r="A756" s="59">
        <f t="shared" si="88"/>
        <v>60448</v>
      </c>
      <c r="B756" s="59">
        <f t="shared" si="87"/>
        <v>60812</v>
      </c>
      <c r="C756" s="102">
        <f t="shared" si="94"/>
        <v>0.26800000000000002</v>
      </c>
      <c r="D756" s="102">
        <f t="shared" si="94"/>
        <v>0.28599999999999998</v>
      </c>
      <c r="E756" s="102">
        <f t="shared" si="94"/>
        <v>6.6000000000000003E-2</v>
      </c>
      <c r="F756" s="102">
        <f t="shared" si="94"/>
        <v>2.5999999999999999E-2</v>
      </c>
      <c r="G756" s="104">
        <v>0.26800000000000002</v>
      </c>
      <c r="H756" s="104">
        <v>0.28599999999999998</v>
      </c>
      <c r="I756" s="103">
        <v>6.6000000000000003E-2</v>
      </c>
      <c r="J756" s="104">
        <v>2.5999999999999999E-2</v>
      </c>
      <c r="K756" s="54">
        <f>((2/3)*L746)+((10/3)*L758)</f>
        <v>175971</v>
      </c>
      <c r="L756" s="113"/>
      <c r="M756" s="98">
        <f t="shared" si="92"/>
        <v>0.6</v>
      </c>
      <c r="N756" s="98">
        <v>0.26</v>
      </c>
      <c r="O756" s="98">
        <f t="shared" si="93"/>
        <v>0.61</v>
      </c>
      <c r="P756" s="98">
        <v>0.34620000000000001</v>
      </c>
      <c r="Q756" s="98">
        <v>0.69640000000000002</v>
      </c>
      <c r="R756" s="98">
        <v>0.6</v>
      </c>
      <c r="S756" s="98">
        <v>0.61</v>
      </c>
    </row>
    <row r="757" spans="1:19" s="60" customFormat="1">
      <c r="A757" s="59">
        <f t="shared" si="88"/>
        <v>60479</v>
      </c>
      <c r="B757" s="59">
        <f t="shared" si="87"/>
        <v>60843</v>
      </c>
      <c r="C757" s="99">
        <f t="shared" si="94"/>
        <v>0.26800000000000002</v>
      </c>
      <c r="D757" s="99">
        <f t="shared" si="94"/>
        <v>0.28599999999999998</v>
      </c>
      <c r="E757" s="99">
        <f t="shared" si="94"/>
        <v>6.6000000000000003E-2</v>
      </c>
      <c r="F757" s="99">
        <f t="shared" si="94"/>
        <v>2.5999999999999999E-2</v>
      </c>
      <c r="G757" s="104">
        <v>0.26800000000000002</v>
      </c>
      <c r="H757" s="104">
        <v>0.28599999999999998</v>
      </c>
      <c r="I757" s="103">
        <v>6.6000000000000003E-2</v>
      </c>
      <c r="J757" s="104">
        <v>2.5999999999999999E-2</v>
      </c>
      <c r="K757" s="54">
        <f>((1/3)*L746)+((11/3)*L758)</f>
        <v>176675</v>
      </c>
      <c r="L757" s="113"/>
      <c r="M757" s="98">
        <f t="shared" si="92"/>
        <v>0.6</v>
      </c>
      <c r="N757" s="98">
        <v>0.26</v>
      </c>
      <c r="O757" s="98">
        <f t="shared" si="93"/>
        <v>0.61</v>
      </c>
      <c r="P757" s="98">
        <v>0.34620000000000001</v>
      </c>
      <c r="Q757" s="98">
        <v>0.69640000000000002</v>
      </c>
      <c r="R757" s="98">
        <v>0.6</v>
      </c>
      <c r="S757" s="98">
        <v>0.61</v>
      </c>
    </row>
    <row r="758" spans="1:19" s="96" customFormat="1">
      <c r="A758" s="95">
        <f t="shared" si="88"/>
        <v>60510</v>
      </c>
      <c r="B758" s="95">
        <f t="shared" si="87"/>
        <v>60874</v>
      </c>
      <c r="C758" s="105">
        <f t="shared" si="94"/>
        <v>0.26800000000000002</v>
      </c>
      <c r="D758" s="105">
        <f t="shared" si="94"/>
        <v>0.28599999999999998</v>
      </c>
      <c r="E758" s="105">
        <f t="shared" si="94"/>
        <v>6.6000000000000003E-2</v>
      </c>
      <c r="F758" s="105">
        <f t="shared" si="94"/>
        <v>2.5999999999999999E-2</v>
      </c>
      <c r="G758" s="107">
        <v>0.26800000000000002</v>
      </c>
      <c r="H758" s="107">
        <v>0.28599999999999998</v>
      </c>
      <c r="I758" s="106">
        <v>6.6000000000000003E-2</v>
      </c>
      <c r="J758" s="107">
        <v>2.5999999999999999E-2</v>
      </c>
      <c r="K758" s="94">
        <f>(L758*4)</f>
        <v>177378</v>
      </c>
      <c r="L758" s="114">
        <f>L746*1.05</f>
        <v>44344.6</v>
      </c>
      <c r="M758" s="421">
        <f t="shared" si="92"/>
        <v>0.6</v>
      </c>
      <c r="N758" s="421">
        <v>0.26</v>
      </c>
      <c r="O758" s="421">
        <f t="shared" si="93"/>
        <v>0.61</v>
      </c>
      <c r="P758" s="421">
        <v>0.34620000000000001</v>
      </c>
      <c r="Q758" s="421">
        <v>0.69640000000000002</v>
      </c>
      <c r="R758" s="421">
        <v>0.6</v>
      </c>
      <c r="S758" s="421">
        <v>0.61</v>
      </c>
    </row>
    <row r="759" spans="1:19" s="96" customFormat="1">
      <c r="A759" s="95">
        <f t="shared" si="88"/>
        <v>60540</v>
      </c>
      <c r="B759" s="95">
        <f t="shared" si="87"/>
        <v>60904</v>
      </c>
      <c r="C759" s="105">
        <f t="shared" si="94"/>
        <v>0.26800000000000002</v>
      </c>
      <c r="D759" s="105">
        <f t="shared" si="94"/>
        <v>0.28599999999999998</v>
      </c>
      <c r="E759" s="105">
        <f t="shared" si="94"/>
        <v>6.6000000000000003E-2</v>
      </c>
      <c r="F759" s="105">
        <f t="shared" si="94"/>
        <v>2.5999999999999999E-2</v>
      </c>
      <c r="G759" s="107">
        <v>0.26800000000000002</v>
      </c>
      <c r="H759" s="107">
        <v>0.28599999999999998</v>
      </c>
      <c r="I759" s="106">
        <v>6.6000000000000003E-2</v>
      </c>
      <c r="J759" s="107">
        <v>2.5999999999999999E-2</v>
      </c>
      <c r="K759" s="94">
        <f>((11/3)*L758)+((1/3)*L770)</f>
        <v>178117</v>
      </c>
      <c r="L759" s="114"/>
      <c r="M759" s="421">
        <f t="shared" si="92"/>
        <v>0.6</v>
      </c>
      <c r="N759" s="421">
        <v>0.26</v>
      </c>
      <c r="O759" s="421">
        <f t="shared" si="93"/>
        <v>0.61</v>
      </c>
      <c r="P759" s="421">
        <v>0.34620000000000001</v>
      </c>
      <c r="Q759" s="421">
        <v>0.69640000000000002</v>
      </c>
      <c r="R759" s="421">
        <v>0.6</v>
      </c>
      <c r="S759" s="421">
        <v>0.61</v>
      </c>
    </row>
    <row r="760" spans="1:19" s="96" customFormat="1">
      <c r="A760" s="95">
        <f t="shared" si="88"/>
        <v>60571</v>
      </c>
      <c r="B760" s="95">
        <f t="shared" si="87"/>
        <v>60935</v>
      </c>
      <c r="C760" s="105">
        <f t="shared" si="94"/>
        <v>0.26800000000000002</v>
      </c>
      <c r="D760" s="105">
        <f t="shared" si="94"/>
        <v>0.28599999999999998</v>
      </c>
      <c r="E760" s="105">
        <f t="shared" si="94"/>
        <v>6.6000000000000003E-2</v>
      </c>
      <c r="F760" s="105">
        <f t="shared" si="94"/>
        <v>2.5999999999999999E-2</v>
      </c>
      <c r="G760" s="107">
        <v>0.26800000000000002</v>
      </c>
      <c r="H760" s="107">
        <v>0.28599999999999998</v>
      </c>
      <c r="I760" s="106">
        <v>6.6000000000000003E-2</v>
      </c>
      <c r="J760" s="107">
        <v>2.5999999999999999E-2</v>
      </c>
      <c r="K760" s="94">
        <f>((10/3)*L758)+((2/3)*L770)</f>
        <v>178857</v>
      </c>
      <c r="L760" s="114"/>
      <c r="M760" s="421">
        <f t="shared" si="92"/>
        <v>0.6</v>
      </c>
      <c r="N760" s="421">
        <v>0.26</v>
      </c>
      <c r="O760" s="421">
        <f t="shared" si="93"/>
        <v>0.61</v>
      </c>
      <c r="P760" s="421">
        <v>0.34620000000000001</v>
      </c>
      <c r="Q760" s="421">
        <v>0.69640000000000002</v>
      </c>
      <c r="R760" s="421">
        <v>0.6</v>
      </c>
      <c r="S760" s="421">
        <v>0.61</v>
      </c>
    </row>
    <row r="761" spans="1:19" s="96" customFormat="1">
      <c r="A761" s="95">
        <f t="shared" si="88"/>
        <v>60601</v>
      </c>
      <c r="B761" s="95">
        <f t="shared" si="87"/>
        <v>60965</v>
      </c>
      <c r="C761" s="105">
        <f t="shared" si="94"/>
        <v>0.26800000000000002</v>
      </c>
      <c r="D761" s="105">
        <f t="shared" si="94"/>
        <v>0.28599999999999998</v>
      </c>
      <c r="E761" s="105">
        <f t="shared" si="94"/>
        <v>6.6000000000000003E-2</v>
      </c>
      <c r="F761" s="105">
        <f t="shared" si="94"/>
        <v>2.5999999999999999E-2</v>
      </c>
      <c r="G761" s="107">
        <v>0.26800000000000002</v>
      </c>
      <c r="H761" s="107">
        <v>0.28599999999999998</v>
      </c>
      <c r="I761" s="106">
        <v>6.6000000000000003E-2</v>
      </c>
      <c r="J761" s="107">
        <v>2.5999999999999999E-2</v>
      </c>
      <c r="K761" s="94">
        <f>((9/3)*L758)+((3/3)*L770)</f>
        <v>179596</v>
      </c>
      <c r="L761" s="114"/>
      <c r="M761" s="421">
        <f t="shared" si="92"/>
        <v>0.6</v>
      </c>
      <c r="N761" s="421">
        <v>0.26</v>
      </c>
      <c r="O761" s="421">
        <f t="shared" si="93"/>
        <v>0.61</v>
      </c>
      <c r="P761" s="421">
        <v>0.34620000000000001</v>
      </c>
      <c r="Q761" s="421">
        <v>0.69640000000000002</v>
      </c>
      <c r="R761" s="421">
        <v>0.6</v>
      </c>
      <c r="S761" s="421">
        <v>0.61</v>
      </c>
    </row>
    <row r="762" spans="1:19" s="96" customFormat="1">
      <c r="A762" s="95">
        <f t="shared" si="88"/>
        <v>60632</v>
      </c>
      <c r="B762" s="95">
        <f t="shared" si="87"/>
        <v>60996</v>
      </c>
      <c r="C762" s="105">
        <f t="shared" si="94"/>
        <v>0.26800000000000002</v>
      </c>
      <c r="D762" s="105">
        <f t="shared" si="94"/>
        <v>0.28599999999999998</v>
      </c>
      <c r="E762" s="105">
        <f t="shared" si="94"/>
        <v>6.6000000000000003E-2</v>
      </c>
      <c r="F762" s="105">
        <f t="shared" si="94"/>
        <v>2.5999999999999999E-2</v>
      </c>
      <c r="G762" s="107">
        <v>0.26800000000000002</v>
      </c>
      <c r="H762" s="107">
        <v>0.28599999999999998</v>
      </c>
      <c r="I762" s="106">
        <v>6.6000000000000003E-2</v>
      </c>
      <c r="J762" s="107">
        <v>2.5999999999999999E-2</v>
      </c>
      <c r="K762" s="94">
        <f>((8/3)*L758)+((4/3)*L770)</f>
        <v>180335</v>
      </c>
      <c r="L762" s="114"/>
      <c r="M762" s="421">
        <f t="shared" si="92"/>
        <v>0.6</v>
      </c>
      <c r="N762" s="421">
        <v>0.26</v>
      </c>
      <c r="O762" s="421">
        <f t="shared" si="93"/>
        <v>0.61</v>
      </c>
      <c r="P762" s="421">
        <v>0.34620000000000001</v>
      </c>
      <c r="Q762" s="421">
        <v>0.69640000000000002</v>
      </c>
      <c r="R762" s="421">
        <v>0.6</v>
      </c>
      <c r="S762" s="421">
        <v>0.61</v>
      </c>
    </row>
    <row r="763" spans="1:19" s="96" customFormat="1">
      <c r="A763" s="95">
        <f t="shared" si="88"/>
        <v>60663</v>
      </c>
      <c r="B763" s="95">
        <f t="shared" si="87"/>
        <v>61027</v>
      </c>
      <c r="C763" s="105">
        <f t="shared" si="94"/>
        <v>0.26800000000000002</v>
      </c>
      <c r="D763" s="105">
        <f t="shared" si="94"/>
        <v>0.28599999999999998</v>
      </c>
      <c r="E763" s="105">
        <f t="shared" si="94"/>
        <v>6.6000000000000003E-2</v>
      </c>
      <c r="F763" s="105">
        <f t="shared" si="94"/>
        <v>2.5999999999999999E-2</v>
      </c>
      <c r="G763" s="107">
        <v>0.26800000000000002</v>
      </c>
      <c r="H763" s="107">
        <v>0.28599999999999998</v>
      </c>
      <c r="I763" s="106">
        <v>6.6000000000000003E-2</v>
      </c>
      <c r="J763" s="107">
        <v>2.5999999999999999E-2</v>
      </c>
      <c r="K763" s="94">
        <f>((7/3)*L758)+((5/3)*L770)</f>
        <v>181074</v>
      </c>
      <c r="L763" s="114"/>
      <c r="M763" s="421">
        <f t="shared" si="92"/>
        <v>0.6</v>
      </c>
      <c r="N763" s="421">
        <v>0.26</v>
      </c>
      <c r="O763" s="421">
        <f t="shared" si="93"/>
        <v>0.61</v>
      </c>
      <c r="P763" s="421">
        <v>0.34620000000000001</v>
      </c>
      <c r="Q763" s="421">
        <v>0.69640000000000002</v>
      </c>
      <c r="R763" s="421">
        <v>0.6</v>
      </c>
      <c r="S763" s="421">
        <v>0.61</v>
      </c>
    </row>
    <row r="764" spans="1:19" s="96" customFormat="1">
      <c r="A764" s="95">
        <f t="shared" si="88"/>
        <v>60691</v>
      </c>
      <c r="B764" s="95">
        <f t="shared" si="87"/>
        <v>61055</v>
      </c>
      <c r="C764" s="105">
        <f t="shared" si="94"/>
        <v>0.26800000000000002</v>
      </c>
      <c r="D764" s="105">
        <f t="shared" si="94"/>
        <v>0.28599999999999998</v>
      </c>
      <c r="E764" s="105">
        <f t="shared" si="94"/>
        <v>6.6000000000000003E-2</v>
      </c>
      <c r="F764" s="105">
        <f t="shared" si="94"/>
        <v>2.5999999999999999E-2</v>
      </c>
      <c r="G764" s="107">
        <v>0.26800000000000002</v>
      </c>
      <c r="H764" s="107">
        <v>0.28599999999999998</v>
      </c>
      <c r="I764" s="106">
        <v>6.6000000000000003E-2</v>
      </c>
      <c r="J764" s="107">
        <v>2.5999999999999999E-2</v>
      </c>
      <c r="K764" s="94">
        <f>((6/3)*L758)+((6/3)*L770)</f>
        <v>181813</v>
      </c>
      <c r="L764" s="114"/>
      <c r="M764" s="421">
        <f t="shared" si="92"/>
        <v>0.6</v>
      </c>
      <c r="N764" s="421">
        <v>0.26</v>
      </c>
      <c r="O764" s="421">
        <f t="shared" si="93"/>
        <v>0.61</v>
      </c>
      <c r="P764" s="421">
        <v>0.34620000000000001</v>
      </c>
      <c r="Q764" s="421">
        <v>0.69640000000000002</v>
      </c>
      <c r="R764" s="421">
        <v>0.6</v>
      </c>
      <c r="S764" s="421">
        <v>0.61</v>
      </c>
    </row>
    <row r="765" spans="1:19" s="96" customFormat="1">
      <c r="A765" s="95">
        <f t="shared" si="88"/>
        <v>60722</v>
      </c>
      <c r="B765" s="95">
        <f t="shared" si="87"/>
        <v>61086</v>
      </c>
      <c r="C765" s="105">
        <f t="shared" si="94"/>
        <v>0.26800000000000002</v>
      </c>
      <c r="D765" s="105">
        <f t="shared" si="94"/>
        <v>0.28599999999999998</v>
      </c>
      <c r="E765" s="105">
        <f t="shared" si="94"/>
        <v>6.6000000000000003E-2</v>
      </c>
      <c r="F765" s="105">
        <f t="shared" si="94"/>
        <v>2.5999999999999999E-2</v>
      </c>
      <c r="G765" s="107">
        <v>0.26800000000000002</v>
      </c>
      <c r="H765" s="107">
        <v>0.28599999999999998</v>
      </c>
      <c r="I765" s="106">
        <v>6.6000000000000003E-2</v>
      </c>
      <c r="J765" s="107">
        <v>2.5999999999999999E-2</v>
      </c>
      <c r="K765" s="94">
        <f>((5/3)*L758)+((7/3)*L770)</f>
        <v>182552</v>
      </c>
      <c r="L765" s="114"/>
      <c r="M765" s="421">
        <f t="shared" si="92"/>
        <v>0.6</v>
      </c>
      <c r="N765" s="421">
        <v>0.26</v>
      </c>
      <c r="O765" s="421">
        <f t="shared" si="93"/>
        <v>0.61</v>
      </c>
      <c r="P765" s="421">
        <v>0.34620000000000001</v>
      </c>
      <c r="Q765" s="421">
        <v>0.69640000000000002</v>
      </c>
      <c r="R765" s="421">
        <v>0.6</v>
      </c>
      <c r="S765" s="421">
        <v>0.61</v>
      </c>
    </row>
    <row r="766" spans="1:19" s="96" customFormat="1">
      <c r="A766" s="95">
        <f t="shared" si="88"/>
        <v>60752</v>
      </c>
      <c r="B766" s="95">
        <f t="shared" si="87"/>
        <v>61116</v>
      </c>
      <c r="C766" s="105">
        <f t="shared" si="94"/>
        <v>0.26800000000000002</v>
      </c>
      <c r="D766" s="105">
        <f t="shared" si="94"/>
        <v>0.28599999999999998</v>
      </c>
      <c r="E766" s="105">
        <f t="shared" si="94"/>
        <v>6.6000000000000003E-2</v>
      </c>
      <c r="F766" s="105">
        <f t="shared" si="94"/>
        <v>2.5999999999999999E-2</v>
      </c>
      <c r="G766" s="107">
        <v>0.26800000000000002</v>
      </c>
      <c r="H766" s="107">
        <v>0.28599999999999998</v>
      </c>
      <c r="I766" s="106">
        <v>6.6000000000000003E-2</v>
      </c>
      <c r="J766" s="107">
        <v>2.5999999999999999E-2</v>
      </c>
      <c r="K766" s="94">
        <f>((4/3)*L758)+((8/3)*L770)</f>
        <v>183291</v>
      </c>
      <c r="L766" s="114"/>
      <c r="M766" s="421">
        <f t="shared" si="92"/>
        <v>0.6</v>
      </c>
      <c r="N766" s="421">
        <v>0.26</v>
      </c>
      <c r="O766" s="421">
        <f t="shared" si="93"/>
        <v>0.61</v>
      </c>
      <c r="P766" s="421">
        <v>0.34620000000000001</v>
      </c>
      <c r="Q766" s="421">
        <v>0.69640000000000002</v>
      </c>
      <c r="R766" s="421">
        <v>0.6</v>
      </c>
      <c r="S766" s="421">
        <v>0.61</v>
      </c>
    </row>
    <row r="767" spans="1:19" s="96" customFormat="1">
      <c r="A767" s="95">
        <f t="shared" si="88"/>
        <v>60783</v>
      </c>
      <c r="B767" s="95">
        <f t="shared" si="87"/>
        <v>61147</v>
      </c>
      <c r="C767" s="105">
        <f t="shared" si="94"/>
        <v>0.26800000000000002</v>
      </c>
      <c r="D767" s="105">
        <f t="shared" si="94"/>
        <v>0.28599999999999998</v>
      </c>
      <c r="E767" s="105">
        <f t="shared" si="94"/>
        <v>6.6000000000000003E-2</v>
      </c>
      <c r="F767" s="105">
        <f t="shared" si="94"/>
        <v>2.5999999999999999E-2</v>
      </c>
      <c r="G767" s="107">
        <v>0.26800000000000002</v>
      </c>
      <c r="H767" s="107">
        <v>0.28599999999999998</v>
      </c>
      <c r="I767" s="106">
        <v>6.6000000000000003E-2</v>
      </c>
      <c r="J767" s="107">
        <v>2.5999999999999999E-2</v>
      </c>
      <c r="K767" s="94">
        <f>((3/3)*L758)+((9/3)*L770)</f>
        <v>184030</v>
      </c>
      <c r="L767" s="114"/>
      <c r="M767" s="421">
        <f t="shared" si="92"/>
        <v>0.6</v>
      </c>
      <c r="N767" s="421">
        <v>0.26</v>
      </c>
      <c r="O767" s="421">
        <f t="shared" si="93"/>
        <v>0.61</v>
      </c>
      <c r="P767" s="421">
        <v>0.34620000000000001</v>
      </c>
      <c r="Q767" s="421">
        <v>0.69640000000000002</v>
      </c>
      <c r="R767" s="421">
        <v>0.6</v>
      </c>
      <c r="S767" s="421">
        <v>0.61</v>
      </c>
    </row>
    <row r="768" spans="1:19" s="96" customFormat="1">
      <c r="A768" s="95">
        <f t="shared" si="88"/>
        <v>60813</v>
      </c>
      <c r="B768" s="95">
        <f t="shared" si="87"/>
        <v>61177</v>
      </c>
      <c r="C768" s="105">
        <f t="shared" si="94"/>
        <v>0.26800000000000002</v>
      </c>
      <c r="D768" s="105">
        <f t="shared" si="94"/>
        <v>0.28599999999999998</v>
      </c>
      <c r="E768" s="105">
        <f t="shared" si="94"/>
        <v>6.6000000000000003E-2</v>
      </c>
      <c r="F768" s="105">
        <f t="shared" si="94"/>
        <v>2.5999999999999999E-2</v>
      </c>
      <c r="G768" s="107">
        <v>0.26800000000000002</v>
      </c>
      <c r="H768" s="107">
        <v>0.28599999999999998</v>
      </c>
      <c r="I768" s="106">
        <v>6.6000000000000003E-2</v>
      </c>
      <c r="J768" s="107">
        <v>2.5999999999999999E-2</v>
      </c>
      <c r="K768" s="94">
        <f>((2/3)*L758)+((10/3)*L770)</f>
        <v>184769</v>
      </c>
      <c r="L768" s="114"/>
      <c r="M768" s="421">
        <f t="shared" si="92"/>
        <v>0.6</v>
      </c>
      <c r="N768" s="421">
        <v>0.26</v>
      </c>
      <c r="O768" s="421">
        <f t="shared" si="93"/>
        <v>0.61</v>
      </c>
      <c r="P768" s="421">
        <v>0.34620000000000001</v>
      </c>
      <c r="Q768" s="421">
        <v>0.69640000000000002</v>
      </c>
      <c r="R768" s="421">
        <v>0.6</v>
      </c>
      <c r="S768" s="421">
        <v>0.61</v>
      </c>
    </row>
    <row r="769" spans="1:19" s="96" customFormat="1">
      <c r="A769" s="95">
        <f t="shared" si="88"/>
        <v>60844</v>
      </c>
      <c r="B769" s="95">
        <f t="shared" si="87"/>
        <v>61208</v>
      </c>
      <c r="C769" s="105">
        <f t="shared" si="94"/>
        <v>0.26800000000000002</v>
      </c>
      <c r="D769" s="105">
        <f t="shared" si="94"/>
        <v>0.28599999999999998</v>
      </c>
      <c r="E769" s="105">
        <f t="shared" si="94"/>
        <v>6.6000000000000003E-2</v>
      </c>
      <c r="F769" s="105">
        <f t="shared" si="94"/>
        <v>2.5999999999999999E-2</v>
      </c>
      <c r="G769" s="107">
        <v>0.26800000000000002</v>
      </c>
      <c r="H769" s="107">
        <v>0.28599999999999998</v>
      </c>
      <c r="I769" s="106">
        <v>6.6000000000000003E-2</v>
      </c>
      <c r="J769" s="107">
        <v>2.5999999999999999E-2</v>
      </c>
      <c r="K769" s="94">
        <f>((1/3)*L758)+((11/3)*L770)</f>
        <v>185508</v>
      </c>
      <c r="L769" s="114"/>
      <c r="M769" s="421">
        <f t="shared" si="92"/>
        <v>0.6</v>
      </c>
      <c r="N769" s="421">
        <v>0.26</v>
      </c>
      <c r="O769" s="421">
        <f t="shared" si="93"/>
        <v>0.61</v>
      </c>
      <c r="P769" s="421">
        <v>0.34620000000000001</v>
      </c>
      <c r="Q769" s="421">
        <v>0.69640000000000002</v>
      </c>
      <c r="R769" s="421">
        <v>0.6</v>
      </c>
      <c r="S769" s="421">
        <v>0.61</v>
      </c>
    </row>
    <row r="770" spans="1:19" s="60" customFormat="1">
      <c r="A770" s="59">
        <f t="shared" si="88"/>
        <v>60875</v>
      </c>
      <c r="B770" s="59">
        <f t="shared" ref="B770:B805" si="95">EDATE(A770,12)-1</f>
        <v>61239</v>
      </c>
      <c r="C770" s="102">
        <f t="shared" si="94"/>
        <v>0.26800000000000002</v>
      </c>
      <c r="D770" s="102">
        <f t="shared" si="94"/>
        <v>0.28599999999999998</v>
      </c>
      <c r="E770" s="102">
        <f t="shared" si="94"/>
        <v>6.6000000000000003E-2</v>
      </c>
      <c r="F770" s="102">
        <f t="shared" si="94"/>
        <v>2.5999999999999999E-2</v>
      </c>
      <c r="G770" s="104">
        <v>0.26800000000000002</v>
      </c>
      <c r="H770" s="104">
        <v>0.28599999999999998</v>
      </c>
      <c r="I770" s="103">
        <v>6.6000000000000003E-2</v>
      </c>
      <c r="J770" s="104">
        <v>2.5999999999999999E-2</v>
      </c>
      <c r="K770" s="54">
        <f>(L770*4)</f>
        <v>186247</v>
      </c>
      <c r="L770" s="113">
        <f>L758*1.05</f>
        <v>46561.83</v>
      </c>
      <c r="M770" s="98">
        <f t="shared" si="92"/>
        <v>0.6</v>
      </c>
      <c r="N770" s="98">
        <v>0.26</v>
      </c>
      <c r="O770" s="98">
        <f t="shared" si="93"/>
        <v>0.61</v>
      </c>
      <c r="P770" s="98">
        <v>0.34620000000000001</v>
      </c>
      <c r="Q770" s="98">
        <v>0.69640000000000002</v>
      </c>
      <c r="R770" s="98">
        <v>0.6</v>
      </c>
      <c r="S770" s="98">
        <v>0.61</v>
      </c>
    </row>
    <row r="771" spans="1:19" s="60" customFormat="1">
      <c r="A771" s="59">
        <f t="shared" ref="A771:A805" si="96">EDATE(A770,1)</f>
        <v>60905</v>
      </c>
      <c r="B771" s="59">
        <f t="shared" si="95"/>
        <v>61269</v>
      </c>
      <c r="C771" s="102">
        <f t="shared" ref="C771:F786" si="97">AVERAGE(G771:G782)</f>
        <v>0.26800000000000002</v>
      </c>
      <c r="D771" s="102">
        <f t="shared" si="97"/>
        <v>0.28599999999999998</v>
      </c>
      <c r="E771" s="102">
        <f t="shared" si="97"/>
        <v>6.6000000000000003E-2</v>
      </c>
      <c r="F771" s="102">
        <f t="shared" si="97"/>
        <v>2.5999999999999999E-2</v>
      </c>
      <c r="G771" s="104">
        <v>0.26800000000000002</v>
      </c>
      <c r="H771" s="104">
        <v>0.28599999999999998</v>
      </c>
      <c r="I771" s="103">
        <v>6.6000000000000003E-2</v>
      </c>
      <c r="J771" s="104">
        <v>2.5999999999999999E-2</v>
      </c>
      <c r="K771" s="54">
        <f>((11/3)*L770)+((1/3)*L782)</f>
        <v>187023</v>
      </c>
      <c r="L771" s="113"/>
      <c r="M771" s="98">
        <f t="shared" si="92"/>
        <v>0.6</v>
      </c>
      <c r="N771" s="98">
        <v>0.26</v>
      </c>
      <c r="O771" s="98">
        <f t="shared" si="93"/>
        <v>0.61</v>
      </c>
      <c r="P771" s="98">
        <v>0.34620000000000001</v>
      </c>
      <c r="Q771" s="98">
        <v>0.69640000000000002</v>
      </c>
      <c r="R771" s="98">
        <v>0.6</v>
      </c>
      <c r="S771" s="98">
        <v>0.61</v>
      </c>
    </row>
    <row r="772" spans="1:19" s="60" customFormat="1">
      <c r="A772" s="59">
        <f t="shared" si="96"/>
        <v>60936</v>
      </c>
      <c r="B772" s="59">
        <f t="shared" si="95"/>
        <v>61300</v>
      </c>
      <c r="C772" s="102">
        <f t="shared" si="97"/>
        <v>0.26800000000000002</v>
      </c>
      <c r="D772" s="102">
        <f t="shared" si="97"/>
        <v>0.28599999999999998</v>
      </c>
      <c r="E772" s="102">
        <f t="shared" si="97"/>
        <v>6.6000000000000003E-2</v>
      </c>
      <c r="F772" s="102">
        <f t="shared" si="97"/>
        <v>2.5999999999999999E-2</v>
      </c>
      <c r="G772" s="104">
        <v>0.26800000000000002</v>
      </c>
      <c r="H772" s="104">
        <v>0.28599999999999998</v>
      </c>
      <c r="I772" s="103">
        <v>6.6000000000000003E-2</v>
      </c>
      <c r="J772" s="104">
        <v>2.5999999999999999E-2</v>
      </c>
      <c r="K772" s="54">
        <f>((10/3)*L770)+((2/3)*L782)</f>
        <v>187799</v>
      </c>
      <c r="L772" s="113"/>
      <c r="M772" s="98">
        <f t="shared" si="92"/>
        <v>0.6</v>
      </c>
      <c r="N772" s="98">
        <v>0.26</v>
      </c>
      <c r="O772" s="98">
        <f t="shared" si="93"/>
        <v>0.61</v>
      </c>
      <c r="P772" s="98">
        <v>0.34620000000000001</v>
      </c>
      <c r="Q772" s="98">
        <v>0.69640000000000002</v>
      </c>
      <c r="R772" s="98">
        <v>0.6</v>
      </c>
      <c r="S772" s="98">
        <v>0.61</v>
      </c>
    </row>
    <row r="773" spans="1:19" s="60" customFormat="1">
      <c r="A773" s="59">
        <f t="shared" si="96"/>
        <v>60966</v>
      </c>
      <c r="B773" s="59">
        <f t="shared" si="95"/>
        <v>61330</v>
      </c>
      <c r="C773" s="102">
        <f t="shared" si="97"/>
        <v>0.26800000000000002</v>
      </c>
      <c r="D773" s="102">
        <f t="shared" si="97"/>
        <v>0.28599999999999998</v>
      </c>
      <c r="E773" s="102">
        <f t="shared" si="97"/>
        <v>6.6000000000000003E-2</v>
      </c>
      <c r="F773" s="102">
        <f t="shared" si="97"/>
        <v>2.5999999999999999E-2</v>
      </c>
      <c r="G773" s="104">
        <v>0.26800000000000002</v>
      </c>
      <c r="H773" s="104">
        <v>0.28599999999999998</v>
      </c>
      <c r="I773" s="103">
        <v>6.6000000000000003E-2</v>
      </c>
      <c r="J773" s="104">
        <v>2.5999999999999999E-2</v>
      </c>
      <c r="K773" s="54">
        <f>((9/3)*L770)+((3/3)*L782)</f>
        <v>188575</v>
      </c>
      <c r="L773" s="113"/>
      <c r="M773" s="98">
        <f t="shared" si="92"/>
        <v>0.6</v>
      </c>
      <c r="N773" s="98">
        <v>0.26</v>
      </c>
      <c r="O773" s="98">
        <f t="shared" si="93"/>
        <v>0.61</v>
      </c>
      <c r="P773" s="98">
        <v>0.34620000000000001</v>
      </c>
      <c r="Q773" s="98">
        <v>0.69640000000000002</v>
      </c>
      <c r="R773" s="98">
        <v>0.6</v>
      </c>
      <c r="S773" s="98">
        <v>0.61</v>
      </c>
    </row>
    <row r="774" spans="1:19" s="60" customFormat="1">
      <c r="A774" s="59">
        <f t="shared" si="96"/>
        <v>60997</v>
      </c>
      <c r="B774" s="59">
        <f t="shared" si="95"/>
        <v>61361</v>
      </c>
      <c r="C774" s="102">
        <f t="shared" si="97"/>
        <v>0.26800000000000002</v>
      </c>
      <c r="D774" s="102">
        <f t="shared" si="97"/>
        <v>0.28599999999999998</v>
      </c>
      <c r="E774" s="102">
        <f t="shared" si="97"/>
        <v>6.6000000000000003E-2</v>
      </c>
      <c r="F774" s="102">
        <f t="shared" si="97"/>
        <v>2.5999999999999999E-2</v>
      </c>
      <c r="G774" s="104">
        <v>0.26800000000000002</v>
      </c>
      <c r="H774" s="104">
        <v>0.28599999999999998</v>
      </c>
      <c r="I774" s="103">
        <v>6.6000000000000003E-2</v>
      </c>
      <c r="J774" s="104">
        <v>2.5999999999999999E-2</v>
      </c>
      <c r="K774" s="54">
        <f>((8/3)*L770)+((4/3)*L782)</f>
        <v>189351</v>
      </c>
      <c r="L774" s="113"/>
      <c r="M774" s="98">
        <f t="shared" si="92"/>
        <v>0.6</v>
      </c>
      <c r="N774" s="98">
        <v>0.26</v>
      </c>
      <c r="O774" s="98">
        <f t="shared" si="93"/>
        <v>0.61</v>
      </c>
      <c r="P774" s="98">
        <v>0.34620000000000001</v>
      </c>
      <c r="Q774" s="98">
        <v>0.69640000000000002</v>
      </c>
      <c r="R774" s="98">
        <v>0.6</v>
      </c>
      <c r="S774" s="98">
        <v>0.61</v>
      </c>
    </row>
    <row r="775" spans="1:19" s="60" customFormat="1">
      <c r="A775" s="59">
        <f t="shared" si="96"/>
        <v>61028</v>
      </c>
      <c r="B775" s="59">
        <f t="shared" si="95"/>
        <v>61392</v>
      </c>
      <c r="C775" s="102">
        <f t="shared" si="97"/>
        <v>0.26800000000000002</v>
      </c>
      <c r="D775" s="102">
        <f t="shared" si="97"/>
        <v>0.28599999999999998</v>
      </c>
      <c r="E775" s="102">
        <f t="shared" si="97"/>
        <v>6.6000000000000003E-2</v>
      </c>
      <c r="F775" s="102">
        <f t="shared" si="97"/>
        <v>2.5999999999999999E-2</v>
      </c>
      <c r="G775" s="104">
        <v>0.26800000000000002</v>
      </c>
      <c r="H775" s="104">
        <v>0.28599999999999998</v>
      </c>
      <c r="I775" s="103">
        <v>6.6000000000000003E-2</v>
      </c>
      <c r="J775" s="104">
        <v>2.5999999999999999E-2</v>
      </c>
      <c r="K775" s="54">
        <f>((7/3)*L770)+((5/3)*L782)</f>
        <v>190127</v>
      </c>
      <c r="L775" s="113"/>
      <c r="M775" s="98">
        <f t="shared" si="92"/>
        <v>0.6</v>
      </c>
      <c r="N775" s="98">
        <v>0.26</v>
      </c>
      <c r="O775" s="98">
        <f t="shared" si="93"/>
        <v>0.61</v>
      </c>
      <c r="P775" s="98">
        <v>0.34620000000000001</v>
      </c>
      <c r="Q775" s="98">
        <v>0.69640000000000002</v>
      </c>
      <c r="R775" s="98">
        <v>0.6</v>
      </c>
      <c r="S775" s="98">
        <v>0.61</v>
      </c>
    </row>
    <row r="776" spans="1:19" s="60" customFormat="1">
      <c r="A776" s="59">
        <f t="shared" si="96"/>
        <v>61056</v>
      </c>
      <c r="B776" s="59">
        <f t="shared" si="95"/>
        <v>61421</v>
      </c>
      <c r="C776" s="102">
        <f t="shared" si="97"/>
        <v>0.26800000000000002</v>
      </c>
      <c r="D776" s="102">
        <f t="shared" si="97"/>
        <v>0.28599999999999998</v>
      </c>
      <c r="E776" s="102">
        <f t="shared" si="97"/>
        <v>6.6000000000000003E-2</v>
      </c>
      <c r="F776" s="102">
        <f t="shared" si="97"/>
        <v>2.5999999999999999E-2</v>
      </c>
      <c r="G776" s="104">
        <v>0.26800000000000002</v>
      </c>
      <c r="H776" s="104">
        <v>0.28599999999999998</v>
      </c>
      <c r="I776" s="103">
        <v>6.6000000000000003E-2</v>
      </c>
      <c r="J776" s="104">
        <v>2.5999999999999999E-2</v>
      </c>
      <c r="K776" s="54">
        <f>((6/3)*L770)+((6/3)*L782)</f>
        <v>190904</v>
      </c>
      <c r="L776" s="113"/>
      <c r="M776" s="98">
        <f t="shared" si="92"/>
        <v>0.6</v>
      </c>
      <c r="N776" s="98">
        <v>0.26</v>
      </c>
      <c r="O776" s="98">
        <f t="shared" si="93"/>
        <v>0.61</v>
      </c>
      <c r="P776" s="98">
        <v>0.34620000000000001</v>
      </c>
      <c r="Q776" s="98">
        <v>0.69640000000000002</v>
      </c>
      <c r="R776" s="98">
        <v>0.6</v>
      </c>
      <c r="S776" s="98">
        <v>0.61</v>
      </c>
    </row>
    <row r="777" spans="1:19" s="60" customFormat="1">
      <c r="A777" s="59">
        <f t="shared" si="96"/>
        <v>61087</v>
      </c>
      <c r="B777" s="59">
        <f t="shared" si="95"/>
        <v>61452</v>
      </c>
      <c r="C777" s="102">
        <f t="shared" si="97"/>
        <v>0.26800000000000002</v>
      </c>
      <c r="D777" s="102">
        <f t="shared" si="97"/>
        <v>0.28599999999999998</v>
      </c>
      <c r="E777" s="102">
        <f t="shared" si="97"/>
        <v>6.6000000000000003E-2</v>
      </c>
      <c r="F777" s="102">
        <f t="shared" si="97"/>
        <v>2.5999999999999999E-2</v>
      </c>
      <c r="G777" s="104">
        <v>0.26800000000000002</v>
      </c>
      <c r="H777" s="104">
        <v>0.28599999999999998</v>
      </c>
      <c r="I777" s="103">
        <v>6.6000000000000003E-2</v>
      </c>
      <c r="J777" s="104">
        <v>2.5999999999999999E-2</v>
      </c>
      <c r="K777" s="54">
        <f>((5/3)*L770)+((7/3)*L782)</f>
        <v>191680</v>
      </c>
      <c r="L777" s="113"/>
      <c r="M777" s="98">
        <f t="shared" si="92"/>
        <v>0.6</v>
      </c>
      <c r="N777" s="98">
        <v>0.26</v>
      </c>
      <c r="O777" s="98">
        <f t="shared" si="93"/>
        <v>0.61</v>
      </c>
      <c r="P777" s="98">
        <v>0.34620000000000001</v>
      </c>
      <c r="Q777" s="98">
        <v>0.69640000000000002</v>
      </c>
      <c r="R777" s="98">
        <v>0.6</v>
      </c>
      <c r="S777" s="98">
        <v>0.61</v>
      </c>
    </row>
    <row r="778" spans="1:19" s="60" customFormat="1">
      <c r="A778" s="59">
        <f t="shared" si="96"/>
        <v>61117</v>
      </c>
      <c r="B778" s="59">
        <f t="shared" si="95"/>
        <v>61482</v>
      </c>
      <c r="C778" s="102">
        <f t="shared" si="97"/>
        <v>0.26800000000000002</v>
      </c>
      <c r="D778" s="102">
        <f t="shared" si="97"/>
        <v>0.28599999999999998</v>
      </c>
      <c r="E778" s="102">
        <f t="shared" si="97"/>
        <v>6.6000000000000003E-2</v>
      </c>
      <c r="F778" s="102">
        <f t="shared" si="97"/>
        <v>2.5999999999999999E-2</v>
      </c>
      <c r="G778" s="104">
        <v>0.26800000000000002</v>
      </c>
      <c r="H778" s="104">
        <v>0.28599999999999998</v>
      </c>
      <c r="I778" s="103">
        <v>6.6000000000000003E-2</v>
      </c>
      <c r="J778" s="104">
        <v>2.5999999999999999E-2</v>
      </c>
      <c r="K778" s="54">
        <f>((4/3)*L770)+((8/3)*L782)</f>
        <v>192456</v>
      </c>
      <c r="L778" s="113"/>
      <c r="M778" s="98">
        <f t="shared" si="92"/>
        <v>0.6</v>
      </c>
      <c r="N778" s="98">
        <v>0.26</v>
      </c>
      <c r="O778" s="98">
        <f t="shared" si="93"/>
        <v>0.61</v>
      </c>
      <c r="P778" s="98">
        <v>0.34620000000000001</v>
      </c>
      <c r="Q778" s="98">
        <v>0.69640000000000002</v>
      </c>
      <c r="R778" s="98">
        <v>0.6</v>
      </c>
      <c r="S778" s="98">
        <v>0.61</v>
      </c>
    </row>
    <row r="779" spans="1:19" s="60" customFormat="1">
      <c r="A779" s="59">
        <f t="shared" si="96"/>
        <v>61148</v>
      </c>
      <c r="B779" s="59">
        <f t="shared" si="95"/>
        <v>61513</v>
      </c>
      <c r="C779" s="102">
        <f t="shared" si="97"/>
        <v>0.26800000000000002</v>
      </c>
      <c r="D779" s="102">
        <f t="shared" si="97"/>
        <v>0.28599999999999998</v>
      </c>
      <c r="E779" s="102">
        <f t="shared" si="97"/>
        <v>6.6000000000000003E-2</v>
      </c>
      <c r="F779" s="102">
        <f t="shared" si="97"/>
        <v>2.5999999999999999E-2</v>
      </c>
      <c r="G779" s="104">
        <v>0.26800000000000002</v>
      </c>
      <c r="H779" s="104">
        <v>0.28599999999999998</v>
      </c>
      <c r="I779" s="103">
        <v>6.6000000000000003E-2</v>
      </c>
      <c r="J779" s="104">
        <v>2.5999999999999999E-2</v>
      </c>
      <c r="K779" s="54">
        <f>((3/3)*L770)+((9/3)*L782)</f>
        <v>193232</v>
      </c>
      <c r="L779" s="113"/>
      <c r="M779" s="98">
        <f t="shared" si="92"/>
        <v>0.6</v>
      </c>
      <c r="N779" s="98">
        <v>0.26</v>
      </c>
      <c r="O779" s="98">
        <f t="shared" si="93"/>
        <v>0.61</v>
      </c>
      <c r="P779" s="98">
        <v>0.34620000000000001</v>
      </c>
      <c r="Q779" s="98">
        <v>0.69640000000000002</v>
      </c>
      <c r="R779" s="98">
        <v>0.6</v>
      </c>
      <c r="S779" s="98">
        <v>0.61</v>
      </c>
    </row>
    <row r="780" spans="1:19" s="60" customFormat="1">
      <c r="A780" s="59">
        <f t="shared" si="96"/>
        <v>61178</v>
      </c>
      <c r="B780" s="59">
        <f t="shared" si="95"/>
        <v>61543</v>
      </c>
      <c r="C780" s="102">
        <f t="shared" si="97"/>
        <v>0.26800000000000002</v>
      </c>
      <c r="D780" s="102">
        <f t="shared" si="97"/>
        <v>0.28599999999999998</v>
      </c>
      <c r="E780" s="102">
        <f t="shared" si="97"/>
        <v>6.6000000000000003E-2</v>
      </c>
      <c r="F780" s="102">
        <f t="shared" si="97"/>
        <v>2.5999999999999999E-2</v>
      </c>
      <c r="G780" s="104">
        <v>0.26800000000000002</v>
      </c>
      <c r="H780" s="104">
        <v>0.28599999999999998</v>
      </c>
      <c r="I780" s="103">
        <v>6.6000000000000003E-2</v>
      </c>
      <c r="J780" s="104">
        <v>2.5999999999999999E-2</v>
      </c>
      <c r="K780" s="54">
        <f>((2/3)*L770)+((10/3)*L782)</f>
        <v>194008</v>
      </c>
      <c r="L780" s="113"/>
      <c r="M780" s="98">
        <f t="shared" si="92"/>
        <v>0.6</v>
      </c>
      <c r="N780" s="98">
        <v>0.26</v>
      </c>
      <c r="O780" s="98">
        <f t="shared" si="93"/>
        <v>0.61</v>
      </c>
      <c r="P780" s="98">
        <v>0.34620000000000001</v>
      </c>
      <c r="Q780" s="98">
        <v>0.69640000000000002</v>
      </c>
      <c r="R780" s="98">
        <v>0.6</v>
      </c>
      <c r="S780" s="98">
        <v>0.61</v>
      </c>
    </row>
    <row r="781" spans="1:19" s="60" customFormat="1">
      <c r="A781" s="59">
        <f t="shared" si="96"/>
        <v>61209</v>
      </c>
      <c r="B781" s="59">
        <f t="shared" si="95"/>
        <v>61574</v>
      </c>
      <c r="C781" s="99">
        <f t="shared" si="97"/>
        <v>0.26800000000000002</v>
      </c>
      <c r="D781" s="99">
        <f t="shared" si="97"/>
        <v>0.28599999999999998</v>
      </c>
      <c r="E781" s="99">
        <f t="shared" si="97"/>
        <v>6.6000000000000003E-2</v>
      </c>
      <c r="F781" s="99">
        <f t="shared" si="97"/>
        <v>2.5999999999999999E-2</v>
      </c>
      <c r="G781" s="104">
        <v>0.26800000000000002</v>
      </c>
      <c r="H781" s="104">
        <v>0.28599999999999998</v>
      </c>
      <c r="I781" s="103">
        <v>6.6000000000000003E-2</v>
      </c>
      <c r="J781" s="104">
        <v>2.5999999999999999E-2</v>
      </c>
      <c r="K781" s="54">
        <f>((1/3)*L770)+((11/3)*L782)</f>
        <v>194784</v>
      </c>
      <c r="L781" s="113"/>
      <c r="M781" s="98">
        <f t="shared" si="92"/>
        <v>0.6</v>
      </c>
      <c r="N781" s="98">
        <v>0.26</v>
      </c>
      <c r="O781" s="98">
        <f t="shared" si="93"/>
        <v>0.61</v>
      </c>
      <c r="P781" s="98">
        <v>0.34620000000000001</v>
      </c>
      <c r="Q781" s="98">
        <v>0.69640000000000002</v>
      </c>
      <c r="R781" s="98">
        <v>0.6</v>
      </c>
      <c r="S781" s="98">
        <v>0.61</v>
      </c>
    </row>
    <row r="782" spans="1:19" s="96" customFormat="1">
      <c r="A782" s="95">
        <f t="shared" si="96"/>
        <v>61240</v>
      </c>
      <c r="B782" s="95">
        <f t="shared" si="95"/>
        <v>61605</v>
      </c>
      <c r="C782" s="105">
        <f t="shared" si="97"/>
        <v>0.26800000000000002</v>
      </c>
      <c r="D782" s="105">
        <f t="shared" si="97"/>
        <v>0.28599999999999998</v>
      </c>
      <c r="E782" s="105">
        <f t="shared" si="97"/>
        <v>6.6000000000000003E-2</v>
      </c>
      <c r="F782" s="105">
        <f t="shared" si="97"/>
        <v>2.5999999999999999E-2</v>
      </c>
      <c r="G782" s="107">
        <v>0.26800000000000002</v>
      </c>
      <c r="H782" s="107">
        <v>0.28599999999999998</v>
      </c>
      <c r="I782" s="106">
        <v>6.6000000000000003E-2</v>
      </c>
      <c r="J782" s="107">
        <v>2.5999999999999999E-2</v>
      </c>
      <c r="K782" s="94">
        <f>(L782*4)</f>
        <v>195560</v>
      </c>
      <c r="L782" s="114">
        <f>L770*1.05</f>
        <v>48889.919999999998</v>
      </c>
      <c r="M782" s="421">
        <f t="shared" si="92"/>
        <v>0.6</v>
      </c>
      <c r="N782" s="421">
        <v>0.26</v>
      </c>
      <c r="O782" s="421">
        <f t="shared" si="93"/>
        <v>0.61</v>
      </c>
      <c r="P782" s="421">
        <v>0.34620000000000001</v>
      </c>
      <c r="Q782" s="421">
        <v>0.69640000000000002</v>
      </c>
      <c r="R782" s="421">
        <v>0.6</v>
      </c>
      <c r="S782" s="421">
        <v>0.61</v>
      </c>
    </row>
    <row r="783" spans="1:19" s="96" customFormat="1">
      <c r="A783" s="95">
        <f t="shared" si="96"/>
        <v>61270</v>
      </c>
      <c r="B783" s="95">
        <f t="shared" si="95"/>
        <v>61635</v>
      </c>
      <c r="C783" s="105">
        <f t="shared" si="97"/>
        <v>0.26800000000000002</v>
      </c>
      <c r="D783" s="105">
        <f t="shared" si="97"/>
        <v>0.28599999999999998</v>
      </c>
      <c r="E783" s="105">
        <f t="shared" si="97"/>
        <v>6.6000000000000003E-2</v>
      </c>
      <c r="F783" s="105">
        <f t="shared" si="97"/>
        <v>2.5999999999999999E-2</v>
      </c>
      <c r="G783" s="107">
        <v>0.26800000000000002</v>
      </c>
      <c r="H783" s="107">
        <v>0.28599999999999998</v>
      </c>
      <c r="I783" s="106">
        <v>6.6000000000000003E-2</v>
      </c>
      <c r="J783" s="107">
        <v>2.5999999999999999E-2</v>
      </c>
      <c r="K783" s="94">
        <f>((11/3)*L782)+((1/3)*L794)</f>
        <v>196375</v>
      </c>
      <c r="L783" s="114"/>
      <c r="M783" s="421">
        <f t="shared" si="92"/>
        <v>0.6</v>
      </c>
      <c r="N783" s="421">
        <v>0.26</v>
      </c>
      <c r="O783" s="421">
        <f t="shared" si="93"/>
        <v>0.61</v>
      </c>
      <c r="P783" s="421">
        <v>0.34620000000000001</v>
      </c>
      <c r="Q783" s="421">
        <v>0.69640000000000002</v>
      </c>
      <c r="R783" s="421">
        <v>0.6</v>
      </c>
      <c r="S783" s="421">
        <v>0.61</v>
      </c>
    </row>
    <row r="784" spans="1:19" s="96" customFormat="1">
      <c r="A784" s="95">
        <f t="shared" si="96"/>
        <v>61301</v>
      </c>
      <c r="B784" s="95">
        <f t="shared" si="95"/>
        <v>61666</v>
      </c>
      <c r="C784" s="105">
        <f t="shared" si="97"/>
        <v>0.26800000000000002</v>
      </c>
      <c r="D784" s="105">
        <f t="shared" si="97"/>
        <v>0.28599999999999998</v>
      </c>
      <c r="E784" s="105">
        <f t="shared" si="97"/>
        <v>6.6000000000000003E-2</v>
      </c>
      <c r="F784" s="105">
        <f t="shared" si="97"/>
        <v>2.5999999999999999E-2</v>
      </c>
      <c r="G784" s="107">
        <v>0.26800000000000002</v>
      </c>
      <c r="H784" s="107">
        <v>0.28599999999999998</v>
      </c>
      <c r="I784" s="106">
        <v>6.6000000000000003E-2</v>
      </c>
      <c r="J784" s="107">
        <v>2.5999999999999999E-2</v>
      </c>
      <c r="K784" s="94">
        <f>((10/3)*L782)+((2/3)*L794)</f>
        <v>197189</v>
      </c>
      <c r="L784" s="114"/>
      <c r="M784" s="421">
        <f t="shared" si="92"/>
        <v>0.6</v>
      </c>
      <c r="N784" s="421">
        <v>0.26</v>
      </c>
      <c r="O784" s="421">
        <f t="shared" si="93"/>
        <v>0.61</v>
      </c>
      <c r="P784" s="421">
        <v>0.34620000000000001</v>
      </c>
      <c r="Q784" s="421">
        <v>0.69640000000000002</v>
      </c>
      <c r="R784" s="421">
        <v>0.6</v>
      </c>
      <c r="S784" s="421">
        <v>0.61</v>
      </c>
    </row>
    <row r="785" spans="1:19" s="96" customFormat="1">
      <c r="A785" s="95">
        <f t="shared" si="96"/>
        <v>61331</v>
      </c>
      <c r="B785" s="95">
        <f t="shared" si="95"/>
        <v>61696</v>
      </c>
      <c r="C785" s="105">
        <f t="shared" si="97"/>
        <v>0.26800000000000002</v>
      </c>
      <c r="D785" s="105">
        <f t="shared" si="97"/>
        <v>0.28599999999999998</v>
      </c>
      <c r="E785" s="105">
        <f t="shared" si="97"/>
        <v>6.6000000000000003E-2</v>
      </c>
      <c r="F785" s="105">
        <f t="shared" si="97"/>
        <v>2.5999999999999999E-2</v>
      </c>
      <c r="G785" s="107">
        <v>0.26800000000000002</v>
      </c>
      <c r="H785" s="107">
        <v>0.28599999999999998</v>
      </c>
      <c r="I785" s="106">
        <v>6.6000000000000003E-2</v>
      </c>
      <c r="J785" s="107">
        <v>2.5999999999999999E-2</v>
      </c>
      <c r="K785" s="94">
        <f>((9/3)*L782)+((3/3)*L794)</f>
        <v>198004</v>
      </c>
      <c r="L785" s="114"/>
      <c r="M785" s="421">
        <f t="shared" si="92"/>
        <v>0.6</v>
      </c>
      <c r="N785" s="421">
        <v>0.26</v>
      </c>
      <c r="O785" s="421">
        <f t="shared" si="93"/>
        <v>0.61</v>
      </c>
      <c r="P785" s="421">
        <v>0.34620000000000001</v>
      </c>
      <c r="Q785" s="421">
        <v>0.69640000000000002</v>
      </c>
      <c r="R785" s="421">
        <v>0.6</v>
      </c>
      <c r="S785" s="421">
        <v>0.61</v>
      </c>
    </row>
    <row r="786" spans="1:19" s="96" customFormat="1">
      <c r="A786" s="95">
        <f t="shared" si="96"/>
        <v>61362</v>
      </c>
      <c r="B786" s="95">
        <f t="shared" si="95"/>
        <v>61727</v>
      </c>
      <c r="C786" s="105">
        <f t="shared" si="97"/>
        <v>0.26800000000000002</v>
      </c>
      <c r="D786" s="105">
        <f t="shared" si="97"/>
        <v>0.28599999999999998</v>
      </c>
      <c r="E786" s="105">
        <f t="shared" si="97"/>
        <v>6.6000000000000003E-2</v>
      </c>
      <c r="F786" s="105">
        <f t="shared" si="97"/>
        <v>2.5999999999999999E-2</v>
      </c>
      <c r="G786" s="107">
        <v>0.26800000000000002</v>
      </c>
      <c r="H786" s="107">
        <v>0.28599999999999998</v>
      </c>
      <c r="I786" s="106">
        <v>6.6000000000000003E-2</v>
      </c>
      <c r="J786" s="107">
        <v>2.5999999999999999E-2</v>
      </c>
      <c r="K786" s="94">
        <f>((8/3)*L782)+((4/3)*L794)</f>
        <v>198819</v>
      </c>
      <c r="L786" s="114"/>
      <c r="M786" s="421">
        <f t="shared" si="92"/>
        <v>0.6</v>
      </c>
      <c r="N786" s="421">
        <v>0.26</v>
      </c>
      <c r="O786" s="421">
        <f t="shared" si="93"/>
        <v>0.61</v>
      </c>
      <c r="P786" s="421">
        <v>0.34620000000000001</v>
      </c>
      <c r="Q786" s="421">
        <v>0.69640000000000002</v>
      </c>
      <c r="R786" s="421">
        <v>0.6</v>
      </c>
      <c r="S786" s="421">
        <v>0.61</v>
      </c>
    </row>
    <row r="787" spans="1:19" s="96" customFormat="1">
      <c r="A787" s="95">
        <f t="shared" si="96"/>
        <v>61393</v>
      </c>
      <c r="B787" s="95">
        <f t="shared" si="95"/>
        <v>61758</v>
      </c>
      <c r="C787" s="105">
        <f t="shared" ref="C787:F802" si="98">AVERAGE(G787:G798)</f>
        <v>0.26800000000000002</v>
      </c>
      <c r="D787" s="105">
        <f t="shared" si="98"/>
        <v>0.28599999999999998</v>
      </c>
      <c r="E787" s="105">
        <f t="shared" si="98"/>
        <v>6.6000000000000003E-2</v>
      </c>
      <c r="F787" s="105">
        <f t="shared" si="98"/>
        <v>2.5999999999999999E-2</v>
      </c>
      <c r="G787" s="107">
        <v>0.26800000000000002</v>
      </c>
      <c r="H787" s="107">
        <v>0.28599999999999998</v>
      </c>
      <c r="I787" s="106">
        <v>6.6000000000000003E-2</v>
      </c>
      <c r="J787" s="107">
        <v>2.5999999999999999E-2</v>
      </c>
      <c r="K787" s="94">
        <f>((7/3)*L782)+((5/3)*L794)</f>
        <v>199634</v>
      </c>
      <c r="L787" s="114"/>
      <c r="M787" s="421">
        <f t="shared" si="92"/>
        <v>0.6</v>
      </c>
      <c r="N787" s="421">
        <v>0.26</v>
      </c>
      <c r="O787" s="421">
        <f t="shared" si="93"/>
        <v>0.61</v>
      </c>
      <c r="P787" s="421">
        <v>0.34620000000000001</v>
      </c>
      <c r="Q787" s="421">
        <v>0.69640000000000002</v>
      </c>
      <c r="R787" s="421">
        <v>0.6</v>
      </c>
      <c r="S787" s="421">
        <v>0.61</v>
      </c>
    </row>
    <row r="788" spans="1:19" s="96" customFormat="1">
      <c r="A788" s="95">
        <f t="shared" si="96"/>
        <v>61422</v>
      </c>
      <c r="B788" s="95">
        <f t="shared" si="95"/>
        <v>61786</v>
      </c>
      <c r="C788" s="105">
        <f t="shared" si="98"/>
        <v>0.26800000000000002</v>
      </c>
      <c r="D788" s="105">
        <f t="shared" si="98"/>
        <v>0.28599999999999998</v>
      </c>
      <c r="E788" s="105">
        <f t="shared" si="98"/>
        <v>6.6000000000000003E-2</v>
      </c>
      <c r="F788" s="105">
        <f t="shared" si="98"/>
        <v>2.5999999999999999E-2</v>
      </c>
      <c r="G788" s="107">
        <v>0.26800000000000002</v>
      </c>
      <c r="H788" s="107">
        <v>0.28599999999999998</v>
      </c>
      <c r="I788" s="106">
        <v>6.6000000000000003E-2</v>
      </c>
      <c r="J788" s="107">
        <v>2.5999999999999999E-2</v>
      </c>
      <c r="K788" s="94">
        <f>((6/3)*L782)+((6/3)*L794)</f>
        <v>200449</v>
      </c>
      <c r="L788" s="114"/>
      <c r="M788" s="421">
        <f t="shared" si="92"/>
        <v>0.6</v>
      </c>
      <c r="N788" s="421">
        <v>0.26</v>
      </c>
      <c r="O788" s="421">
        <f t="shared" si="93"/>
        <v>0.61</v>
      </c>
      <c r="P788" s="421">
        <v>0.34620000000000001</v>
      </c>
      <c r="Q788" s="421">
        <v>0.69640000000000002</v>
      </c>
      <c r="R788" s="421">
        <v>0.6</v>
      </c>
      <c r="S788" s="421">
        <v>0.61</v>
      </c>
    </row>
    <row r="789" spans="1:19" s="96" customFormat="1">
      <c r="A789" s="95">
        <f t="shared" si="96"/>
        <v>61453</v>
      </c>
      <c r="B789" s="95">
        <f t="shared" si="95"/>
        <v>61817</v>
      </c>
      <c r="C789" s="105">
        <f t="shared" si="98"/>
        <v>0.26800000000000002</v>
      </c>
      <c r="D789" s="105">
        <f t="shared" si="98"/>
        <v>0.28599999999999998</v>
      </c>
      <c r="E789" s="105">
        <f t="shared" si="98"/>
        <v>6.6000000000000003E-2</v>
      </c>
      <c r="F789" s="105">
        <f t="shared" si="98"/>
        <v>2.5999999999999999E-2</v>
      </c>
      <c r="G789" s="107">
        <v>0.26800000000000002</v>
      </c>
      <c r="H789" s="107">
        <v>0.28599999999999998</v>
      </c>
      <c r="I789" s="106">
        <v>6.6000000000000003E-2</v>
      </c>
      <c r="J789" s="107">
        <v>2.5999999999999999E-2</v>
      </c>
      <c r="K789" s="94">
        <f>((5/3)*L782)+((7/3)*L794)</f>
        <v>201264</v>
      </c>
      <c r="L789" s="114"/>
      <c r="M789" s="421">
        <f t="shared" si="92"/>
        <v>0.6</v>
      </c>
      <c r="N789" s="421">
        <v>0.26</v>
      </c>
      <c r="O789" s="421">
        <f t="shared" si="93"/>
        <v>0.61</v>
      </c>
      <c r="P789" s="421">
        <v>0.34620000000000001</v>
      </c>
      <c r="Q789" s="421">
        <v>0.69640000000000002</v>
      </c>
      <c r="R789" s="421">
        <v>0.6</v>
      </c>
      <c r="S789" s="421">
        <v>0.61</v>
      </c>
    </row>
    <row r="790" spans="1:19" s="96" customFormat="1">
      <c r="A790" s="95">
        <f t="shared" si="96"/>
        <v>61483</v>
      </c>
      <c r="B790" s="95">
        <f t="shared" si="95"/>
        <v>61847</v>
      </c>
      <c r="C790" s="105">
        <f t="shared" si="98"/>
        <v>0.26800000000000002</v>
      </c>
      <c r="D790" s="105">
        <f t="shared" si="98"/>
        <v>0.28599999999999998</v>
      </c>
      <c r="E790" s="105">
        <f t="shared" si="98"/>
        <v>6.6000000000000003E-2</v>
      </c>
      <c r="F790" s="105">
        <f t="shared" si="98"/>
        <v>2.5999999999999999E-2</v>
      </c>
      <c r="G790" s="107">
        <v>0.26800000000000002</v>
      </c>
      <c r="H790" s="107">
        <v>0.28599999999999998</v>
      </c>
      <c r="I790" s="106">
        <v>6.6000000000000003E-2</v>
      </c>
      <c r="J790" s="107">
        <v>2.5999999999999999E-2</v>
      </c>
      <c r="K790" s="94">
        <f>((4/3)*L782)+((8/3)*L794)</f>
        <v>202078</v>
      </c>
      <c r="L790" s="114"/>
      <c r="M790" s="421">
        <f t="shared" si="92"/>
        <v>0.6</v>
      </c>
      <c r="N790" s="421">
        <v>0.26</v>
      </c>
      <c r="O790" s="421">
        <f t="shared" si="93"/>
        <v>0.61</v>
      </c>
      <c r="P790" s="421">
        <v>0.34620000000000001</v>
      </c>
      <c r="Q790" s="421">
        <v>0.69640000000000002</v>
      </c>
      <c r="R790" s="421">
        <v>0.6</v>
      </c>
      <c r="S790" s="421">
        <v>0.61</v>
      </c>
    </row>
    <row r="791" spans="1:19" s="96" customFormat="1">
      <c r="A791" s="95">
        <f t="shared" si="96"/>
        <v>61514</v>
      </c>
      <c r="B791" s="95">
        <f t="shared" si="95"/>
        <v>61878</v>
      </c>
      <c r="C791" s="105">
        <f t="shared" si="98"/>
        <v>0.26800000000000002</v>
      </c>
      <c r="D791" s="105">
        <f t="shared" si="98"/>
        <v>0.28599999999999998</v>
      </c>
      <c r="E791" s="105">
        <f t="shared" si="98"/>
        <v>6.6000000000000003E-2</v>
      </c>
      <c r="F791" s="105">
        <f t="shared" si="98"/>
        <v>2.5999999999999999E-2</v>
      </c>
      <c r="G791" s="107">
        <v>0.26800000000000002</v>
      </c>
      <c r="H791" s="107">
        <v>0.28599999999999998</v>
      </c>
      <c r="I791" s="106">
        <v>6.6000000000000003E-2</v>
      </c>
      <c r="J791" s="107">
        <v>2.5999999999999999E-2</v>
      </c>
      <c r="K791" s="94">
        <f>((3/3)*L782)+((9/3)*L794)</f>
        <v>202893</v>
      </c>
      <c r="L791" s="114"/>
      <c r="M791" s="421">
        <f t="shared" si="92"/>
        <v>0.6</v>
      </c>
      <c r="N791" s="421">
        <v>0.26</v>
      </c>
      <c r="O791" s="421">
        <f t="shared" si="93"/>
        <v>0.61</v>
      </c>
      <c r="P791" s="421">
        <v>0.34620000000000001</v>
      </c>
      <c r="Q791" s="421">
        <v>0.69640000000000002</v>
      </c>
      <c r="R791" s="421">
        <v>0.6</v>
      </c>
      <c r="S791" s="421">
        <v>0.61</v>
      </c>
    </row>
    <row r="792" spans="1:19" s="96" customFormat="1">
      <c r="A792" s="95">
        <f t="shared" si="96"/>
        <v>61544</v>
      </c>
      <c r="B792" s="95">
        <f t="shared" si="95"/>
        <v>61908</v>
      </c>
      <c r="C792" s="105">
        <f t="shared" si="98"/>
        <v>0.26800000000000002</v>
      </c>
      <c r="D792" s="105">
        <f t="shared" si="98"/>
        <v>0.28599999999999998</v>
      </c>
      <c r="E792" s="105">
        <f t="shared" si="98"/>
        <v>6.6000000000000003E-2</v>
      </c>
      <c r="F792" s="105">
        <f t="shared" si="98"/>
        <v>2.5999999999999999E-2</v>
      </c>
      <c r="G792" s="107">
        <v>0.26800000000000002</v>
      </c>
      <c r="H792" s="107">
        <v>0.28599999999999998</v>
      </c>
      <c r="I792" s="106">
        <v>6.6000000000000003E-2</v>
      </c>
      <c r="J792" s="107">
        <v>2.5999999999999999E-2</v>
      </c>
      <c r="K792" s="94">
        <f>((2/3)*L782)+((10/3)*L794)</f>
        <v>203708</v>
      </c>
      <c r="L792" s="114"/>
      <c r="M792" s="421">
        <f t="shared" si="92"/>
        <v>0.6</v>
      </c>
      <c r="N792" s="421">
        <v>0.26</v>
      </c>
      <c r="O792" s="421">
        <f t="shared" si="93"/>
        <v>0.61</v>
      </c>
      <c r="P792" s="421">
        <v>0.34620000000000001</v>
      </c>
      <c r="Q792" s="421">
        <v>0.69640000000000002</v>
      </c>
      <c r="R792" s="421">
        <v>0.6</v>
      </c>
      <c r="S792" s="421">
        <v>0.61</v>
      </c>
    </row>
    <row r="793" spans="1:19" s="96" customFormat="1">
      <c r="A793" s="95">
        <f t="shared" si="96"/>
        <v>61575</v>
      </c>
      <c r="B793" s="95">
        <f t="shared" si="95"/>
        <v>61939</v>
      </c>
      <c r="C793" s="105">
        <f t="shared" si="98"/>
        <v>0.26800000000000002</v>
      </c>
      <c r="D793" s="105">
        <f t="shared" si="98"/>
        <v>0.28599999999999998</v>
      </c>
      <c r="E793" s="105">
        <f t="shared" si="98"/>
        <v>6.6000000000000003E-2</v>
      </c>
      <c r="F793" s="105">
        <f t="shared" si="98"/>
        <v>2.5999999999999999E-2</v>
      </c>
      <c r="G793" s="107">
        <v>0.26800000000000002</v>
      </c>
      <c r="H793" s="107">
        <v>0.28599999999999998</v>
      </c>
      <c r="I793" s="106">
        <v>6.6000000000000003E-2</v>
      </c>
      <c r="J793" s="107">
        <v>2.5999999999999999E-2</v>
      </c>
      <c r="K793" s="94">
        <f>((1/3)*L782)+((11/3)*L794)</f>
        <v>204523</v>
      </c>
      <c r="L793" s="114"/>
      <c r="M793" s="421">
        <f t="shared" si="92"/>
        <v>0.6</v>
      </c>
      <c r="N793" s="421">
        <v>0.26</v>
      </c>
      <c r="O793" s="421">
        <f t="shared" si="93"/>
        <v>0.61</v>
      </c>
      <c r="P793" s="421">
        <v>0.34620000000000001</v>
      </c>
      <c r="Q793" s="421">
        <v>0.69640000000000002</v>
      </c>
      <c r="R793" s="421">
        <v>0.6</v>
      </c>
      <c r="S793" s="421">
        <v>0.61</v>
      </c>
    </row>
    <row r="794" spans="1:19" s="60" customFormat="1">
      <c r="A794" s="59">
        <f t="shared" si="96"/>
        <v>61606</v>
      </c>
      <c r="B794" s="59">
        <f t="shared" si="95"/>
        <v>61970</v>
      </c>
      <c r="C794" s="102">
        <f t="shared" si="98"/>
        <v>0.26800000000000002</v>
      </c>
      <c r="D794" s="102">
        <f t="shared" si="98"/>
        <v>0.28599999999999998</v>
      </c>
      <c r="E794" s="102">
        <f t="shared" si="98"/>
        <v>6.6000000000000003E-2</v>
      </c>
      <c r="F794" s="102">
        <f t="shared" si="98"/>
        <v>2.5999999999999999E-2</v>
      </c>
      <c r="G794" s="104">
        <v>0.26800000000000002</v>
      </c>
      <c r="H794" s="104">
        <v>0.28599999999999998</v>
      </c>
      <c r="I794" s="103">
        <v>6.6000000000000003E-2</v>
      </c>
      <c r="J794" s="104">
        <v>2.5999999999999999E-2</v>
      </c>
      <c r="K794" s="54">
        <f>(L794*4)</f>
        <v>205338</v>
      </c>
      <c r="L794" s="113">
        <f>L782*1.05</f>
        <v>51334.42</v>
      </c>
      <c r="M794" s="98">
        <f t="shared" si="92"/>
        <v>0.6</v>
      </c>
      <c r="N794" s="98">
        <v>0.26</v>
      </c>
      <c r="O794" s="98">
        <f t="shared" si="93"/>
        <v>0.61</v>
      </c>
      <c r="P794" s="98">
        <v>0.34620000000000001</v>
      </c>
      <c r="Q794" s="98">
        <v>0.69640000000000002</v>
      </c>
      <c r="R794" s="98">
        <v>0.6</v>
      </c>
      <c r="S794" s="98">
        <v>0.61</v>
      </c>
    </row>
    <row r="795" spans="1:19" s="60" customFormat="1">
      <c r="A795" s="59">
        <f t="shared" si="96"/>
        <v>61636</v>
      </c>
      <c r="B795" s="59">
        <f t="shared" si="95"/>
        <v>62000</v>
      </c>
      <c r="C795" s="102">
        <f t="shared" si="98"/>
        <v>0.26800000000000002</v>
      </c>
      <c r="D795" s="102">
        <f t="shared" si="98"/>
        <v>0.28599999999999998</v>
      </c>
      <c r="E795" s="102">
        <f t="shared" si="98"/>
        <v>6.6000000000000003E-2</v>
      </c>
      <c r="F795" s="102">
        <f t="shared" si="98"/>
        <v>2.5999999999999999E-2</v>
      </c>
      <c r="G795" s="104">
        <v>0.26800000000000002</v>
      </c>
      <c r="H795" s="104">
        <v>0.28599999999999998</v>
      </c>
      <c r="I795" s="103">
        <v>6.6000000000000003E-2</v>
      </c>
      <c r="J795" s="104">
        <v>2.5999999999999999E-2</v>
      </c>
      <c r="K795" s="54">
        <f>((11/3)*L794)+((1/3)*L806)</f>
        <v>206193</v>
      </c>
      <c r="L795" s="113"/>
      <c r="M795" s="98">
        <f t="shared" si="92"/>
        <v>0.6</v>
      </c>
      <c r="N795" s="98">
        <v>0.26</v>
      </c>
      <c r="O795" s="98">
        <f t="shared" si="93"/>
        <v>0.61</v>
      </c>
      <c r="P795" s="98">
        <v>0.34620000000000001</v>
      </c>
      <c r="Q795" s="98">
        <v>0.69640000000000002</v>
      </c>
      <c r="R795" s="98">
        <v>0.6</v>
      </c>
      <c r="S795" s="98">
        <v>0.61</v>
      </c>
    </row>
    <row r="796" spans="1:19" s="60" customFormat="1">
      <c r="A796" s="59">
        <f t="shared" si="96"/>
        <v>61667</v>
      </c>
      <c r="B796" s="59">
        <f t="shared" si="95"/>
        <v>62031</v>
      </c>
      <c r="C796" s="102">
        <f t="shared" si="98"/>
        <v>0.26800000000000002</v>
      </c>
      <c r="D796" s="102">
        <f t="shared" si="98"/>
        <v>0.28599999999999998</v>
      </c>
      <c r="E796" s="102">
        <f t="shared" si="98"/>
        <v>6.6000000000000003E-2</v>
      </c>
      <c r="F796" s="102">
        <f t="shared" si="98"/>
        <v>2.5999999999999999E-2</v>
      </c>
      <c r="G796" s="104">
        <v>0.26800000000000002</v>
      </c>
      <c r="H796" s="104">
        <v>0.28599999999999998</v>
      </c>
      <c r="I796" s="103">
        <v>6.6000000000000003E-2</v>
      </c>
      <c r="J796" s="104">
        <v>2.5999999999999999E-2</v>
      </c>
      <c r="K796" s="54">
        <f>((10/3)*L794)+((2/3)*L806)</f>
        <v>207049</v>
      </c>
      <c r="L796" s="113"/>
      <c r="M796" s="98">
        <f t="shared" si="92"/>
        <v>0.6</v>
      </c>
      <c r="N796" s="98">
        <v>0.26</v>
      </c>
      <c r="O796" s="98">
        <f t="shared" si="93"/>
        <v>0.61</v>
      </c>
      <c r="P796" s="98">
        <v>0.34620000000000001</v>
      </c>
      <c r="Q796" s="98">
        <v>0.69640000000000002</v>
      </c>
      <c r="R796" s="98">
        <v>0.6</v>
      </c>
      <c r="S796" s="98">
        <v>0.61</v>
      </c>
    </row>
    <row r="797" spans="1:19" s="60" customFormat="1">
      <c r="A797" s="59">
        <f t="shared" si="96"/>
        <v>61697</v>
      </c>
      <c r="B797" s="59">
        <f t="shared" si="95"/>
        <v>62061</v>
      </c>
      <c r="C797" s="102">
        <f t="shared" si="98"/>
        <v>0.26800000000000002</v>
      </c>
      <c r="D797" s="102">
        <f t="shared" si="98"/>
        <v>0.28599999999999998</v>
      </c>
      <c r="E797" s="102">
        <f t="shared" si="98"/>
        <v>6.6000000000000003E-2</v>
      </c>
      <c r="F797" s="102">
        <f t="shared" si="98"/>
        <v>2.5999999999999999E-2</v>
      </c>
      <c r="G797" s="104">
        <v>0.26800000000000002</v>
      </c>
      <c r="H797" s="104">
        <v>0.28599999999999998</v>
      </c>
      <c r="I797" s="103">
        <v>6.6000000000000003E-2</v>
      </c>
      <c r="J797" s="104">
        <v>2.5999999999999999E-2</v>
      </c>
      <c r="K797" s="54">
        <f>((9/3)*L794)+((3/3)*L806)</f>
        <v>207904</v>
      </c>
      <c r="L797" s="113"/>
      <c r="M797" s="98">
        <f t="shared" si="92"/>
        <v>0.6</v>
      </c>
      <c r="N797" s="98">
        <v>0.26</v>
      </c>
      <c r="O797" s="98">
        <f t="shared" si="93"/>
        <v>0.61</v>
      </c>
      <c r="P797" s="98">
        <v>0.34620000000000001</v>
      </c>
      <c r="Q797" s="98">
        <v>0.69640000000000002</v>
      </c>
      <c r="R797" s="98">
        <v>0.6</v>
      </c>
      <c r="S797" s="98">
        <v>0.61</v>
      </c>
    </row>
    <row r="798" spans="1:19" s="60" customFormat="1">
      <c r="A798" s="59">
        <f t="shared" si="96"/>
        <v>61728</v>
      </c>
      <c r="B798" s="59">
        <f t="shared" si="95"/>
        <v>62092</v>
      </c>
      <c r="C798" s="102">
        <f t="shared" si="98"/>
        <v>0.26800000000000002</v>
      </c>
      <c r="D798" s="102">
        <f t="shared" si="98"/>
        <v>0.28599999999999998</v>
      </c>
      <c r="E798" s="102">
        <f t="shared" si="98"/>
        <v>6.6000000000000003E-2</v>
      </c>
      <c r="F798" s="102">
        <f t="shared" si="98"/>
        <v>2.5999999999999999E-2</v>
      </c>
      <c r="G798" s="104">
        <v>0.26800000000000002</v>
      </c>
      <c r="H798" s="104">
        <v>0.28599999999999998</v>
      </c>
      <c r="I798" s="103">
        <v>6.6000000000000003E-2</v>
      </c>
      <c r="J798" s="104">
        <v>2.5999999999999999E-2</v>
      </c>
      <c r="K798" s="54">
        <f>((8/3)*L794)+((4/3)*L806)</f>
        <v>208760</v>
      </c>
      <c r="L798" s="113"/>
      <c r="M798" s="98">
        <f t="shared" si="92"/>
        <v>0.6</v>
      </c>
      <c r="N798" s="98">
        <v>0.26</v>
      </c>
      <c r="O798" s="98">
        <f t="shared" si="93"/>
        <v>0.61</v>
      </c>
      <c r="P798" s="98">
        <v>0.34620000000000001</v>
      </c>
      <c r="Q798" s="98">
        <v>0.69640000000000002</v>
      </c>
      <c r="R798" s="98">
        <v>0.6</v>
      </c>
      <c r="S798" s="98">
        <v>0.61</v>
      </c>
    </row>
    <row r="799" spans="1:19" s="60" customFormat="1">
      <c r="A799" s="59">
        <f t="shared" si="96"/>
        <v>61759</v>
      </c>
      <c r="B799" s="59">
        <f t="shared" si="95"/>
        <v>62123</v>
      </c>
      <c r="C799" s="102">
        <f t="shared" si="98"/>
        <v>0.26800000000000002</v>
      </c>
      <c r="D799" s="102">
        <f t="shared" si="98"/>
        <v>0.28599999999999998</v>
      </c>
      <c r="E799" s="102">
        <f t="shared" si="98"/>
        <v>6.6000000000000003E-2</v>
      </c>
      <c r="F799" s="102">
        <f t="shared" si="98"/>
        <v>2.5999999999999999E-2</v>
      </c>
      <c r="G799" s="104">
        <v>0.26800000000000002</v>
      </c>
      <c r="H799" s="104">
        <v>0.28599999999999998</v>
      </c>
      <c r="I799" s="103">
        <v>6.6000000000000003E-2</v>
      </c>
      <c r="J799" s="104">
        <v>2.5999999999999999E-2</v>
      </c>
      <c r="K799" s="54">
        <f>((7/3)*L794)+((5/3)*L806)</f>
        <v>209616</v>
      </c>
      <c r="L799" s="113"/>
      <c r="M799" s="98">
        <f t="shared" si="92"/>
        <v>0.6</v>
      </c>
      <c r="N799" s="98">
        <v>0.26</v>
      </c>
      <c r="O799" s="98">
        <f t="shared" si="93"/>
        <v>0.61</v>
      </c>
      <c r="P799" s="98">
        <v>0.34620000000000001</v>
      </c>
      <c r="Q799" s="98">
        <v>0.69640000000000002</v>
      </c>
      <c r="R799" s="98">
        <v>0.6</v>
      </c>
      <c r="S799" s="98">
        <v>0.61</v>
      </c>
    </row>
    <row r="800" spans="1:19" s="60" customFormat="1">
      <c r="A800" s="59">
        <f t="shared" si="96"/>
        <v>61787</v>
      </c>
      <c r="B800" s="59">
        <f t="shared" si="95"/>
        <v>62151</v>
      </c>
      <c r="C800" s="102">
        <f t="shared" si="98"/>
        <v>0.26800000000000002</v>
      </c>
      <c r="D800" s="102">
        <f t="shared" si="98"/>
        <v>0.28599999999999998</v>
      </c>
      <c r="E800" s="102">
        <f t="shared" si="98"/>
        <v>6.6000000000000003E-2</v>
      </c>
      <c r="F800" s="102">
        <f t="shared" si="98"/>
        <v>2.5999999999999999E-2</v>
      </c>
      <c r="G800" s="104">
        <v>0.26800000000000002</v>
      </c>
      <c r="H800" s="104">
        <v>0.28599999999999998</v>
      </c>
      <c r="I800" s="103">
        <v>6.6000000000000003E-2</v>
      </c>
      <c r="J800" s="104">
        <v>2.5999999999999999E-2</v>
      </c>
      <c r="K800" s="54">
        <f>((6/3)*L794)+((6/3)*L806)</f>
        <v>210471</v>
      </c>
      <c r="L800" s="113"/>
      <c r="M800" s="98">
        <f t="shared" si="92"/>
        <v>0.6</v>
      </c>
      <c r="N800" s="98">
        <v>0.26</v>
      </c>
      <c r="O800" s="98">
        <f t="shared" si="93"/>
        <v>0.61</v>
      </c>
      <c r="P800" s="98">
        <v>0.34620000000000001</v>
      </c>
      <c r="Q800" s="98">
        <v>0.69640000000000002</v>
      </c>
      <c r="R800" s="98">
        <v>0.6</v>
      </c>
      <c r="S800" s="98">
        <v>0.61</v>
      </c>
    </row>
    <row r="801" spans="1:19" s="60" customFormat="1">
      <c r="A801" s="59">
        <f t="shared" si="96"/>
        <v>61818</v>
      </c>
      <c r="B801" s="59">
        <f t="shared" si="95"/>
        <v>62182</v>
      </c>
      <c r="C801" s="102">
        <f t="shared" si="98"/>
        <v>0.26800000000000002</v>
      </c>
      <c r="D801" s="102">
        <f t="shared" si="98"/>
        <v>0.28599999999999998</v>
      </c>
      <c r="E801" s="102">
        <f t="shared" si="98"/>
        <v>6.6000000000000003E-2</v>
      </c>
      <c r="F801" s="102">
        <f t="shared" si="98"/>
        <v>2.5999999999999999E-2</v>
      </c>
      <c r="G801" s="104">
        <v>0.26800000000000002</v>
      </c>
      <c r="H801" s="104">
        <v>0.28599999999999998</v>
      </c>
      <c r="I801" s="103">
        <v>6.6000000000000003E-2</v>
      </c>
      <c r="J801" s="104">
        <v>2.5999999999999999E-2</v>
      </c>
      <c r="K801" s="54">
        <f>((5/3)*L794)+((7/3)*L806)</f>
        <v>211327</v>
      </c>
      <c r="L801" s="113"/>
      <c r="M801" s="98">
        <f t="shared" si="92"/>
        <v>0.6</v>
      </c>
      <c r="N801" s="98">
        <v>0.26</v>
      </c>
      <c r="O801" s="98">
        <f t="shared" si="93"/>
        <v>0.61</v>
      </c>
      <c r="P801" s="98">
        <v>0.34620000000000001</v>
      </c>
      <c r="Q801" s="98">
        <v>0.69640000000000002</v>
      </c>
      <c r="R801" s="98">
        <v>0.6</v>
      </c>
      <c r="S801" s="98">
        <v>0.61</v>
      </c>
    </row>
    <row r="802" spans="1:19" s="60" customFormat="1">
      <c r="A802" s="59">
        <f t="shared" si="96"/>
        <v>61848</v>
      </c>
      <c r="B802" s="59">
        <f t="shared" si="95"/>
        <v>62212</v>
      </c>
      <c r="C802" s="102">
        <f t="shared" si="98"/>
        <v>0.26800000000000002</v>
      </c>
      <c r="D802" s="102">
        <f t="shared" si="98"/>
        <v>0.28599999999999998</v>
      </c>
      <c r="E802" s="102">
        <f t="shared" si="98"/>
        <v>6.6000000000000003E-2</v>
      </c>
      <c r="F802" s="102">
        <f t="shared" si="98"/>
        <v>2.5999999999999999E-2</v>
      </c>
      <c r="G802" s="104">
        <v>0.26800000000000002</v>
      </c>
      <c r="H802" s="104">
        <v>0.28599999999999998</v>
      </c>
      <c r="I802" s="103">
        <v>6.6000000000000003E-2</v>
      </c>
      <c r="J802" s="104">
        <v>2.5999999999999999E-2</v>
      </c>
      <c r="K802" s="54">
        <f>((4/3)*L794)+((8/3)*L806)</f>
        <v>212182</v>
      </c>
      <c r="L802" s="113"/>
      <c r="M802" s="98">
        <f t="shared" si="92"/>
        <v>0.6</v>
      </c>
      <c r="N802" s="98">
        <v>0.26</v>
      </c>
      <c r="O802" s="98">
        <f t="shared" si="93"/>
        <v>0.61</v>
      </c>
      <c r="P802" s="98">
        <v>0.34620000000000001</v>
      </c>
      <c r="Q802" s="98">
        <v>0.69640000000000002</v>
      </c>
      <c r="R802" s="98">
        <v>0.6</v>
      </c>
      <c r="S802" s="98">
        <v>0.61</v>
      </c>
    </row>
    <row r="803" spans="1:19" s="60" customFormat="1">
      <c r="A803" s="59">
        <f t="shared" si="96"/>
        <v>61879</v>
      </c>
      <c r="B803" s="59">
        <f t="shared" si="95"/>
        <v>62243</v>
      </c>
      <c r="C803" s="102">
        <f t="shared" ref="C803:F805" si="99">AVERAGE(G803:G814)</f>
        <v>0.26800000000000002</v>
      </c>
      <c r="D803" s="102">
        <f t="shared" si="99"/>
        <v>0.28599999999999998</v>
      </c>
      <c r="E803" s="102">
        <f t="shared" si="99"/>
        <v>6.6000000000000003E-2</v>
      </c>
      <c r="F803" s="102">
        <f t="shared" si="99"/>
        <v>2.5999999999999999E-2</v>
      </c>
      <c r="G803" s="104">
        <v>0.26800000000000002</v>
      </c>
      <c r="H803" s="104">
        <v>0.28599999999999998</v>
      </c>
      <c r="I803" s="103">
        <v>6.6000000000000003E-2</v>
      </c>
      <c r="J803" s="104">
        <v>2.5999999999999999E-2</v>
      </c>
      <c r="K803" s="54">
        <f>((3/3)*L794)+((9/3)*L806)</f>
        <v>213038</v>
      </c>
      <c r="L803" s="113"/>
      <c r="M803" s="98">
        <f t="shared" si="92"/>
        <v>0.6</v>
      </c>
      <c r="N803" s="98">
        <v>0.26</v>
      </c>
      <c r="O803" s="98">
        <f t="shared" si="93"/>
        <v>0.61</v>
      </c>
      <c r="P803" s="98">
        <v>0.34620000000000001</v>
      </c>
      <c r="Q803" s="98">
        <v>0.69640000000000002</v>
      </c>
      <c r="R803" s="98">
        <v>0.6</v>
      </c>
      <c r="S803" s="98">
        <v>0.61</v>
      </c>
    </row>
    <row r="804" spans="1:19" s="60" customFormat="1">
      <c r="A804" s="59">
        <f t="shared" si="96"/>
        <v>61909</v>
      </c>
      <c r="B804" s="59">
        <f t="shared" si="95"/>
        <v>62273</v>
      </c>
      <c r="C804" s="102">
        <f t="shared" si="99"/>
        <v>0.26800000000000002</v>
      </c>
      <c r="D804" s="102">
        <f t="shared" si="99"/>
        <v>0.28599999999999998</v>
      </c>
      <c r="E804" s="102">
        <f t="shared" si="99"/>
        <v>6.6000000000000003E-2</v>
      </c>
      <c r="F804" s="102">
        <f t="shared" si="99"/>
        <v>2.5999999999999999E-2</v>
      </c>
      <c r="G804" s="104">
        <v>0.26800000000000002</v>
      </c>
      <c r="H804" s="104">
        <v>0.28599999999999998</v>
      </c>
      <c r="I804" s="103">
        <v>6.6000000000000003E-2</v>
      </c>
      <c r="J804" s="104">
        <v>2.5999999999999999E-2</v>
      </c>
      <c r="K804" s="54">
        <f>((2/3)*L794)+((10/3)*L806)</f>
        <v>213893</v>
      </c>
      <c r="L804" s="113"/>
      <c r="M804" s="98">
        <f t="shared" si="92"/>
        <v>0.6</v>
      </c>
      <c r="N804" s="98">
        <v>0.26</v>
      </c>
      <c r="O804" s="98">
        <f t="shared" si="93"/>
        <v>0.61</v>
      </c>
      <c r="P804" s="98">
        <v>0.34620000000000001</v>
      </c>
      <c r="Q804" s="98">
        <v>0.69640000000000002</v>
      </c>
      <c r="R804" s="98">
        <v>0.6</v>
      </c>
      <c r="S804" s="98">
        <v>0.61</v>
      </c>
    </row>
    <row r="805" spans="1:19" s="60" customFormat="1">
      <c r="A805" s="59">
        <f t="shared" si="96"/>
        <v>61940</v>
      </c>
      <c r="B805" s="59">
        <f t="shared" si="95"/>
        <v>62304</v>
      </c>
      <c r="C805" s="102">
        <f t="shared" si="99"/>
        <v>0.26800000000000002</v>
      </c>
      <c r="D805" s="102">
        <f t="shared" si="99"/>
        <v>0.28599999999999998</v>
      </c>
      <c r="E805" s="102">
        <f t="shared" si="99"/>
        <v>6.6000000000000003E-2</v>
      </c>
      <c r="F805" s="102">
        <f t="shared" si="99"/>
        <v>2.5999999999999999E-2</v>
      </c>
      <c r="G805" s="104">
        <v>0.26800000000000002</v>
      </c>
      <c r="H805" s="104">
        <v>0.28599999999999998</v>
      </c>
      <c r="I805" s="103">
        <v>6.6000000000000003E-2</v>
      </c>
      <c r="J805" s="104">
        <v>2.5999999999999999E-2</v>
      </c>
      <c r="K805" s="54">
        <f>((1/3)*L794)+((11/3)*L806)</f>
        <v>214749</v>
      </c>
      <c r="L805" s="113"/>
      <c r="M805" s="98">
        <f t="shared" si="92"/>
        <v>0.6</v>
      </c>
      <c r="N805" s="98">
        <v>0.26</v>
      </c>
      <c r="O805" s="98">
        <f t="shared" si="93"/>
        <v>0.61</v>
      </c>
      <c r="P805" s="98">
        <v>0.34620000000000001</v>
      </c>
      <c r="Q805" s="98">
        <v>0.69640000000000002</v>
      </c>
      <c r="R805" s="98">
        <v>0.6</v>
      </c>
      <c r="S805" s="98">
        <v>0.61</v>
      </c>
    </row>
    <row r="806" spans="1:19" s="307" customFormat="1">
      <c r="A806" s="441"/>
      <c r="B806" s="441"/>
      <c r="C806" s="103"/>
      <c r="D806" s="103"/>
      <c r="E806" s="103"/>
      <c r="F806" s="103"/>
      <c r="G806" s="107">
        <v>0.26800000000000002</v>
      </c>
      <c r="H806" s="107">
        <v>0.28599999999999998</v>
      </c>
      <c r="I806" s="106">
        <v>6.6000000000000003E-2</v>
      </c>
      <c r="J806" s="107">
        <v>2.5999999999999999E-2</v>
      </c>
      <c r="K806" s="442"/>
      <c r="L806" s="443">
        <f>L794*1.05</f>
        <v>53901.14</v>
      </c>
      <c r="M806" s="444"/>
      <c r="N806" s="444"/>
      <c r="O806" s="444"/>
      <c r="P806" s="444"/>
      <c r="Q806" s="444">
        <v>0.69640000000000002</v>
      </c>
      <c r="R806" s="421">
        <v>0.6</v>
      </c>
      <c r="S806" s="421">
        <v>0.61</v>
      </c>
    </row>
    <row r="807" spans="1:19" s="307" customFormat="1">
      <c r="A807" s="441"/>
      <c r="B807" s="441"/>
      <c r="C807" s="103"/>
      <c r="D807" s="103"/>
      <c r="E807" s="103"/>
      <c r="F807" s="103"/>
      <c r="G807" s="107">
        <v>0.26800000000000002</v>
      </c>
      <c r="H807" s="107">
        <v>0.28599999999999998</v>
      </c>
      <c r="I807" s="106">
        <v>6.6000000000000003E-2</v>
      </c>
      <c r="J807" s="107">
        <v>2.5999999999999999E-2</v>
      </c>
      <c r="K807" s="442"/>
      <c r="L807" s="443"/>
      <c r="M807" s="444"/>
      <c r="N807" s="444"/>
      <c r="O807" s="444"/>
      <c r="P807" s="444"/>
      <c r="Q807" s="444">
        <v>0.69640000000000002</v>
      </c>
      <c r="R807" s="421">
        <v>0.6</v>
      </c>
      <c r="S807" s="421">
        <v>0.61</v>
      </c>
    </row>
    <row r="808" spans="1:19" s="307" customFormat="1">
      <c r="A808" s="441"/>
      <c r="B808" s="441"/>
      <c r="C808" s="103"/>
      <c r="D808" s="103"/>
      <c r="E808" s="103"/>
      <c r="F808" s="103"/>
      <c r="G808" s="107">
        <v>0.26800000000000002</v>
      </c>
      <c r="H808" s="107">
        <v>0.28599999999999998</v>
      </c>
      <c r="I808" s="106">
        <v>6.6000000000000003E-2</v>
      </c>
      <c r="J808" s="107">
        <v>2.5999999999999999E-2</v>
      </c>
      <c r="K808" s="442"/>
      <c r="L808" s="443"/>
      <c r="M808" s="444"/>
      <c r="N808" s="444"/>
      <c r="O808" s="444"/>
      <c r="P808" s="444"/>
      <c r="Q808" s="444">
        <v>0.69640000000000002</v>
      </c>
      <c r="R808" s="421">
        <v>0.6</v>
      </c>
      <c r="S808" s="421">
        <v>0.61</v>
      </c>
    </row>
    <row r="809" spans="1:19" s="307" customFormat="1">
      <c r="A809" s="441"/>
      <c r="B809" s="441"/>
      <c r="C809" s="103"/>
      <c r="D809" s="103"/>
      <c r="E809" s="103"/>
      <c r="F809" s="103"/>
      <c r="G809" s="107">
        <v>0.26800000000000002</v>
      </c>
      <c r="H809" s="107">
        <v>0.28599999999999998</v>
      </c>
      <c r="I809" s="106">
        <v>6.6000000000000003E-2</v>
      </c>
      <c r="J809" s="107">
        <v>2.5999999999999999E-2</v>
      </c>
      <c r="K809" s="442"/>
      <c r="L809" s="443"/>
      <c r="M809" s="444"/>
      <c r="N809" s="444"/>
      <c r="O809" s="444"/>
      <c r="P809" s="444"/>
      <c r="Q809" s="444">
        <v>0.69640000000000002</v>
      </c>
      <c r="R809" s="421">
        <v>0.6</v>
      </c>
      <c r="S809" s="421">
        <v>0.61</v>
      </c>
    </row>
    <row r="810" spans="1:19" s="307" customFormat="1">
      <c r="A810" s="441"/>
      <c r="B810" s="441"/>
      <c r="C810" s="103"/>
      <c r="D810" s="103"/>
      <c r="E810" s="103"/>
      <c r="F810" s="103"/>
      <c r="G810" s="107">
        <v>0.26800000000000002</v>
      </c>
      <c r="H810" s="107">
        <v>0.28599999999999998</v>
      </c>
      <c r="I810" s="106">
        <v>6.6000000000000003E-2</v>
      </c>
      <c r="J810" s="107">
        <v>2.5999999999999999E-2</v>
      </c>
      <c r="K810" s="442"/>
      <c r="L810" s="443"/>
      <c r="M810" s="444"/>
      <c r="N810" s="444"/>
      <c r="O810" s="444"/>
      <c r="P810" s="444"/>
      <c r="Q810" s="444">
        <v>0.69640000000000002</v>
      </c>
      <c r="R810" s="421">
        <v>0.6</v>
      </c>
      <c r="S810" s="421">
        <v>0.61</v>
      </c>
    </row>
    <row r="811" spans="1:19" s="307" customFormat="1">
      <c r="A811" s="441"/>
      <c r="B811" s="441"/>
      <c r="C811" s="103"/>
      <c r="D811" s="103"/>
      <c r="E811" s="103"/>
      <c r="F811" s="103"/>
      <c r="G811" s="107">
        <v>0.26800000000000002</v>
      </c>
      <c r="H811" s="107">
        <v>0.28599999999999998</v>
      </c>
      <c r="I811" s="106">
        <v>6.6000000000000003E-2</v>
      </c>
      <c r="J811" s="107">
        <v>2.5999999999999999E-2</v>
      </c>
      <c r="K811" s="442"/>
      <c r="L811" s="443"/>
      <c r="M811" s="444"/>
      <c r="N811" s="444"/>
      <c r="O811" s="444"/>
      <c r="P811" s="444"/>
      <c r="Q811" s="444">
        <v>0.69640000000000002</v>
      </c>
      <c r="R811" s="421">
        <v>0.6</v>
      </c>
      <c r="S811" s="421">
        <v>0.61</v>
      </c>
    </row>
    <row r="812" spans="1:19" s="307" customFormat="1">
      <c r="A812" s="441"/>
      <c r="B812" s="441"/>
      <c r="C812" s="103"/>
      <c r="D812" s="103"/>
      <c r="E812" s="103"/>
      <c r="F812" s="103"/>
      <c r="G812" s="107">
        <v>0.26800000000000002</v>
      </c>
      <c r="H812" s="107">
        <v>0.28599999999999998</v>
      </c>
      <c r="I812" s="106">
        <v>6.6000000000000003E-2</v>
      </c>
      <c r="J812" s="107">
        <v>2.5999999999999999E-2</v>
      </c>
      <c r="K812" s="442"/>
      <c r="L812" s="443"/>
      <c r="M812" s="444"/>
      <c r="N812" s="444"/>
      <c r="O812" s="444"/>
      <c r="P812" s="444"/>
      <c r="Q812" s="444">
        <v>0.69640000000000002</v>
      </c>
      <c r="R812" s="421">
        <v>0.6</v>
      </c>
      <c r="S812" s="421">
        <v>0.61</v>
      </c>
    </row>
    <row r="813" spans="1:19" s="307" customFormat="1">
      <c r="A813" s="441"/>
      <c r="B813" s="441"/>
      <c r="C813" s="103"/>
      <c r="D813" s="103"/>
      <c r="E813" s="103"/>
      <c r="F813" s="103"/>
      <c r="G813" s="107">
        <v>0.26800000000000002</v>
      </c>
      <c r="H813" s="107">
        <v>0.28599999999999998</v>
      </c>
      <c r="I813" s="106">
        <v>6.6000000000000003E-2</v>
      </c>
      <c r="J813" s="107">
        <v>2.5999999999999999E-2</v>
      </c>
      <c r="K813" s="442"/>
      <c r="L813" s="443"/>
      <c r="M813" s="444"/>
      <c r="N813" s="444"/>
      <c r="O813" s="444"/>
      <c r="P813" s="444"/>
      <c r="Q813" s="444">
        <v>0.69640000000000002</v>
      </c>
      <c r="R813" s="421">
        <v>0.6</v>
      </c>
      <c r="S813" s="421">
        <v>0.61</v>
      </c>
    </row>
    <row r="814" spans="1:19" s="307" customFormat="1">
      <c r="A814" s="441"/>
      <c r="B814" s="441"/>
      <c r="C814" s="103"/>
      <c r="D814" s="103"/>
      <c r="E814" s="103"/>
      <c r="F814" s="103"/>
      <c r="G814" s="107">
        <v>0.26800000000000002</v>
      </c>
      <c r="H814" s="107">
        <v>0.28599999999999998</v>
      </c>
      <c r="I814" s="106">
        <v>6.6000000000000003E-2</v>
      </c>
      <c r="J814" s="107">
        <v>2.5999999999999999E-2</v>
      </c>
      <c r="K814" s="442"/>
      <c r="L814" s="443"/>
      <c r="M814" s="444"/>
      <c r="N814" s="444"/>
      <c r="O814" s="444"/>
      <c r="P814" s="444"/>
      <c r="Q814" s="444">
        <v>0.69640000000000002</v>
      </c>
      <c r="R814" s="421">
        <v>0.6</v>
      </c>
      <c r="S814" s="421">
        <v>0.61</v>
      </c>
    </row>
    <row r="815" spans="1:19" s="307" customFormat="1">
      <c r="A815" s="441"/>
      <c r="B815" s="441"/>
      <c r="C815" s="103"/>
      <c r="D815" s="103"/>
      <c r="E815" s="103"/>
      <c r="F815" s="103"/>
      <c r="G815" s="107">
        <v>0.26800000000000002</v>
      </c>
      <c r="H815" s="107">
        <v>0.28599999999999998</v>
      </c>
      <c r="I815" s="106">
        <v>6.6000000000000003E-2</v>
      </c>
      <c r="J815" s="107">
        <v>2.5999999999999999E-2</v>
      </c>
      <c r="K815" s="442"/>
      <c r="L815" s="443"/>
      <c r="M815" s="444"/>
      <c r="N815" s="444"/>
      <c r="O815" s="444"/>
      <c r="P815" s="444"/>
      <c r="Q815" s="444">
        <v>0.69640000000000002</v>
      </c>
      <c r="R815" s="421">
        <v>0.6</v>
      </c>
      <c r="S815" s="421">
        <v>0.61</v>
      </c>
    </row>
    <row r="816" spans="1:19" s="307" customFormat="1">
      <c r="A816" s="441"/>
      <c r="B816" s="441"/>
      <c r="C816" s="103"/>
      <c r="D816" s="103"/>
      <c r="E816" s="103"/>
      <c r="F816" s="103"/>
      <c r="G816" s="107">
        <v>0.26800000000000002</v>
      </c>
      <c r="H816" s="107">
        <v>0.28599999999999998</v>
      </c>
      <c r="I816" s="106">
        <v>6.6000000000000003E-2</v>
      </c>
      <c r="J816" s="107">
        <v>2.5999999999999999E-2</v>
      </c>
      <c r="K816" s="442"/>
      <c r="L816" s="443"/>
      <c r="M816" s="444"/>
      <c r="N816" s="444"/>
      <c r="O816" s="444"/>
      <c r="P816" s="444"/>
      <c r="Q816" s="444">
        <v>0.69640000000000002</v>
      </c>
      <c r="R816" s="421">
        <v>0.6</v>
      </c>
      <c r="S816" s="421">
        <v>0.61</v>
      </c>
    </row>
    <row r="817" spans="1:19" s="307" customFormat="1">
      <c r="A817" s="441"/>
      <c r="B817" s="441"/>
      <c r="C817" s="103"/>
      <c r="D817" s="103"/>
      <c r="E817" s="103"/>
      <c r="F817" s="103"/>
      <c r="G817" s="107">
        <v>0.26800000000000002</v>
      </c>
      <c r="H817" s="107">
        <v>0.28599999999999998</v>
      </c>
      <c r="I817" s="106">
        <v>6.6000000000000003E-2</v>
      </c>
      <c r="J817" s="107">
        <v>2.5999999999999999E-2</v>
      </c>
      <c r="K817" s="442"/>
      <c r="L817" s="443"/>
      <c r="M817" s="444"/>
      <c r="N817" s="444"/>
      <c r="O817" s="444"/>
      <c r="P817" s="444"/>
      <c r="Q817" s="444">
        <v>0.69640000000000002</v>
      </c>
      <c r="R817" s="421">
        <v>0.6</v>
      </c>
      <c r="S817" s="421">
        <v>0.61</v>
      </c>
    </row>
  </sheetData>
  <phoneticPr fontId="0" type="noConversion"/>
  <pageMargins left="0.25" right="0.25" top="0.25" bottom="0.25" header="0.25" footer="0.25"/>
  <pageSetup scale="61" fitToHeight="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O67"/>
  <sheetViews>
    <sheetView workbookViewId="0">
      <selection sqref="A1:I1"/>
    </sheetView>
  </sheetViews>
  <sheetFormatPr defaultRowHeight="12.75"/>
  <cols>
    <col min="1" max="1" width="9.85546875" style="134" customWidth="1"/>
    <col min="2" max="9" width="9.85546875" customWidth="1"/>
  </cols>
  <sheetData>
    <row r="1" spans="1:15">
      <c r="A1" s="1118" t="s">
        <v>182</v>
      </c>
      <c r="B1" s="1118"/>
      <c r="C1" s="1118"/>
      <c r="D1" s="1118"/>
      <c r="E1" s="1118"/>
      <c r="F1" s="1118"/>
      <c r="G1" s="1118"/>
      <c r="H1" s="1118"/>
      <c r="I1" s="1118"/>
      <c r="M1" s="1115" t="s">
        <v>421</v>
      </c>
      <c r="N1" s="1115"/>
      <c r="O1" t="s">
        <v>913</v>
      </c>
    </row>
    <row r="2" spans="1:15">
      <c r="A2" s="1115"/>
      <c r="B2" s="1115"/>
      <c r="C2" s="1115"/>
      <c r="D2" s="1115"/>
      <c r="E2" s="1115"/>
      <c r="F2" s="1115"/>
      <c r="G2" s="1115"/>
      <c r="H2" s="1115"/>
      <c r="I2" s="1115"/>
    </row>
    <row r="3" spans="1:15">
      <c r="A3" s="1118" t="s">
        <v>178</v>
      </c>
      <c r="B3" s="1118"/>
      <c r="C3" s="1118"/>
      <c r="D3" s="1118"/>
      <c r="E3" s="1118"/>
      <c r="F3" s="1118"/>
      <c r="G3" s="1118"/>
      <c r="H3" s="1118"/>
      <c r="I3" s="1118"/>
      <c r="M3" t="s">
        <v>290</v>
      </c>
      <c r="N3" t="s">
        <v>422</v>
      </c>
      <c r="O3">
        <v>3</v>
      </c>
    </row>
    <row r="4" spans="1:15" ht="25.5" customHeight="1">
      <c r="A4" s="1116" t="s">
        <v>181</v>
      </c>
      <c r="B4" s="1117"/>
      <c r="C4" s="1117"/>
      <c r="D4" s="1117"/>
      <c r="E4" s="1117"/>
      <c r="F4" s="1117"/>
      <c r="G4" s="1117"/>
      <c r="H4" s="1117"/>
      <c r="I4" s="1117"/>
      <c r="J4" s="134"/>
      <c r="M4" t="s">
        <v>423</v>
      </c>
      <c r="N4" t="s">
        <v>423</v>
      </c>
      <c r="O4">
        <v>9</v>
      </c>
    </row>
    <row r="5" spans="1:15">
      <c r="A5" s="1115"/>
      <c r="B5" s="1115"/>
      <c r="C5" s="1115"/>
      <c r="D5" s="1115"/>
      <c r="E5" s="1115"/>
      <c r="F5" s="1115"/>
      <c r="G5" s="1115"/>
      <c r="H5" s="1115"/>
      <c r="I5" s="1115"/>
      <c r="J5" s="134"/>
      <c r="M5" t="s">
        <v>424</v>
      </c>
      <c r="N5" t="s">
        <v>424</v>
      </c>
      <c r="O5">
        <v>10</v>
      </c>
    </row>
    <row r="6" spans="1:15" ht="38.25" customHeight="1">
      <c r="A6" s="1117" t="s">
        <v>871</v>
      </c>
      <c r="B6" s="1117"/>
      <c r="C6" s="1117"/>
      <c r="D6" s="1117"/>
      <c r="E6" s="1117"/>
      <c r="F6" s="1117"/>
      <c r="G6" s="1117"/>
      <c r="H6" s="1117"/>
      <c r="I6" s="1117"/>
      <c r="J6" s="134"/>
      <c r="M6" t="s">
        <v>425</v>
      </c>
      <c r="N6" t="s">
        <v>426</v>
      </c>
      <c r="O6">
        <v>11</v>
      </c>
    </row>
    <row r="7" spans="1:15">
      <c r="A7" s="1115"/>
      <c r="B7" s="1115"/>
      <c r="C7" s="1115"/>
      <c r="D7" s="1115"/>
      <c r="E7" s="1115"/>
      <c r="F7" s="1115"/>
      <c r="G7" s="1115"/>
      <c r="H7" s="1115"/>
      <c r="I7" s="1115"/>
      <c r="J7" s="134"/>
      <c r="M7" t="s">
        <v>426</v>
      </c>
      <c r="N7" t="s">
        <v>427</v>
      </c>
      <c r="O7">
        <v>12</v>
      </c>
    </row>
    <row r="8" spans="1:15" ht="38.25" customHeight="1">
      <c r="A8" s="1117" t="s">
        <v>916</v>
      </c>
      <c r="B8" s="1117"/>
      <c r="C8" s="1117"/>
      <c r="D8" s="1117"/>
      <c r="E8" s="1117"/>
      <c r="F8" s="1117"/>
      <c r="G8" s="1117"/>
      <c r="H8" s="1117"/>
      <c r="I8" s="1117"/>
      <c r="J8" s="134"/>
      <c r="M8" t="s">
        <v>427</v>
      </c>
    </row>
    <row r="9" spans="1:15">
      <c r="A9" s="1115"/>
      <c r="B9" s="1115"/>
      <c r="C9" s="1115"/>
      <c r="D9" s="1115"/>
      <c r="E9" s="1115"/>
      <c r="F9" s="1115"/>
      <c r="G9" s="1115"/>
      <c r="H9" s="1115"/>
      <c r="I9" s="1115"/>
      <c r="J9" s="134"/>
    </row>
    <row r="10" spans="1:15" ht="25.5" customHeight="1">
      <c r="A10" s="1116" t="s">
        <v>473</v>
      </c>
      <c r="B10" s="1117"/>
      <c r="C10" s="1117"/>
      <c r="D10" s="1117"/>
      <c r="E10" s="1117"/>
      <c r="F10" s="1117"/>
      <c r="G10" s="1117"/>
      <c r="H10" s="1117"/>
      <c r="I10" s="1117"/>
      <c r="J10" s="134"/>
    </row>
    <row r="11" spans="1:15">
      <c r="A11" s="1115"/>
      <c r="B11" s="1115"/>
      <c r="C11" s="1115"/>
      <c r="D11" s="1115"/>
      <c r="E11" s="1115"/>
      <c r="F11" s="1115"/>
      <c r="G11" s="1115"/>
      <c r="H11" s="1115"/>
      <c r="I11" s="1115"/>
      <c r="J11" s="134"/>
    </row>
    <row r="12" spans="1:15" ht="25.5" customHeight="1">
      <c r="A12" s="1116" t="s">
        <v>597</v>
      </c>
      <c r="B12" s="1117"/>
      <c r="C12" s="1117"/>
      <c r="D12" s="1117"/>
      <c r="E12" s="1117"/>
      <c r="F12" s="1117"/>
      <c r="G12" s="1117"/>
      <c r="H12" s="1117"/>
      <c r="I12" s="1117"/>
      <c r="J12" s="134"/>
    </row>
    <row r="13" spans="1:15" ht="12.75" customHeight="1">
      <c r="A13" s="1116"/>
      <c r="B13" s="1117"/>
      <c r="C13" s="1117"/>
      <c r="D13" s="1117"/>
      <c r="E13" s="1117"/>
      <c r="F13" s="1117"/>
      <c r="G13" s="1117"/>
      <c r="H13" s="1117"/>
      <c r="I13" s="1117"/>
      <c r="J13" s="134"/>
    </row>
    <row r="14" spans="1:15" ht="25.5" customHeight="1">
      <c r="A14" s="1117" t="s">
        <v>174</v>
      </c>
      <c r="B14" s="1117"/>
      <c r="C14" s="1117"/>
      <c r="D14" s="1117"/>
      <c r="E14" s="1117"/>
      <c r="F14" s="1117"/>
      <c r="G14" s="1117"/>
      <c r="H14" s="1117"/>
      <c r="I14" s="1117"/>
      <c r="J14" s="134"/>
    </row>
    <row r="15" spans="1:15" ht="12.75" customHeight="1">
      <c r="A15" s="1115"/>
      <c r="B15" s="1115"/>
      <c r="C15" s="1115"/>
      <c r="D15" s="1115"/>
      <c r="E15" s="1115"/>
      <c r="F15" s="1115"/>
      <c r="G15" s="1115"/>
      <c r="H15" s="1115"/>
      <c r="I15" s="1115"/>
      <c r="J15" s="134"/>
    </row>
    <row r="16" spans="1:15" ht="25.5" customHeight="1">
      <c r="A16" s="1116" t="s">
        <v>884</v>
      </c>
      <c r="B16" s="1117"/>
      <c r="C16" s="1117"/>
      <c r="D16" s="1117"/>
      <c r="E16" s="1117"/>
      <c r="F16" s="1117"/>
      <c r="G16" s="1117"/>
      <c r="H16" s="1117"/>
      <c r="I16" s="1117"/>
      <c r="J16" s="134"/>
    </row>
    <row r="17" spans="1:10">
      <c r="A17" s="1115"/>
      <c r="B17" s="1115"/>
      <c r="C17" s="1115"/>
      <c r="D17" s="1115"/>
      <c r="E17" s="1115"/>
      <c r="F17" s="1115"/>
      <c r="G17" s="1115"/>
      <c r="H17" s="1115"/>
      <c r="I17" s="1115"/>
      <c r="J17" s="134"/>
    </row>
    <row r="18" spans="1:10" ht="25.5" customHeight="1">
      <c r="A18" s="1117" t="s">
        <v>175</v>
      </c>
      <c r="B18" s="1117"/>
      <c r="C18" s="1117"/>
      <c r="D18" s="1117"/>
      <c r="E18" s="1117"/>
      <c r="F18" s="1117"/>
      <c r="G18" s="1117"/>
      <c r="H18" s="1117"/>
      <c r="I18" s="1117"/>
      <c r="J18" s="134"/>
    </row>
    <row r="19" spans="1:10">
      <c r="A19" s="1115"/>
      <c r="B19" s="1115"/>
      <c r="C19" s="1115"/>
      <c r="D19" s="1115"/>
      <c r="E19" s="1115"/>
      <c r="F19" s="1115"/>
      <c r="G19" s="1115"/>
      <c r="H19" s="1115"/>
      <c r="I19" s="1115"/>
      <c r="J19" s="134"/>
    </row>
    <row r="20" spans="1:10">
      <c r="A20" s="1118" t="s">
        <v>179</v>
      </c>
      <c r="B20" s="1118"/>
      <c r="C20" s="1118"/>
      <c r="D20" s="1118"/>
      <c r="E20" s="1118"/>
      <c r="F20" s="1118"/>
      <c r="G20" s="1118"/>
      <c r="H20" s="1118"/>
      <c r="I20" s="1118"/>
      <c r="J20" s="134"/>
    </row>
    <row r="21" spans="1:10">
      <c r="A21" s="1116" t="s">
        <v>189</v>
      </c>
      <c r="B21" s="1117"/>
      <c r="C21" s="1117"/>
      <c r="D21" s="1117"/>
      <c r="E21" s="1117"/>
      <c r="F21" s="1117"/>
      <c r="G21" s="1117"/>
      <c r="H21" s="1117"/>
      <c r="I21" s="1117"/>
      <c r="J21" s="134"/>
    </row>
    <row r="22" spans="1:10">
      <c r="A22" s="1115"/>
      <c r="B22" s="1115"/>
      <c r="C22" s="1115"/>
      <c r="D22" s="1115"/>
      <c r="E22" s="1115"/>
      <c r="F22" s="1115"/>
      <c r="G22" s="1115"/>
      <c r="H22" s="1115"/>
      <c r="I22" s="1115"/>
    </row>
    <row r="23" spans="1:10">
      <c r="A23" s="1118" t="s">
        <v>180</v>
      </c>
      <c r="B23" s="1118"/>
      <c r="C23" s="1118"/>
      <c r="D23" s="1118"/>
      <c r="E23" s="1118"/>
      <c r="F23" s="1118"/>
      <c r="G23" s="1118"/>
      <c r="H23" s="1118"/>
      <c r="I23" s="1118"/>
    </row>
    <row r="24" spans="1:10" ht="38.25" customHeight="1">
      <c r="A24" s="1116" t="s">
        <v>190</v>
      </c>
      <c r="B24" s="1117"/>
      <c r="C24" s="1117"/>
      <c r="D24" s="1117"/>
      <c r="E24" s="1117"/>
      <c r="F24" s="1117"/>
      <c r="G24" s="1117"/>
      <c r="H24" s="1117"/>
      <c r="I24" s="1117"/>
    </row>
    <row r="25" spans="1:10">
      <c r="A25" s="1115"/>
      <c r="B25" s="1115"/>
      <c r="C25" s="1115"/>
      <c r="D25" s="1115"/>
      <c r="E25" s="1115"/>
      <c r="F25" s="1115"/>
      <c r="G25" s="1115"/>
      <c r="H25" s="1115"/>
      <c r="I25" s="1115"/>
    </row>
    <row r="26" spans="1:10">
      <c r="A26" s="1116" t="s">
        <v>832</v>
      </c>
      <c r="B26" s="1117"/>
      <c r="C26" s="1117"/>
      <c r="D26" s="1117"/>
      <c r="E26" s="1117"/>
      <c r="F26" s="1117"/>
      <c r="G26" s="1117"/>
      <c r="H26" s="1117"/>
      <c r="I26" s="1117"/>
    </row>
    <row r="27" spans="1:10">
      <c r="A27" s="1115"/>
      <c r="B27" s="1115"/>
      <c r="C27" s="1115"/>
      <c r="D27" s="1115"/>
      <c r="E27" s="1115"/>
      <c r="F27" s="1115"/>
      <c r="G27" s="1115"/>
      <c r="H27" s="1115"/>
      <c r="I27" s="1115"/>
    </row>
    <row r="28" spans="1:10">
      <c r="A28" s="1118" t="s">
        <v>0</v>
      </c>
      <c r="B28" s="1118"/>
      <c r="C28" s="1118"/>
      <c r="D28" s="1118"/>
      <c r="E28" s="1118"/>
      <c r="F28" s="1118"/>
      <c r="G28" s="1118"/>
      <c r="H28" s="1118"/>
      <c r="I28" s="1118"/>
    </row>
    <row r="29" spans="1:10" ht="25.5" customHeight="1">
      <c r="A29" s="1116" t="s">
        <v>598</v>
      </c>
      <c r="B29" s="1117"/>
      <c r="C29" s="1117"/>
      <c r="D29" s="1117"/>
      <c r="E29" s="1117"/>
      <c r="F29" s="1117"/>
      <c r="G29" s="1117"/>
      <c r="H29" s="1117"/>
      <c r="I29" s="1117"/>
    </row>
    <row r="30" spans="1:10">
      <c r="A30" s="1115"/>
      <c r="B30" s="1115"/>
      <c r="C30" s="1115"/>
      <c r="D30" s="1115"/>
      <c r="E30" s="1115"/>
      <c r="F30" s="1115"/>
      <c r="G30" s="1115"/>
      <c r="H30" s="1115"/>
      <c r="I30" s="1115"/>
    </row>
    <row r="31" spans="1:10">
      <c r="A31" s="1117" t="s">
        <v>879</v>
      </c>
      <c r="B31" s="1117"/>
      <c r="C31" s="1117"/>
      <c r="D31" s="1117"/>
      <c r="E31" s="1117"/>
      <c r="F31" s="1117"/>
      <c r="G31" s="1117"/>
      <c r="H31" s="1117"/>
      <c r="I31" s="1117"/>
    </row>
    <row r="32" spans="1:10">
      <c r="A32" s="1115"/>
      <c r="B32" s="1115"/>
      <c r="C32" s="1115"/>
      <c r="D32" s="1115"/>
      <c r="E32" s="1115"/>
      <c r="F32" s="1115"/>
      <c r="G32" s="1115"/>
      <c r="H32" s="1115"/>
      <c r="I32" s="1115"/>
    </row>
    <row r="33" spans="1:9" ht="25.5" customHeight="1">
      <c r="A33" s="1116" t="s">
        <v>191</v>
      </c>
      <c r="B33" s="1117"/>
      <c r="C33" s="1117"/>
      <c r="D33" s="1117"/>
      <c r="E33" s="1117"/>
      <c r="F33" s="1117"/>
      <c r="G33" s="1117"/>
      <c r="H33" s="1117"/>
      <c r="I33" s="1117"/>
    </row>
    <row r="34" spans="1:9">
      <c r="A34" s="1115"/>
      <c r="B34" s="1115"/>
      <c r="C34" s="1115"/>
      <c r="D34" s="1115"/>
      <c r="E34" s="1115"/>
      <c r="F34" s="1115"/>
      <c r="G34" s="1115"/>
      <c r="H34" s="1115"/>
      <c r="I34" s="1115"/>
    </row>
    <row r="35" spans="1:9" ht="25.5" customHeight="1">
      <c r="A35" s="1116" t="s">
        <v>599</v>
      </c>
      <c r="B35" s="1117"/>
      <c r="C35" s="1117"/>
      <c r="D35" s="1117"/>
      <c r="E35" s="1117"/>
      <c r="F35" s="1117"/>
      <c r="G35" s="1117"/>
      <c r="H35" s="1117"/>
      <c r="I35" s="1117"/>
    </row>
    <row r="36" spans="1:9">
      <c r="A36" s="1115"/>
      <c r="B36" s="1115"/>
      <c r="C36" s="1115"/>
      <c r="D36" s="1115"/>
      <c r="E36" s="1115"/>
      <c r="F36" s="1115"/>
      <c r="G36" s="1115"/>
      <c r="H36" s="1115"/>
      <c r="I36" s="1115"/>
    </row>
    <row r="37" spans="1:9" ht="37.5" customHeight="1">
      <c r="A37" s="1117" t="s">
        <v>899</v>
      </c>
      <c r="B37" s="1117"/>
      <c r="C37" s="1117"/>
      <c r="D37" s="1117"/>
      <c r="E37" s="1117"/>
      <c r="F37" s="1117"/>
      <c r="G37" s="1117"/>
      <c r="H37" s="1117"/>
      <c r="I37" s="1117"/>
    </row>
    <row r="38" spans="1:9">
      <c r="A38" s="1115"/>
      <c r="B38" s="1115"/>
      <c r="C38" s="1115"/>
      <c r="D38" s="1115"/>
      <c r="E38" s="1115"/>
      <c r="F38" s="1115"/>
      <c r="G38" s="1115"/>
      <c r="H38" s="1115"/>
      <c r="I38" s="1115"/>
    </row>
    <row r="39" spans="1:9" ht="25.5" customHeight="1">
      <c r="A39" s="1117" t="s">
        <v>177</v>
      </c>
      <c r="B39" s="1117"/>
      <c r="C39" s="1117"/>
      <c r="D39" s="1117"/>
      <c r="E39" s="1117"/>
      <c r="F39" s="1117"/>
      <c r="G39" s="1117"/>
      <c r="H39" s="1117"/>
      <c r="I39" s="1117"/>
    </row>
    <row r="40" spans="1:9">
      <c r="A40" s="1115"/>
      <c r="B40" s="1115"/>
      <c r="C40" s="1115"/>
      <c r="D40" s="1115"/>
      <c r="E40" s="1115"/>
      <c r="F40" s="1115"/>
      <c r="G40" s="1115"/>
      <c r="H40" s="1115"/>
      <c r="I40" s="1115"/>
    </row>
    <row r="41" spans="1:9">
      <c r="A41" s="1118" t="s">
        <v>183</v>
      </c>
      <c r="B41" s="1118"/>
      <c r="C41" s="1118"/>
      <c r="D41" s="1118"/>
      <c r="E41" s="1118"/>
      <c r="F41" s="1118"/>
      <c r="G41" s="1118"/>
      <c r="H41" s="1118"/>
      <c r="I41" s="1118"/>
    </row>
    <row r="42" spans="1:9" ht="25.5" customHeight="1">
      <c r="A42" s="1116" t="s">
        <v>184</v>
      </c>
      <c r="B42" s="1117"/>
      <c r="C42" s="1117"/>
      <c r="D42" s="1117"/>
      <c r="E42" s="1117"/>
      <c r="F42" s="1117"/>
      <c r="G42" s="1117"/>
      <c r="H42" s="1117"/>
      <c r="I42" s="1117"/>
    </row>
    <row r="43" spans="1:9">
      <c r="A43" s="1115"/>
      <c r="B43" s="1115"/>
      <c r="C43" s="1115"/>
      <c r="D43" s="1115"/>
      <c r="E43" s="1115"/>
      <c r="F43" s="1115"/>
      <c r="G43" s="1115"/>
      <c r="H43" s="1115"/>
      <c r="I43" s="1115"/>
    </row>
    <row r="44" spans="1:9">
      <c r="A44" s="1117" t="s">
        <v>185</v>
      </c>
      <c r="B44" s="1117"/>
      <c r="C44" s="1117"/>
      <c r="D44" s="1117"/>
      <c r="E44" s="1117"/>
      <c r="F44" s="1117"/>
      <c r="G44" s="1117"/>
      <c r="H44" s="1117"/>
      <c r="I44" s="1117"/>
    </row>
    <row r="45" spans="1:9">
      <c r="A45" s="1115"/>
      <c r="B45" s="1115"/>
      <c r="C45" s="1115"/>
      <c r="D45" s="1115"/>
      <c r="E45" s="1115"/>
      <c r="F45" s="1115"/>
      <c r="G45" s="1115"/>
      <c r="H45" s="1115"/>
      <c r="I45" s="1115"/>
    </row>
    <row r="46" spans="1:9">
      <c r="A46" s="1118" t="s">
        <v>186</v>
      </c>
      <c r="B46" s="1118"/>
      <c r="C46" s="1118"/>
      <c r="D46" s="1118"/>
      <c r="E46" s="1118"/>
      <c r="F46" s="1118"/>
      <c r="G46" s="1118"/>
      <c r="H46" s="1118"/>
      <c r="I46" s="1118"/>
    </row>
    <row r="47" spans="1:9">
      <c r="A47" s="1116" t="s">
        <v>187</v>
      </c>
      <c r="B47" s="1117"/>
      <c r="C47" s="1117"/>
      <c r="D47" s="1117"/>
      <c r="E47" s="1117"/>
      <c r="F47" s="1117"/>
      <c r="G47" s="1117"/>
      <c r="H47" s="1117"/>
      <c r="I47" s="1117"/>
    </row>
    <row r="48" spans="1:9">
      <c r="A48" s="1116" t="s">
        <v>600</v>
      </c>
      <c r="B48" s="1117"/>
      <c r="C48" s="1117"/>
      <c r="D48" s="1117"/>
      <c r="E48" s="1117"/>
      <c r="F48" s="1117"/>
      <c r="G48" s="1117"/>
      <c r="H48" s="1117"/>
      <c r="I48" s="1117"/>
    </row>
    <row r="49" spans="1:9">
      <c r="A49" s="1116" t="s">
        <v>601</v>
      </c>
      <c r="B49" s="1117"/>
      <c r="C49" s="1117"/>
      <c r="D49" s="1117"/>
      <c r="E49" s="1117"/>
      <c r="F49" s="1117"/>
      <c r="G49" s="1117"/>
      <c r="H49" s="1117"/>
      <c r="I49" s="1117"/>
    </row>
    <row r="50" spans="1:9">
      <c r="A50" s="1115"/>
      <c r="B50" s="1115"/>
      <c r="C50" s="1115"/>
      <c r="D50" s="1115"/>
      <c r="E50" s="1115"/>
      <c r="F50" s="1115"/>
      <c r="G50" s="1115"/>
      <c r="H50" s="1115"/>
      <c r="I50" s="1115"/>
    </row>
    <row r="51" spans="1:9">
      <c r="A51" s="1116" t="s">
        <v>187</v>
      </c>
      <c r="B51" s="1117"/>
      <c r="C51" s="1117"/>
      <c r="D51" s="1117"/>
      <c r="E51" s="1117"/>
      <c r="F51" s="1117"/>
      <c r="G51" s="1117"/>
      <c r="H51" s="1117"/>
      <c r="I51" s="1117"/>
    </row>
    <row r="52" spans="1:9">
      <c r="A52" s="1116" t="s">
        <v>604</v>
      </c>
      <c r="B52" s="1117"/>
      <c r="C52" s="1117"/>
      <c r="D52" s="1117"/>
      <c r="E52" s="1117"/>
      <c r="F52" s="1117"/>
      <c r="G52" s="1117"/>
      <c r="H52" s="1117"/>
      <c r="I52" s="1117"/>
    </row>
    <row r="53" spans="1:9">
      <c r="A53" s="1116" t="s">
        <v>611</v>
      </c>
      <c r="B53" s="1117"/>
      <c r="C53" s="1117"/>
      <c r="D53" s="1117"/>
      <c r="E53" s="1117"/>
      <c r="F53" s="1117"/>
      <c r="G53" s="1117"/>
      <c r="H53" s="1117"/>
      <c r="I53" s="1117"/>
    </row>
    <row r="54" spans="1:9">
      <c r="A54" s="1115"/>
      <c r="B54" s="1115"/>
      <c r="C54" s="1115"/>
      <c r="D54" s="1115"/>
      <c r="E54" s="1115"/>
      <c r="F54" s="1115"/>
      <c r="G54" s="1115"/>
      <c r="H54" s="1115"/>
      <c r="I54" s="1115"/>
    </row>
    <row r="55" spans="1:9">
      <c r="A55" s="1116" t="s">
        <v>188</v>
      </c>
      <c r="B55" s="1117"/>
      <c r="C55" s="1117"/>
      <c r="D55" s="1117"/>
      <c r="E55" s="1117"/>
      <c r="F55" s="1117"/>
      <c r="G55" s="1117"/>
      <c r="H55" s="1117"/>
      <c r="I55" s="1117"/>
    </row>
    <row r="56" spans="1:9">
      <c r="A56" s="1116" t="s">
        <v>605</v>
      </c>
      <c r="B56" s="1117"/>
      <c r="C56" s="1117"/>
      <c r="D56" s="1117"/>
      <c r="E56" s="1117"/>
      <c r="F56" s="1117"/>
      <c r="G56" s="1117"/>
      <c r="H56" s="1117"/>
      <c r="I56" s="1117"/>
    </row>
    <row r="57" spans="1:9">
      <c r="A57" s="1116" t="s">
        <v>602</v>
      </c>
      <c r="B57" s="1117"/>
      <c r="C57" s="1117"/>
      <c r="D57" s="1117"/>
      <c r="E57" s="1117"/>
      <c r="F57" s="1117"/>
      <c r="G57" s="1117"/>
      <c r="H57" s="1117"/>
      <c r="I57" s="1117"/>
    </row>
    <row r="58" spans="1:9">
      <c r="A58" s="1115"/>
      <c r="B58" s="1115"/>
      <c r="C58" s="1115"/>
      <c r="D58" s="1115"/>
      <c r="E58" s="1115"/>
      <c r="F58" s="1115"/>
      <c r="G58" s="1115"/>
      <c r="H58" s="1115"/>
      <c r="I58" s="1115"/>
    </row>
    <row r="59" spans="1:9">
      <c r="A59" s="1116" t="s">
        <v>187</v>
      </c>
      <c r="B59" s="1117"/>
      <c r="C59" s="1117"/>
      <c r="D59" s="1117"/>
      <c r="E59" s="1117"/>
      <c r="F59" s="1117"/>
      <c r="G59" s="1117"/>
      <c r="H59" s="1117"/>
      <c r="I59" s="1117"/>
    </row>
    <row r="60" spans="1:9">
      <c r="A60" s="1116" t="s">
        <v>606</v>
      </c>
      <c r="B60" s="1117"/>
      <c r="C60" s="1117"/>
      <c r="D60" s="1117"/>
      <c r="E60" s="1117"/>
      <c r="F60" s="1117"/>
      <c r="G60" s="1117"/>
      <c r="H60" s="1117"/>
      <c r="I60" s="1117"/>
    </row>
    <row r="61" spans="1:9">
      <c r="A61" s="1116" t="s">
        <v>603</v>
      </c>
      <c r="B61" s="1117"/>
      <c r="C61" s="1117"/>
      <c r="D61" s="1117"/>
      <c r="E61" s="1117"/>
      <c r="F61" s="1117"/>
      <c r="G61" s="1117"/>
      <c r="H61" s="1117"/>
      <c r="I61" s="1117"/>
    </row>
    <row r="62" spans="1:9">
      <c r="A62" s="1115"/>
      <c r="B62" s="1115"/>
      <c r="C62" s="1115"/>
      <c r="D62" s="1115"/>
      <c r="E62" s="1115"/>
      <c r="F62" s="1115"/>
      <c r="G62" s="1115"/>
      <c r="H62" s="1115"/>
      <c r="I62" s="1115"/>
    </row>
    <row r="63" spans="1:9">
      <c r="A63" s="1116" t="s">
        <v>607</v>
      </c>
      <c r="B63" s="1117"/>
      <c r="C63" s="1117"/>
      <c r="D63" s="1117"/>
      <c r="E63" s="1117"/>
      <c r="F63" s="1117"/>
      <c r="G63" s="1117"/>
      <c r="H63" s="1117"/>
      <c r="I63" s="1117"/>
    </row>
    <row r="64" spans="1:9">
      <c r="A64" s="1116" t="s">
        <v>609</v>
      </c>
      <c r="B64" s="1117"/>
      <c r="C64" s="1117"/>
      <c r="D64" s="1117"/>
      <c r="E64" s="1117"/>
      <c r="F64" s="1117"/>
      <c r="G64" s="1117"/>
      <c r="H64" s="1117"/>
      <c r="I64" s="1117"/>
    </row>
    <row r="65" spans="1:9" ht="12.75" customHeight="1">
      <c r="A65" s="1116" t="s">
        <v>610</v>
      </c>
      <c r="B65" s="1117"/>
      <c r="C65" s="1117"/>
      <c r="D65" s="1117"/>
      <c r="E65" s="1117"/>
      <c r="F65" s="1117"/>
      <c r="G65" s="1117"/>
      <c r="H65" s="1117"/>
      <c r="I65" s="1117"/>
    </row>
    <row r="66" spans="1:9">
      <c r="A66" s="1115"/>
      <c r="B66" s="1115"/>
      <c r="C66" s="1115"/>
      <c r="D66" s="1115"/>
      <c r="E66" s="1115"/>
      <c r="F66" s="1115"/>
      <c r="G66" s="1115"/>
      <c r="H66" s="1115"/>
      <c r="I66" s="1115"/>
    </row>
    <row r="67" spans="1:9">
      <c r="A67" s="1116" t="s">
        <v>608</v>
      </c>
      <c r="B67" s="1117"/>
      <c r="C67" s="1117"/>
      <c r="D67" s="1117"/>
      <c r="E67" s="1117"/>
      <c r="F67" s="1117"/>
      <c r="G67" s="1117"/>
      <c r="H67" s="1117"/>
      <c r="I67" s="1117"/>
    </row>
  </sheetData>
  <mergeCells count="68">
    <mergeCell ref="A25:I25"/>
    <mergeCell ref="A26:I26"/>
    <mergeCell ref="A67:I67"/>
    <mergeCell ref="A62:I62"/>
    <mergeCell ref="A63:I63"/>
    <mergeCell ref="A64:I64"/>
    <mergeCell ref="A65:I65"/>
    <mergeCell ref="A66:I66"/>
    <mergeCell ref="A57:I57"/>
    <mergeCell ref="A47:I47"/>
    <mergeCell ref="A48:I48"/>
    <mergeCell ref="A49:I49"/>
    <mergeCell ref="A50:I50"/>
    <mergeCell ref="A52:I52"/>
    <mergeCell ref="A53:I53"/>
    <mergeCell ref="A54:I54"/>
    <mergeCell ref="A55:I55"/>
    <mergeCell ref="A56:I56"/>
    <mergeCell ref="A44:I44"/>
    <mergeCell ref="A43:I43"/>
    <mergeCell ref="A45:I45"/>
    <mergeCell ref="A46:I46"/>
    <mergeCell ref="A51:I51"/>
    <mergeCell ref="A9:I9"/>
    <mergeCell ref="A17:I17"/>
    <mergeCell ref="A19:I19"/>
    <mergeCell ref="A10:I10"/>
    <mergeCell ref="A11:I11"/>
    <mergeCell ref="A12:I12"/>
    <mergeCell ref="A13:I13"/>
    <mergeCell ref="A42:I42"/>
    <mergeCell ref="A41:I41"/>
    <mergeCell ref="A34:I34"/>
    <mergeCell ref="A36:I36"/>
    <mergeCell ref="A38:I38"/>
    <mergeCell ref="A40:I40"/>
    <mergeCell ref="A7:I7"/>
    <mergeCell ref="A33:I33"/>
    <mergeCell ref="A37:I37"/>
    <mergeCell ref="A35:I35"/>
    <mergeCell ref="A39:I39"/>
    <mergeCell ref="A30:I30"/>
    <mergeCell ref="A32:I32"/>
    <mergeCell ref="A23:I23"/>
    <mergeCell ref="A28:I28"/>
    <mergeCell ref="A29:I29"/>
    <mergeCell ref="A31:I31"/>
    <mergeCell ref="A8:I8"/>
    <mergeCell ref="A14:I14"/>
    <mergeCell ref="A18:I18"/>
    <mergeCell ref="A21:I21"/>
    <mergeCell ref="A24:I24"/>
    <mergeCell ref="M1:N1"/>
    <mergeCell ref="A58:I58"/>
    <mergeCell ref="A59:I59"/>
    <mergeCell ref="A60:I60"/>
    <mergeCell ref="A61:I61"/>
    <mergeCell ref="A1:I1"/>
    <mergeCell ref="A2:I2"/>
    <mergeCell ref="A3:I3"/>
    <mergeCell ref="A22:I22"/>
    <mergeCell ref="A27:I27"/>
    <mergeCell ref="A15:I15"/>
    <mergeCell ref="A16:I16"/>
    <mergeCell ref="A20:I20"/>
    <mergeCell ref="A6:I6"/>
    <mergeCell ref="A4:I4"/>
    <mergeCell ref="A5:I5"/>
  </mergeCells>
  <pageMargins left="1" right="1" top="1" bottom="1" header="0.5" footer="0.5"/>
  <pageSetup scale="9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L48"/>
  <sheetViews>
    <sheetView showGridLines="0" zoomScaleNormal="100" workbookViewId="0">
      <selection activeCell="A19" sqref="A19"/>
    </sheetView>
  </sheetViews>
  <sheetFormatPr defaultRowHeight="12"/>
  <cols>
    <col min="1" max="3" width="9.140625" style="13"/>
    <col min="4" max="4" width="12.42578125" style="13" bestFit="1" customWidth="1"/>
    <col min="5" max="5" width="9.140625" style="13" customWidth="1"/>
    <col min="6" max="6" width="12.42578125" style="13" customWidth="1"/>
    <col min="7" max="7" width="9.140625" style="13" customWidth="1"/>
    <col min="8" max="8" width="12.42578125" style="13" customWidth="1"/>
    <col min="9" max="9" width="9.140625" style="13" customWidth="1"/>
    <col min="10" max="10" width="9.28515625" style="13" customWidth="1"/>
    <col min="11" max="11" width="4.7109375" style="13" customWidth="1"/>
    <col min="12" max="13" width="10.7109375" style="13" customWidth="1"/>
    <col min="14" max="16384" width="9.140625" style="13"/>
  </cols>
  <sheetData>
    <row r="1" spans="1:12">
      <c r="A1" s="1122" t="s">
        <v>153</v>
      </c>
      <c r="B1" s="1123"/>
      <c r="C1" s="1123"/>
      <c r="D1" s="1123"/>
      <c r="E1" s="1123"/>
      <c r="F1" s="1123"/>
      <c r="G1" s="1123"/>
      <c r="H1" s="1123"/>
      <c r="I1" s="1123"/>
      <c r="J1" s="1123"/>
      <c r="K1" s="1124"/>
    </row>
    <row r="2" spans="1:12" ht="12.75" thickBot="1">
      <c r="A2" s="1125"/>
      <c r="B2" s="1126"/>
      <c r="C2" s="1126"/>
      <c r="D2" s="1126"/>
      <c r="E2" s="1126"/>
      <c r="F2" s="1126"/>
      <c r="G2" s="1126"/>
      <c r="H2" s="1126"/>
      <c r="I2" s="1126"/>
      <c r="J2" s="1126"/>
      <c r="K2" s="1127"/>
    </row>
    <row r="3" spans="1:12" ht="12" customHeight="1" thickBot="1">
      <c r="I3" s="14"/>
      <c r="J3" s="14"/>
      <c r="K3" s="15"/>
    </row>
    <row r="4" spans="1:12" ht="12" customHeight="1" thickBot="1">
      <c r="A4" s="1119" t="s">
        <v>167</v>
      </c>
      <c r="B4" s="1120"/>
      <c r="C4" s="1120"/>
      <c r="D4" s="1120"/>
      <c r="E4" s="1120"/>
      <c r="F4" s="1120"/>
      <c r="G4" s="1120"/>
      <c r="H4" s="1120"/>
      <c r="I4" s="1120"/>
      <c r="J4" s="1120"/>
      <c r="K4" s="1121"/>
    </row>
    <row r="5" spans="1:12" ht="12" customHeight="1">
      <c r="D5" s="148" t="s">
        <v>11</v>
      </c>
      <c r="E5" s="148"/>
      <c r="F5" s="148" t="s">
        <v>12</v>
      </c>
      <c r="G5" s="145"/>
      <c r="H5" s="148" t="s">
        <v>13</v>
      </c>
      <c r="I5" s="145"/>
      <c r="J5" s="144"/>
      <c r="K5" s="144"/>
    </row>
    <row r="6" spans="1:12" ht="12" customHeight="1">
      <c r="A6" s="122" t="s">
        <v>154</v>
      </c>
      <c r="D6" s="149" t="s">
        <v>14</v>
      </c>
      <c r="E6" s="150"/>
      <c r="F6" s="149" t="s">
        <v>15</v>
      </c>
      <c r="G6" s="146"/>
      <c r="H6" s="149" t="s">
        <v>16</v>
      </c>
      <c r="I6" s="146"/>
      <c r="J6" s="144"/>
      <c r="K6" s="144"/>
    </row>
    <row r="7" spans="1:12" ht="12" customHeight="1" thickBot="1">
      <c r="A7" s="118">
        <v>25</v>
      </c>
      <c r="B7" s="119" t="s">
        <v>151</v>
      </c>
      <c r="C7" s="119" t="s">
        <v>170</v>
      </c>
      <c r="D7" s="154">
        <f>A7*0.03</f>
        <v>0.75</v>
      </c>
      <c r="E7" s="147" t="s">
        <v>17</v>
      </c>
      <c r="F7" s="154">
        <f>A7*0.09</f>
        <v>2.25</v>
      </c>
      <c r="G7" s="147" t="s">
        <v>17</v>
      </c>
      <c r="H7" s="154">
        <f>A7*0.12</f>
        <v>3</v>
      </c>
      <c r="I7" s="147" t="s">
        <v>17</v>
      </c>
      <c r="J7" s="161"/>
      <c r="K7" s="161"/>
    </row>
    <row r="8" spans="1:12" ht="12" customHeight="1">
      <c r="F8" s="16"/>
      <c r="H8" s="16"/>
      <c r="L8" s="16"/>
    </row>
    <row r="9" spans="1:12" ht="12" customHeight="1" thickBot="1">
      <c r="F9" s="16"/>
      <c r="H9" s="16"/>
      <c r="L9" s="16"/>
    </row>
    <row r="10" spans="1:12" ht="12" customHeight="1" thickBot="1">
      <c r="A10" s="1119" t="s">
        <v>168</v>
      </c>
      <c r="B10" s="1120"/>
      <c r="C10" s="1120"/>
      <c r="D10" s="1120"/>
      <c r="E10" s="1120"/>
      <c r="F10" s="1120"/>
      <c r="G10" s="1120"/>
      <c r="H10" s="1120"/>
      <c r="I10" s="1120"/>
      <c r="J10" s="1120"/>
      <c r="K10" s="1121"/>
    </row>
    <row r="11" spans="1:12" ht="12" customHeight="1">
      <c r="D11" s="148" t="s">
        <v>11</v>
      </c>
      <c r="E11" s="148"/>
      <c r="F11" s="148" t="s">
        <v>12</v>
      </c>
      <c r="G11" s="145"/>
      <c r="H11" s="148" t="s">
        <v>13</v>
      </c>
      <c r="I11" s="145"/>
      <c r="J11" s="144"/>
      <c r="K11" s="144"/>
    </row>
    <row r="12" spans="1:12" ht="12" customHeight="1">
      <c r="A12" s="122" t="s">
        <v>154</v>
      </c>
      <c r="D12" s="149" t="s">
        <v>14</v>
      </c>
      <c r="E12" s="150"/>
      <c r="F12" s="149" t="s">
        <v>15</v>
      </c>
      <c r="G12" s="146"/>
      <c r="H12" s="149" t="s">
        <v>16</v>
      </c>
      <c r="I12" s="146"/>
      <c r="J12" s="144"/>
      <c r="K12" s="144"/>
    </row>
    <row r="13" spans="1:12" ht="12" customHeight="1" thickBot="1">
      <c r="A13" s="120">
        <v>1.5</v>
      </c>
      <c r="B13" s="119" t="s">
        <v>17</v>
      </c>
      <c r="C13" s="119" t="s">
        <v>170</v>
      </c>
      <c r="D13" s="155">
        <f>A13/3*100</f>
        <v>50</v>
      </c>
      <c r="E13" s="147" t="s">
        <v>151</v>
      </c>
      <c r="F13" s="155">
        <f>A13/9*100</f>
        <v>17</v>
      </c>
      <c r="G13" s="147" t="s">
        <v>151</v>
      </c>
      <c r="H13" s="155">
        <f>A13/12*100</f>
        <v>13</v>
      </c>
      <c r="I13" s="147" t="s">
        <v>151</v>
      </c>
      <c r="J13" s="161"/>
      <c r="K13" s="161"/>
    </row>
    <row r="14" spans="1:12" ht="12" customHeight="1">
      <c r="F14" s="16"/>
      <c r="H14" s="16"/>
      <c r="I14" s="16"/>
    </row>
    <row r="15" spans="1:12" ht="12" customHeight="1" thickBot="1">
      <c r="F15" s="16"/>
      <c r="H15" s="16"/>
      <c r="I15" s="16"/>
    </row>
    <row r="16" spans="1:12" ht="12" customHeight="1" thickBot="1">
      <c r="A16" s="1119" t="s">
        <v>169</v>
      </c>
      <c r="B16" s="1120"/>
      <c r="C16" s="1120"/>
      <c r="D16" s="1120"/>
      <c r="E16" s="1120"/>
      <c r="F16" s="1120"/>
      <c r="G16" s="1120"/>
      <c r="H16" s="1120"/>
      <c r="I16" s="1120"/>
      <c r="J16" s="1120"/>
      <c r="K16" s="1121"/>
    </row>
    <row r="17" spans="1:11" ht="12" customHeight="1">
      <c r="D17" s="148" t="s">
        <v>11</v>
      </c>
      <c r="E17" s="148"/>
      <c r="F17" s="148" t="s">
        <v>12</v>
      </c>
      <c r="G17" s="145"/>
      <c r="H17" s="148" t="s">
        <v>13</v>
      </c>
      <c r="I17" s="145"/>
      <c r="J17" s="144"/>
      <c r="K17" s="144"/>
    </row>
    <row r="18" spans="1:11" ht="12" customHeight="1">
      <c r="A18" s="122" t="s">
        <v>154</v>
      </c>
      <c r="D18" s="149" t="s">
        <v>14</v>
      </c>
      <c r="E18" s="150"/>
      <c r="F18" s="149" t="s">
        <v>15</v>
      </c>
      <c r="G18" s="146"/>
      <c r="H18" s="149" t="s">
        <v>16</v>
      </c>
      <c r="I18" s="146"/>
      <c r="J18" s="144"/>
      <c r="K18" s="144"/>
    </row>
    <row r="19" spans="1:11" ht="12" customHeight="1" thickBot="1">
      <c r="A19" s="121">
        <v>0.5</v>
      </c>
      <c r="B19" s="119" t="s">
        <v>17</v>
      </c>
      <c r="C19" s="119" t="s">
        <v>170</v>
      </c>
      <c r="D19" s="156">
        <f>A19/3*13*40</f>
        <v>86.67</v>
      </c>
      <c r="E19" s="147" t="s">
        <v>152</v>
      </c>
      <c r="F19" s="156">
        <f>A19/9*39*40</f>
        <v>86.67</v>
      </c>
      <c r="G19" s="147" t="s">
        <v>152</v>
      </c>
      <c r="H19" s="156">
        <f>A19/12*52*40</f>
        <v>86.67</v>
      </c>
      <c r="I19" s="147" t="s">
        <v>152</v>
      </c>
      <c r="J19" s="161"/>
      <c r="K19" s="161"/>
    </row>
    <row r="20" spans="1:11" ht="12" customHeight="1">
      <c r="F20" s="17"/>
      <c r="G20" s="17"/>
      <c r="K20" s="122"/>
    </row>
    <row r="21" spans="1:11" ht="12" customHeight="1">
      <c r="F21" s="17"/>
      <c r="G21" s="17"/>
      <c r="K21" s="122"/>
    </row>
    <row r="22" spans="1:11" ht="12" customHeight="1">
      <c r="F22" s="17"/>
      <c r="G22" s="17"/>
      <c r="K22" s="122"/>
    </row>
    <row r="23" spans="1:11" ht="12" customHeight="1">
      <c r="F23" s="17"/>
      <c r="G23" s="17"/>
      <c r="K23" s="122"/>
    </row>
    <row r="24" spans="1:11" ht="12" customHeight="1" thickBot="1">
      <c r="F24" s="17"/>
      <c r="G24" s="17"/>
      <c r="K24" s="122"/>
    </row>
    <row r="25" spans="1:11">
      <c r="A25" s="1122" t="s">
        <v>203</v>
      </c>
      <c r="B25" s="1123"/>
      <c r="C25" s="1123"/>
      <c r="D25" s="1123"/>
      <c r="E25" s="1123"/>
      <c r="F25" s="1123"/>
      <c r="G25" s="1123"/>
      <c r="H25" s="1123"/>
      <c r="I25" s="1123"/>
      <c r="J25" s="1123"/>
      <c r="K25" s="1124"/>
    </row>
    <row r="26" spans="1:11" ht="12.75" thickBot="1">
      <c r="A26" s="1125"/>
      <c r="B26" s="1126"/>
      <c r="C26" s="1126"/>
      <c r="D26" s="1126"/>
      <c r="E26" s="1126"/>
      <c r="F26" s="1126"/>
      <c r="G26" s="1126"/>
      <c r="H26" s="1126"/>
      <c r="I26" s="1126"/>
      <c r="J26" s="1126"/>
      <c r="K26" s="1127"/>
    </row>
    <row r="27" spans="1:11" ht="12" customHeight="1" thickBot="1">
      <c r="F27" s="17"/>
      <c r="G27" s="17"/>
    </row>
    <row r="28" spans="1:11" ht="12" customHeight="1" thickBot="1">
      <c r="A28" s="1119" t="s">
        <v>202</v>
      </c>
      <c r="B28" s="1120"/>
      <c r="C28" s="1120"/>
      <c r="D28" s="1120"/>
      <c r="E28" s="1120"/>
      <c r="F28" s="1120"/>
      <c r="G28" s="1120"/>
      <c r="H28" s="1120"/>
      <c r="I28" s="1120"/>
      <c r="J28" s="1120"/>
      <c r="K28" s="1121"/>
    </row>
    <row r="29" spans="1:11" ht="12.75" customHeight="1">
      <c r="A29" s="1128" t="str">
        <f>'BP1'!B15</f>
        <v>Professor McCormick</v>
      </c>
      <c r="B29" s="1128"/>
      <c r="C29" s="1128"/>
      <c r="D29" s="143">
        <f>'BP1'!H15+'BP1'!I15</f>
        <v>0</v>
      </c>
      <c r="E29" s="144" t="str">
        <f>IF('BP1'!H15&gt;0,"CM","AM")</f>
        <v>AM</v>
      </c>
      <c r="F29" s="143">
        <f>'BP1'!J15</f>
        <v>0</v>
      </c>
      <c r="G29" s="144" t="s">
        <v>201</v>
      </c>
      <c r="H29" s="157">
        <f t="shared" ref="H29:H48" si="0">(IF(E29="CM",D29/12*52*40,D29/9*39*40))+(F29/3*13*40)</f>
        <v>0</v>
      </c>
      <c r="I29" s="144" t="s">
        <v>152</v>
      </c>
      <c r="J29" s="159" t="str">
        <f>IF(H29&gt;0,'BP1'!K15/H29,"")</f>
        <v/>
      </c>
      <c r="K29" s="144" t="s">
        <v>613</v>
      </c>
    </row>
    <row r="30" spans="1:11">
      <c r="A30" s="1129" t="str">
        <f>IF('BP1'!B16&gt;0,'BP1'!B16,"Senior Personnel 2")</f>
        <v>Senior Personnel 2</v>
      </c>
      <c r="B30" s="1129"/>
      <c r="C30" s="1129"/>
      <c r="D30" s="141">
        <f>'BP1'!H16+'BP1'!I16</f>
        <v>0</v>
      </c>
      <c r="E30" s="142" t="str">
        <f>IF('BP1'!H16&gt;0,"CM","AM")</f>
        <v>AM</v>
      </c>
      <c r="F30" s="141">
        <f>'BP1'!J16</f>
        <v>0</v>
      </c>
      <c r="G30" s="142" t="s">
        <v>201</v>
      </c>
      <c r="H30" s="157">
        <f t="shared" si="0"/>
        <v>0</v>
      </c>
      <c r="I30" s="142" t="s">
        <v>152</v>
      </c>
      <c r="J30" s="159" t="str">
        <f>IF(H30&gt;0,'BP1'!K16/H30,"")</f>
        <v/>
      </c>
      <c r="K30" s="142" t="s">
        <v>613</v>
      </c>
    </row>
    <row r="31" spans="1:11">
      <c r="A31" s="1128" t="str">
        <f>IF('BP1'!B17&gt;0,'BP1'!B17,"Senior Personnel 3")</f>
        <v>Senior Personnel 3</v>
      </c>
      <c r="B31" s="1128"/>
      <c r="C31" s="1128"/>
      <c r="D31" s="143">
        <f>'BP1'!H17+'BP1'!I17</f>
        <v>0</v>
      </c>
      <c r="E31" s="144" t="str">
        <f>IF('BP1'!H17&gt;0,"CM","AM")</f>
        <v>AM</v>
      </c>
      <c r="F31" s="143">
        <f>'BP1'!J17</f>
        <v>0</v>
      </c>
      <c r="G31" s="144" t="s">
        <v>201</v>
      </c>
      <c r="H31" s="157">
        <f t="shared" si="0"/>
        <v>0</v>
      </c>
      <c r="I31" s="144" t="s">
        <v>152</v>
      </c>
      <c r="J31" s="159" t="str">
        <f>IF(H31&gt;0,'BP1'!K17/H31,"")</f>
        <v/>
      </c>
      <c r="K31" s="144" t="s">
        <v>613</v>
      </c>
    </row>
    <row r="32" spans="1:11">
      <c r="A32" s="1129" t="str">
        <f>IF('BP1'!B18&gt;0,'BP1'!B18,"Senior Personnel 4")</f>
        <v>Senior Personnel 4</v>
      </c>
      <c r="B32" s="1129"/>
      <c r="C32" s="1129"/>
      <c r="D32" s="141">
        <f>'BP1'!H18+'BP1'!I18</f>
        <v>0</v>
      </c>
      <c r="E32" s="142" t="str">
        <f>IF('BP1'!H18&gt;0,"CM","AM")</f>
        <v>AM</v>
      </c>
      <c r="F32" s="141">
        <f>'BP1'!J18</f>
        <v>0</v>
      </c>
      <c r="G32" s="142" t="s">
        <v>201</v>
      </c>
      <c r="H32" s="157">
        <f t="shared" si="0"/>
        <v>0</v>
      </c>
      <c r="I32" s="142" t="s">
        <v>152</v>
      </c>
      <c r="J32" s="159" t="str">
        <f>IF(H32&gt;0,'BP1'!K18/H32,"")</f>
        <v/>
      </c>
      <c r="K32" s="142" t="s">
        <v>613</v>
      </c>
    </row>
    <row r="33" spans="1:11">
      <c r="A33" s="1128" t="str">
        <f>IF('BP1'!B19&gt;0,'BP1'!B19,"Senior Personnel 5")</f>
        <v>Senior Personnel 5</v>
      </c>
      <c r="B33" s="1128"/>
      <c r="C33" s="1128"/>
      <c r="D33" s="143">
        <f>'BP1'!H19+'BP1'!I19</f>
        <v>0</v>
      </c>
      <c r="E33" s="144" t="str">
        <f>IF('BP1'!H19&gt;0,"CM","AM")</f>
        <v>AM</v>
      </c>
      <c r="F33" s="143">
        <f>'BP1'!J19</f>
        <v>0</v>
      </c>
      <c r="G33" s="144" t="s">
        <v>201</v>
      </c>
      <c r="H33" s="157">
        <f t="shared" si="0"/>
        <v>0</v>
      </c>
      <c r="I33" s="144" t="s">
        <v>152</v>
      </c>
      <c r="J33" s="159" t="str">
        <f>IF(H33&gt;0,'BP1'!K19/H33,"")</f>
        <v/>
      </c>
      <c r="K33" s="144" t="s">
        <v>613</v>
      </c>
    </row>
    <row r="34" spans="1:11">
      <c r="A34" s="1129" t="str">
        <f>IF('BP1'!B20&gt;0,'BP1'!B20,"Senior Personnel 6")</f>
        <v>Senior Personnel 6</v>
      </c>
      <c r="B34" s="1129"/>
      <c r="C34" s="1129"/>
      <c r="D34" s="141">
        <f>'BP1'!H20+'BP1'!I20</f>
        <v>0</v>
      </c>
      <c r="E34" s="142" t="str">
        <f>IF('BP1'!H20&gt;0,"CM","AM")</f>
        <v>AM</v>
      </c>
      <c r="F34" s="141">
        <f>'BP1'!J20</f>
        <v>0</v>
      </c>
      <c r="G34" s="142" t="s">
        <v>201</v>
      </c>
      <c r="H34" s="157">
        <f t="shared" si="0"/>
        <v>0</v>
      </c>
      <c r="I34" s="142" t="s">
        <v>152</v>
      </c>
      <c r="J34" s="159" t="str">
        <f>IF(H34&gt;0,'BP1'!K20/H34,"")</f>
        <v/>
      </c>
      <c r="K34" s="142" t="s">
        <v>613</v>
      </c>
    </row>
    <row r="35" spans="1:11">
      <c r="A35" s="1128" t="str">
        <f>IF('BP1'!B21&gt;0,'BP1'!B21,"Senior Personnel 7")</f>
        <v>Senior Personnel 7</v>
      </c>
      <c r="B35" s="1128"/>
      <c r="C35" s="1128"/>
      <c r="D35" s="143">
        <f>'BP1'!H21+'BP1'!I21</f>
        <v>0</v>
      </c>
      <c r="E35" s="144" t="str">
        <f>IF('BP1'!H21&gt;0,"CM","AM")</f>
        <v>AM</v>
      </c>
      <c r="F35" s="143">
        <f>'BP1'!J21</f>
        <v>0</v>
      </c>
      <c r="G35" s="144" t="s">
        <v>201</v>
      </c>
      <c r="H35" s="157">
        <f t="shared" si="0"/>
        <v>0</v>
      </c>
      <c r="I35" s="144" t="s">
        <v>152</v>
      </c>
      <c r="J35" s="159" t="str">
        <f>IF(H35&gt;0,'BP1'!K21/H35,"")</f>
        <v/>
      </c>
      <c r="K35" s="144" t="s">
        <v>613</v>
      </c>
    </row>
    <row r="36" spans="1:11">
      <c r="A36" s="1129" t="str">
        <f>IF('BP1'!B22&gt;0,'BP1'!B22,"Senior Personnel 8")</f>
        <v>Senior Personnel 8</v>
      </c>
      <c r="B36" s="1129"/>
      <c r="C36" s="1129"/>
      <c r="D36" s="141">
        <f>'BP1'!H22+'BP1'!I22</f>
        <v>0</v>
      </c>
      <c r="E36" s="142" t="str">
        <f>IF('BP1'!H22&gt;0,"CM","AM")</f>
        <v>AM</v>
      </c>
      <c r="F36" s="141">
        <f>'BP1'!J22</f>
        <v>0</v>
      </c>
      <c r="G36" s="142" t="s">
        <v>201</v>
      </c>
      <c r="H36" s="157">
        <f t="shared" si="0"/>
        <v>0</v>
      </c>
      <c r="I36" s="142" t="s">
        <v>152</v>
      </c>
      <c r="J36" s="159" t="str">
        <f>IF(H36&gt;0,'BP1'!K22/H36,"")</f>
        <v/>
      </c>
      <c r="K36" s="142" t="s">
        <v>613</v>
      </c>
    </row>
    <row r="37" spans="1:11">
      <c r="A37" s="1128" t="str">
        <f>IF('BP1'!B23&gt;0,'BP1'!B23,"Senior Personnel 9")</f>
        <v>Senior Personnel 9</v>
      </c>
      <c r="B37" s="1128"/>
      <c r="C37" s="1128"/>
      <c r="D37" s="143">
        <f>'BP1'!H23+'BP1'!I23</f>
        <v>0</v>
      </c>
      <c r="E37" s="144" t="str">
        <f>IF('BP1'!H23&gt;0,"CM","AM")</f>
        <v>AM</v>
      </c>
      <c r="F37" s="143">
        <f>'BP1'!J23</f>
        <v>0</v>
      </c>
      <c r="G37" s="144" t="s">
        <v>201</v>
      </c>
      <c r="H37" s="157">
        <f t="shared" si="0"/>
        <v>0</v>
      </c>
      <c r="I37" s="144" t="s">
        <v>152</v>
      </c>
      <c r="J37" s="159" t="str">
        <f>IF(H37&gt;0,'BP1'!K23/H37,"")</f>
        <v/>
      </c>
      <c r="K37" s="144" t="s">
        <v>613</v>
      </c>
    </row>
    <row r="38" spans="1:11">
      <c r="A38" s="1129" t="str">
        <f>IF('BP1'!B24&gt;0,'BP1'!B24,"Senior Personnel 10")</f>
        <v>Senior Personnel 10</v>
      </c>
      <c r="B38" s="1129"/>
      <c r="C38" s="1129"/>
      <c r="D38" s="141">
        <f>'BP1'!H24+'BP1'!I24</f>
        <v>0</v>
      </c>
      <c r="E38" s="142" t="str">
        <f>IF('BP1'!H24&gt;0,"CM","AM")</f>
        <v>AM</v>
      </c>
      <c r="F38" s="141">
        <f>'BP1'!J24</f>
        <v>0</v>
      </c>
      <c r="G38" s="142" t="s">
        <v>201</v>
      </c>
      <c r="H38" s="157">
        <f t="shared" si="0"/>
        <v>0</v>
      </c>
      <c r="I38" s="142" t="s">
        <v>152</v>
      </c>
      <c r="J38" s="159" t="str">
        <f>IF(H38&gt;0,'BP1'!K24/H38,"")</f>
        <v/>
      </c>
      <c r="K38" s="142" t="s">
        <v>613</v>
      </c>
    </row>
    <row r="39" spans="1:11">
      <c r="A39" s="1128" t="str">
        <f>IF('BP1'!B25&gt;0,'BP1'!B25,"Senior Personnel 11")</f>
        <v>Senior Personnel 11</v>
      </c>
      <c r="B39" s="1128"/>
      <c r="C39" s="1128"/>
      <c r="D39" s="143">
        <f>'BP1'!H25+'BP1'!I25</f>
        <v>0</v>
      </c>
      <c r="E39" s="144" t="str">
        <f>IF('BP1'!H25&gt;0,"CM","AM")</f>
        <v>AM</v>
      </c>
      <c r="F39" s="143">
        <f>'BP1'!J25</f>
        <v>0</v>
      </c>
      <c r="G39" s="144" t="s">
        <v>201</v>
      </c>
      <c r="H39" s="157">
        <f t="shared" si="0"/>
        <v>0</v>
      </c>
      <c r="I39" s="144" t="s">
        <v>152</v>
      </c>
      <c r="J39" s="159" t="str">
        <f>IF(H39&gt;0,'BP1'!K25/H39,"")</f>
        <v/>
      </c>
      <c r="K39" s="144" t="s">
        <v>613</v>
      </c>
    </row>
    <row r="40" spans="1:11">
      <c r="A40" s="1129" t="str">
        <f>IF('BP1'!B26&gt;0,'BP1'!B26,"Senior Personnel 12")</f>
        <v>Senior Personnel 12</v>
      </c>
      <c r="B40" s="1129"/>
      <c r="C40" s="1129"/>
      <c r="D40" s="141">
        <f>'BP1'!H26+'BP1'!I26</f>
        <v>0</v>
      </c>
      <c r="E40" s="142" t="str">
        <f>IF('BP1'!H26&gt;0,"CM","AM")</f>
        <v>AM</v>
      </c>
      <c r="F40" s="141">
        <f>'BP1'!J26</f>
        <v>0</v>
      </c>
      <c r="G40" s="142" t="s">
        <v>201</v>
      </c>
      <c r="H40" s="157">
        <f t="shared" si="0"/>
        <v>0</v>
      </c>
      <c r="I40" s="142" t="s">
        <v>152</v>
      </c>
      <c r="J40" s="159" t="str">
        <f>IF(H40&gt;0,'BP1'!K26/H40,"")</f>
        <v/>
      </c>
      <c r="K40" s="142" t="s">
        <v>613</v>
      </c>
    </row>
    <row r="41" spans="1:11">
      <c r="A41" s="1128" t="str">
        <f>IF('BP1'!B27&gt;0,'BP1'!B27,"Senior Personnel 13")</f>
        <v>Senior Personnel 13</v>
      </c>
      <c r="B41" s="1128"/>
      <c r="C41" s="1128"/>
      <c r="D41" s="143">
        <f>'BP1'!H27+'BP1'!I27</f>
        <v>0</v>
      </c>
      <c r="E41" s="144" t="str">
        <f>IF('BP1'!H27&gt;0,"CM","AM")</f>
        <v>AM</v>
      </c>
      <c r="F41" s="143">
        <f>'BP1'!J27</f>
        <v>0</v>
      </c>
      <c r="G41" s="144" t="s">
        <v>201</v>
      </c>
      <c r="H41" s="157">
        <f t="shared" si="0"/>
        <v>0</v>
      </c>
      <c r="I41" s="144" t="s">
        <v>152</v>
      </c>
      <c r="J41" s="159" t="str">
        <f>IF(H41&gt;0,'BP1'!K27/H41,"")</f>
        <v/>
      </c>
      <c r="K41" s="144" t="s">
        <v>613</v>
      </c>
    </row>
    <row r="42" spans="1:11">
      <c r="A42" s="1129" t="str">
        <f>IF('BP1'!B28&gt;0,'BP1'!B28,"Senior Personnel 14")</f>
        <v>Senior Personnel 14</v>
      </c>
      <c r="B42" s="1129"/>
      <c r="C42" s="1129"/>
      <c r="D42" s="141">
        <f>'BP1'!H28+'BP1'!I28</f>
        <v>0</v>
      </c>
      <c r="E42" s="142" t="str">
        <f>IF('BP1'!H28&gt;0,"CM","AM")</f>
        <v>AM</v>
      </c>
      <c r="F42" s="141">
        <f>'BP1'!J28</f>
        <v>0</v>
      </c>
      <c r="G42" s="142" t="s">
        <v>201</v>
      </c>
      <c r="H42" s="157">
        <f t="shared" si="0"/>
        <v>0</v>
      </c>
      <c r="I42" s="142" t="s">
        <v>152</v>
      </c>
      <c r="J42" s="159" t="str">
        <f>IF(H42&gt;0,'BP1'!K28/H42,"")</f>
        <v/>
      </c>
      <c r="K42" s="142" t="s">
        <v>613</v>
      </c>
    </row>
    <row r="43" spans="1:11">
      <c r="A43" s="1128" t="str">
        <f>IF('BP1'!B29&gt;0,'BP1'!B29,"Senior Personnel 15")</f>
        <v>Senior Personnel 15</v>
      </c>
      <c r="B43" s="1128"/>
      <c r="C43" s="1128"/>
      <c r="D43" s="143">
        <f>'BP1'!H29+'BP1'!I29</f>
        <v>0</v>
      </c>
      <c r="E43" s="144" t="str">
        <f>IF('BP1'!H29&gt;0,"CM","AM")</f>
        <v>AM</v>
      </c>
      <c r="F43" s="143">
        <f>'BP1'!J29</f>
        <v>0</v>
      </c>
      <c r="G43" s="144" t="s">
        <v>201</v>
      </c>
      <c r="H43" s="157">
        <f t="shared" si="0"/>
        <v>0</v>
      </c>
      <c r="I43" s="144" t="s">
        <v>152</v>
      </c>
      <c r="J43" s="159" t="str">
        <f>IF(H43&gt;0,'BP1'!K29/H43,"")</f>
        <v/>
      </c>
      <c r="K43" s="144" t="s">
        <v>613</v>
      </c>
    </row>
    <row r="44" spans="1:11">
      <c r="A44" s="1129" t="s">
        <v>195</v>
      </c>
      <c r="B44" s="1129"/>
      <c r="C44" s="1129"/>
      <c r="D44" s="141">
        <f>'BP1'!H32</f>
        <v>0</v>
      </c>
      <c r="E44" s="142" t="s">
        <v>196</v>
      </c>
      <c r="F44" s="142"/>
      <c r="G44" s="142"/>
      <c r="H44" s="157">
        <f t="shared" si="0"/>
        <v>0</v>
      </c>
      <c r="I44" s="142" t="s">
        <v>152</v>
      </c>
      <c r="J44" s="159" t="str">
        <f>IF(H44&gt;0,'BP1'!K32/H44,"")</f>
        <v/>
      </c>
      <c r="K44" s="142" t="s">
        <v>613</v>
      </c>
    </row>
    <row r="45" spans="1:11">
      <c r="A45" s="1128" t="s">
        <v>197</v>
      </c>
      <c r="B45" s="1128"/>
      <c r="C45" s="1128"/>
      <c r="D45" s="143">
        <f>'BP1'!H33</f>
        <v>0</v>
      </c>
      <c r="E45" s="144" t="s">
        <v>196</v>
      </c>
      <c r="F45" s="144"/>
      <c r="G45" s="144"/>
      <c r="H45" s="157">
        <f t="shared" si="0"/>
        <v>0</v>
      </c>
      <c r="I45" s="144" t="s">
        <v>152</v>
      </c>
      <c r="J45" s="159" t="str">
        <f>IF(H45&gt;0,'BP1'!K33/H45,"")</f>
        <v/>
      </c>
      <c r="K45" s="144" t="s">
        <v>613</v>
      </c>
    </row>
    <row r="46" spans="1:11">
      <c r="A46" s="1129" t="s">
        <v>198</v>
      </c>
      <c r="B46" s="1129"/>
      <c r="C46" s="1129"/>
      <c r="D46" s="141">
        <f>'BP1'!H38</f>
        <v>0</v>
      </c>
      <c r="E46" s="142" t="s">
        <v>196</v>
      </c>
      <c r="F46" s="142"/>
      <c r="G46" s="142"/>
      <c r="H46" s="157">
        <f t="shared" si="0"/>
        <v>0</v>
      </c>
      <c r="I46" s="142" t="s">
        <v>152</v>
      </c>
      <c r="J46" s="159" t="str">
        <f>IF(H46&gt;0,'BP1'!K38/H46,"")</f>
        <v/>
      </c>
      <c r="K46" s="142" t="s">
        <v>613</v>
      </c>
    </row>
    <row r="47" spans="1:11">
      <c r="A47" s="1128" t="s">
        <v>199</v>
      </c>
      <c r="B47" s="1128"/>
      <c r="C47" s="1128"/>
      <c r="D47" s="143">
        <f>'BP1'!H39</f>
        <v>0</v>
      </c>
      <c r="E47" s="144" t="s">
        <v>196</v>
      </c>
      <c r="F47" s="144"/>
      <c r="G47" s="144"/>
      <c r="H47" s="157">
        <f t="shared" si="0"/>
        <v>0</v>
      </c>
      <c r="I47" s="144" t="s">
        <v>152</v>
      </c>
      <c r="J47" s="159" t="str">
        <f>IF(H47&gt;0,'BP1'!K39/H47,"")</f>
        <v/>
      </c>
      <c r="K47" s="144" t="s">
        <v>613</v>
      </c>
    </row>
    <row r="48" spans="1:11" ht="12.75" thickBot="1">
      <c r="A48" s="1130" t="s">
        <v>200</v>
      </c>
      <c r="B48" s="1130"/>
      <c r="C48" s="1130"/>
      <c r="D48" s="151">
        <f>'BP1'!H40</f>
        <v>0</v>
      </c>
      <c r="E48" s="152" t="s">
        <v>196</v>
      </c>
      <c r="F48" s="152"/>
      <c r="G48" s="152"/>
      <c r="H48" s="158">
        <f t="shared" si="0"/>
        <v>0</v>
      </c>
      <c r="I48" s="152" t="s">
        <v>152</v>
      </c>
      <c r="J48" s="160" t="str">
        <f>IF(H48&gt;0,'BP1'!K40/H48,"")</f>
        <v/>
      </c>
      <c r="K48" s="152" t="s">
        <v>613</v>
      </c>
    </row>
  </sheetData>
  <mergeCells count="26">
    <mergeCell ref="A44:C44"/>
    <mergeCell ref="A45:C45"/>
    <mergeCell ref="A46:C46"/>
    <mergeCell ref="A47:C47"/>
    <mergeCell ref="A48:C4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28:K28"/>
    <mergeCell ref="A1:K2"/>
    <mergeCell ref="A4:K4"/>
    <mergeCell ref="A10:K10"/>
    <mergeCell ref="A16:K16"/>
    <mergeCell ref="A25:K26"/>
  </mergeCells>
  <phoneticPr fontId="0" type="noConversion"/>
  <pageMargins left="0.5" right="0.3" top="1" bottom="1" header="0.5" footer="0.5"/>
  <pageSetup scale="94" orientation="portrait" r:id="rId1"/>
  <headerFooter alignWithMargins="0">
    <oddFooter>&amp;L&amp;8McCormick School of Engineering and Applied Science&amp;RAppendix B-Effort Calculator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J140"/>
  <sheetViews>
    <sheetView workbookViewId="0">
      <selection activeCell="D2" sqref="D2"/>
    </sheetView>
  </sheetViews>
  <sheetFormatPr defaultRowHeight="12.75"/>
  <cols>
    <col min="1" max="1" width="64.28515625" customWidth="1"/>
    <col min="2" max="2" width="77.85546875" customWidth="1"/>
    <col min="4" max="4" width="11.42578125" customWidth="1"/>
    <col min="5" max="5" width="2.7109375" bestFit="1" customWidth="1"/>
  </cols>
  <sheetData>
    <row r="1" spans="1:10" ht="15.75">
      <c r="A1" s="41" t="s">
        <v>37</v>
      </c>
      <c r="B1" s="42" t="s">
        <v>38</v>
      </c>
      <c r="D1" s="396" t="s">
        <v>869</v>
      </c>
      <c r="J1" s="685">
        <f>COUNTIF(NIH,'BP1'!E9)</f>
        <v>0</v>
      </c>
    </row>
    <row r="2" spans="1:10">
      <c r="B2" s="43"/>
      <c r="D2" s="30">
        <v>192300</v>
      </c>
      <c r="E2" s="659" t="s">
        <v>867</v>
      </c>
      <c r="F2" t="s">
        <v>866</v>
      </c>
    </row>
    <row r="3" spans="1:10">
      <c r="A3" s="44" t="s">
        <v>39</v>
      </c>
      <c r="B3" s="45" t="s">
        <v>39</v>
      </c>
      <c r="D3" t="s">
        <v>331</v>
      </c>
      <c r="F3" t="s">
        <v>910</v>
      </c>
    </row>
    <row r="4" spans="1:10">
      <c r="A4" s="46">
        <v>160079455</v>
      </c>
      <c r="B4" s="47">
        <v>1600794550000</v>
      </c>
      <c r="D4" t="s">
        <v>332</v>
      </c>
      <c r="F4" t="s">
        <v>911</v>
      </c>
    </row>
    <row r="5" spans="1:10">
      <c r="B5" s="48"/>
      <c r="D5" t="s">
        <v>333</v>
      </c>
    </row>
    <row r="6" spans="1:10">
      <c r="A6" s="44" t="s">
        <v>40</v>
      </c>
      <c r="B6" s="45" t="s">
        <v>41</v>
      </c>
      <c r="D6" t="s">
        <v>334</v>
      </c>
    </row>
    <row r="7" spans="1:10">
      <c r="A7" t="s">
        <v>1</v>
      </c>
      <c r="B7" s="48" t="s">
        <v>1</v>
      </c>
      <c r="D7" t="s">
        <v>335</v>
      </c>
    </row>
    <row r="8" spans="1:10">
      <c r="B8" s="48"/>
      <c r="D8" t="s">
        <v>336</v>
      </c>
    </row>
    <row r="9" spans="1:10">
      <c r="A9" s="44" t="s">
        <v>42</v>
      </c>
      <c r="B9" s="45" t="s">
        <v>43</v>
      </c>
      <c r="D9" t="s">
        <v>337</v>
      </c>
    </row>
    <row r="10" spans="1:10">
      <c r="A10" t="s">
        <v>44</v>
      </c>
      <c r="B10" s="48" t="s">
        <v>45</v>
      </c>
      <c r="D10" t="s">
        <v>338</v>
      </c>
    </row>
    <row r="11" spans="1:10">
      <c r="B11" s="48"/>
      <c r="D11" t="s">
        <v>339</v>
      </c>
    </row>
    <row r="12" spans="1:10">
      <c r="A12" s="44" t="s">
        <v>46</v>
      </c>
      <c r="B12" s="45" t="s">
        <v>47</v>
      </c>
      <c r="D12" t="s">
        <v>340</v>
      </c>
    </row>
    <row r="13" spans="1:10">
      <c r="A13" t="s">
        <v>48</v>
      </c>
      <c r="B13" s="49" t="s">
        <v>103</v>
      </c>
      <c r="D13" t="s">
        <v>341</v>
      </c>
    </row>
    <row r="14" spans="1:10">
      <c r="B14" s="48"/>
      <c r="D14" t="s">
        <v>342</v>
      </c>
    </row>
    <row r="15" spans="1:10">
      <c r="A15" s="44" t="s">
        <v>49</v>
      </c>
      <c r="B15" s="45" t="s">
        <v>50</v>
      </c>
      <c r="D15" t="s">
        <v>343</v>
      </c>
    </row>
    <row r="16" spans="1:10">
      <c r="A16" s="131" t="s">
        <v>171</v>
      </c>
      <c r="B16" s="50">
        <v>41037</v>
      </c>
      <c r="D16" t="s">
        <v>344</v>
      </c>
    </row>
    <row r="17" spans="1:4">
      <c r="B17" s="48"/>
      <c r="D17" t="s">
        <v>345</v>
      </c>
    </row>
    <row r="18" spans="1:4">
      <c r="A18" s="44" t="s">
        <v>51</v>
      </c>
      <c r="B18" s="48"/>
      <c r="D18" t="s">
        <v>346</v>
      </c>
    </row>
    <row r="19" spans="1:4">
      <c r="A19" s="131" t="s">
        <v>172</v>
      </c>
      <c r="B19" s="48"/>
      <c r="D19" t="s">
        <v>347</v>
      </c>
    </row>
    <row r="20" spans="1:4">
      <c r="B20" s="48"/>
      <c r="D20" t="s">
        <v>348</v>
      </c>
    </row>
    <row r="21" spans="1:4">
      <c r="A21" s="44" t="s">
        <v>52</v>
      </c>
      <c r="B21" s="48"/>
      <c r="D21" t="s">
        <v>349</v>
      </c>
    </row>
    <row r="22" spans="1:4">
      <c r="A22" t="s">
        <v>53</v>
      </c>
      <c r="B22" s="48"/>
      <c r="D22" t="s">
        <v>350</v>
      </c>
    </row>
    <row r="23" spans="1:4">
      <c r="B23" s="48"/>
      <c r="D23" t="s">
        <v>351</v>
      </c>
    </row>
    <row r="24" spans="1:4">
      <c r="A24" s="44" t="s">
        <v>54</v>
      </c>
      <c r="B24" s="48"/>
      <c r="D24" t="s">
        <v>352</v>
      </c>
    </row>
    <row r="25" spans="1:4">
      <c r="A25" t="s">
        <v>55</v>
      </c>
      <c r="B25" s="48"/>
      <c r="D25" t="s">
        <v>353</v>
      </c>
    </row>
    <row r="26" spans="1:4">
      <c r="A26" s="55"/>
      <c r="B26" s="48"/>
      <c r="D26" t="s">
        <v>354</v>
      </c>
    </row>
    <row r="27" spans="1:4">
      <c r="A27" s="51" t="s">
        <v>56</v>
      </c>
      <c r="B27" s="48"/>
      <c r="D27" t="s">
        <v>355</v>
      </c>
    </row>
    <row r="28" spans="1:4">
      <c r="A28" s="55" t="s">
        <v>57</v>
      </c>
      <c r="B28" s="48"/>
      <c r="D28" t="s">
        <v>356</v>
      </c>
    </row>
    <row r="29" spans="1:4">
      <c r="A29" s="55"/>
      <c r="B29" s="48"/>
      <c r="D29" t="s">
        <v>357</v>
      </c>
    </row>
    <row r="30" spans="1:4">
      <c r="A30" s="51" t="s">
        <v>58</v>
      </c>
      <c r="B30" s="48"/>
      <c r="D30" t="s">
        <v>358</v>
      </c>
    </row>
    <row r="31" spans="1:4">
      <c r="A31" s="132" t="s">
        <v>173</v>
      </c>
      <c r="B31" s="48"/>
      <c r="D31" t="s">
        <v>359</v>
      </c>
    </row>
    <row r="32" spans="1:4">
      <c r="A32" s="55"/>
      <c r="B32" s="48"/>
      <c r="D32" t="s">
        <v>360</v>
      </c>
    </row>
    <row r="33" spans="1:4">
      <c r="A33" s="44" t="s">
        <v>59</v>
      </c>
      <c r="B33" s="52"/>
      <c r="D33" t="s">
        <v>361</v>
      </c>
    </row>
    <row r="34" spans="1:4">
      <c r="A34" s="133" t="s">
        <v>868</v>
      </c>
      <c r="B34" s="52"/>
      <c r="D34" t="s">
        <v>362</v>
      </c>
    </row>
    <row r="35" spans="1:4">
      <c r="A35" s="40" t="s">
        <v>60</v>
      </c>
      <c r="B35" s="52"/>
      <c r="D35" t="s">
        <v>363</v>
      </c>
    </row>
    <row r="36" spans="1:4">
      <c r="A36" s="40" t="s">
        <v>61</v>
      </c>
      <c r="B36" s="52"/>
      <c r="D36" t="s">
        <v>364</v>
      </c>
    </row>
    <row r="37" spans="1:4">
      <c r="A37" s="55" t="s">
        <v>62</v>
      </c>
      <c r="B37" s="52"/>
      <c r="D37" t="s">
        <v>365</v>
      </c>
    </row>
    <row r="38" spans="1:4">
      <c r="A38" s="55"/>
      <c r="B38" s="52"/>
      <c r="D38" t="s">
        <v>366</v>
      </c>
    </row>
    <row r="39" spans="1:4">
      <c r="A39" s="51" t="s">
        <v>63</v>
      </c>
      <c r="B39" s="52"/>
      <c r="D39" t="s">
        <v>367</v>
      </c>
    </row>
    <row r="40" spans="1:4">
      <c r="A40" s="55" t="s">
        <v>64</v>
      </c>
      <c r="B40" s="52"/>
      <c r="D40" t="s">
        <v>368</v>
      </c>
    </row>
    <row r="41" spans="1:4">
      <c r="A41" s="55"/>
      <c r="B41" s="52"/>
      <c r="D41" t="s">
        <v>369</v>
      </c>
    </row>
    <row r="42" spans="1:4">
      <c r="A42" s="51" t="s">
        <v>65</v>
      </c>
      <c r="B42" s="52"/>
      <c r="D42" t="s">
        <v>370</v>
      </c>
    </row>
    <row r="43" spans="1:4">
      <c r="A43" s="55" t="s">
        <v>66</v>
      </c>
      <c r="B43" s="52"/>
      <c r="D43" t="s">
        <v>371</v>
      </c>
    </row>
    <row r="44" spans="1:4">
      <c r="A44" s="55"/>
      <c r="B44" s="52"/>
      <c r="D44" t="s">
        <v>372</v>
      </c>
    </row>
    <row r="45" spans="1:4">
      <c r="A45" s="51" t="s">
        <v>67</v>
      </c>
      <c r="B45" s="48"/>
      <c r="D45" t="s">
        <v>373</v>
      </c>
    </row>
    <row r="46" spans="1:4">
      <c r="A46" s="55" t="s">
        <v>68</v>
      </c>
      <c r="B46" s="48"/>
      <c r="D46" t="s">
        <v>374</v>
      </c>
    </row>
    <row r="47" spans="1:4">
      <c r="A47" s="55"/>
      <c r="B47" s="48"/>
      <c r="D47" t="s">
        <v>375</v>
      </c>
    </row>
    <row r="48" spans="1:4">
      <c r="A48" s="51" t="s">
        <v>69</v>
      </c>
      <c r="B48" s="48"/>
      <c r="D48" t="s">
        <v>376</v>
      </c>
    </row>
    <row r="49" spans="1:4">
      <c r="A49" s="55" t="s">
        <v>70</v>
      </c>
      <c r="B49" s="48"/>
      <c r="D49" t="s">
        <v>377</v>
      </c>
    </row>
    <row r="50" spans="1:4">
      <c r="A50" s="55"/>
      <c r="B50" s="48"/>
      <c r="D50" t="s">
        <v>378</v>
      </c>
    </row>
    <row r="51" spans="1:4">
      <c r="A51" s="53" t="s">
        <v>71</v>
      </c>
      <c r="B51" s="48"/>
      <c r="D51" t="s">
        <v>379</v>
      </c>
    </row>
    <row r="52" spans="1:4">
      <c r="A52" t="s">
        <v>868</v>
      </c>
      <c r="B52" s="48"/>
      <c r="D52" t="s">
        <v>380</v>
      </c>
    </row>
    <row r="53" spans="1:4">
      <c r="B53" s="48"/>
      <c r="D53" t="s">
        <v>381</v>
      </c>
    </row>
    <row r="54" spans="1:4">
      <c r="A54" s="44" t="s">
        <v>72</v>
      </c>
      <c r="B54" s="48"/>
      <c r="D54" t="s">
        <v>382</v>
      </c>
    </row>
    <row r="55" spans="1:4">
      <c r="A55" t="s">
        <v>614</v>
      </c>
      <c r="B55" s="48"/>
      <c r="D55" t="s">
        <v>383</v>
      </c>
    </row>
    <row r="56" spans="1:4">
      <c r="B56" s="6"/>
      <c r="D56" t="s">
        <v>384</v>
      </c>
    </row>
    <row r="57" spans="1:4">
      <c r="B57" s="6"/>
      <c r="D57" t="s">
        <v>385</v>
      </c>
    </row>
    <row r="58" spans="1:4">
      <c r="B58" s="6"/>
      <c r="D58" t="s">
        <v>386</v>
      </c>
    </row>
    <row r="59" spans="1:4">
      <c r="B59" s="6"/>
      <c r="D59" t="s">
        <v>387</v>
      </c>
    </row>
    <row r="60" spans="1:4">
      <c r="B60" s="6"/>
      <c r="D60" t="s">
        <v>388</v>
      </c>
    </row>
    <row r="61" spans="1:4">
      <c r="B61" s="6"/>
      <c r="D61" t="s">
        <v>389</v>
      </c>
    </row>
    <row r="62" spans="1:4">
      <c r="B62" s="6"/>
      <c r="D62" t="s">
        <v>390</v>
      </c>
    </row>
    <row r="63" spans="1:4">
      <c r="B63" s="6"/>
      <c r="D63" t="s">
        <v>391</v>
      </c>
    </row>
    <row r="64" spans="1:4">
      <c r="B64" s="6"/>
      <c r="D64" t="s">
        <v>392</v>
      </c>
    </row>
    <row r="65" spans="2:4">
      <c r="B65" s="6"/>
      <c r="D65" t="s">
        <v>393</v>
      </c>
    </row>
    <row r="66" spans="2:4">
      <c r="B66" s="6"/>
      <c r="D66" t="s">
        <v>394</v>
      </c>
    </row>
    <row r="67" spans="2:4">
      <c r="B67" s="6"/>
      <c r="D67" t="s">
        <v>395</v>
      </c>
    </row>
    <row r="68" spans="2:4">
      <c r="B68" s="6"/>
      <c r="D68" t="s">
        <v>396</v>
      </c>
    </row>
    <row r="69" spans="2:4">
      <c r="D69" t="s">
        <v>397</v>
      </c>
    </row>
    <row r="70" spans="2:4">
      <c r="D70" t="s">
        <v>398</v>
      </c>
    </row>
    <row r="71" spans="2:4">
      <c r="D71" t="s">
        <v>399</v>
      </c>
    </row>
    <row r="72" spans="2:4">
      <c r="D72" t="s">
        <v>400</v>
      </c>
    </row>
    <row r="73" spans="2:4">
      <c r="D73" t="s">
        <v>401</v>
      </c>
    </row>
    <row r="74" spans="2:4">
      <c r="D74" t="s">
        <v>402</v>
      </c>
    </row>
    <row r="75" spans="2:4">
      <c r="D75" t="s">
        <v>403</v>
      </c>
    </row>
    <row r="76" spans="2:4">
      <c r="D76" t="s">
        <v>404</v>
      </c>
    </row>
    <row r="77" spans="2:4">
      <c r="D77" t="s">
        <v>403</v>
      </c>
    </row>
    <row r="78" spans="2:4">
      <c r="D78" t="s">
        <v>405</v>
      </c>
    </row>
    <row r="79" spans="2:4">
      <c r="D79" t="s">
        <v>406</v>
      </c>
    </row>
    <row r="80" spans="2:4">
      <c r="D80" t="s">
        <v>407</v>
      </c>
    </row>
    <row r="81" spans="4:4">
      <c r="D81" t="s">
        <v>408</v>
      </c>
    </row>
    <row r="82" spans="4:4">
      <c r="D82" t="s">
        <v>409</v>
      </c>
    </row>
    <row r="83" spans="4:4">
      <c r="D83" t="s">
        <v>410</v>
      </c>
    </row>
    <row r="84" spans="4:4">
      <c r="D84" t="s">
        <v>411</v>
      </c>
    </row>
    <row r="85" spans="4:4">
      <c r="D85" t="s">
        <v>412</v>
      </c>
    </row>
    <row r="86" spans="4:4">
      <c r="D86" t="s">
        <v>413</v>
      </c>
    </row>
    <row r="87" spans="4:4">
      <c r="D87" t="s">
        <v>414</v>
      </c>
    </row>
    <row r="88" spans="4:4">
      <c r="D88" t="s">
        <v>415</v>
      </c>
    </row>
    <row r="89" spans="4:4">
      <c r="D89" t="s">
        <v>416</v>
      </c>
    </row>
    <row r="90" spans="4:4">
      <c r="D90" t="s">
        <v>417</v>
      </c>
    </row>
    <row r="91" spans="4:4">
      <c r="D91" t="s">
        <v>438</v>
      </c>
    </row>
    <row r="92" spans="4:4">
      <c r="D92" t="s">
        <v>439</v>
      </c>
    </row>
    <row r="93" spans="4:4">
      <c r="D93" s="396" t="s">
        <v>873</v>
      </c>
    </row>
    <row r="94" spans="4:4">
      <c r="D94" t="s">
        <v>436</v>
      </c>
    </row>
    <row r="95" spans="4:4">
      <c r="D95" t="s">
        <v>437</v>
      </c>
    </row>
    <row r="96" spans="4:4">
      <c r="D96" t="s">
        <v>440</v>
      </c>
    </row>
    <row r="97" spans="4:4">
      <c r="D97" t="s">
        <v>441</v>
      </c>
    </row>
    <row r="98" spans="4:4">
      <c r="D98" t="s">
        <v>442</v>
      </c>
    </row>
    <row r="99" spans="4:4">
      <c r="D99" t="s">
        <v>443</v>
      </c>
    </row>
    <row r="100" spans="4:4">
      <c r="D100" t="s">
        <v>444</v>
      </c>
    </row>
    <row r="101" spans="4:4">
      <c r="D101" t="s">
        <v>445</v>
      </c>
    </row>
    <row r="102" spans="4:4">
      <c r="D102" t="s">
        <v>446</v>
      </c>
    </row>
    <row r="103" spans="4:4">
      <c r="D103" t="s">
        <v>447</v>
      </c>
    </row>
    <row r="104" spans="4:4">
      <c r="D104" t="s">
        <v>448</v>
      </c>
    </row>
    <row r="105" spans="4:4">
      <c r="D105" t="s">
        <v>449</v>
      </c>
    </row>
    <row r="106" spans="4:4">
      <c r="D106" t="s">
        <v>450</v>
      </c>
    </row>
    <row r="107" spans="4:4">
      <c r="D107" t="s">
        <v>451</v>
      </c>
    </row>
    <row r="108" spans="4:4">
      <c r="D108" s="396" t="s">
        <v>874</v>
      </c>
    </row>
    <row r="109" spans="4:4">
      <c r="D109" t="s">
        <v>833</v>
      </c>
    </row>
    <row r="110" spans="4:4">
      <c r="D110" t="s">
        <v>834</v>
      </c>
    </row>
    <row r="111" spans="4:4">
      <c r="D111" t="s">
        <v>835</v>
      </c>
    </row>
    <row r="112" spans="4:4">
      <c r="D112" t="s">
        <v>836</v>
      </c>
    </row>
    <row r="113" spans="4:4">
      <c r="D113" t="s">
        <v>837</v>
      </c>
    </row>
    <row r="114" spans="4:4">
      <c r="D114" t="s">
        <v>838</v>
      </c>
    </row>
    <row r="115" spans="4:4">
      <c r="D115" t="s">
        <v>839</v>
      </c>
    </row>
    <row r="116" spans="4:4">
      <c r="D116" t="s">
        <v>840</v>
      </c>
    </row>
    <row r="117" spans="4:4">
      <c r="D117" t="s">
        <v>841</v>
      </c>
    </row>
    <row r="118" spans="4:4">
      <c r="D118" t="s">
        <v>842</v>
      </c>
    </row>
    <row r="119" spans="4:4">
      <c r="D119" t="s">
        <v>843</v>
      </c>
    </row>
    <row r="120" spans="4:4">
      <c r="D120" t="s">
        <v>844</v>
      </c>
    </row>
    <row r="121" spans="4:4">
      <c r="D121" t="s">
        <v>845</v>
      </c>
    </row>
    <row r="122" spans="4:4">
      <c r="D122" t="s">
        <v>846</v>
      </c>
    </row>
    <row r="123" spans="4:4">
      <c r="D123" t="s">
        <v>847</v>
      </c>
    </row>
    <row r="124" spans="4:4">
      <c r="D124" t="s">
        <v>848</v>
      </c>
    </row>
    <row r="125" spans="4:4">
      <c r="D125" t="s">
        <v>849</v>
      </c>
    </row>
    <row r="126" spans="4:4">
      <c r="D126" t="s">
        <v>850</v>
      </c>
    </row>
    <row r="127" spans="4:4">
      <c r="D127" t="s">
        <v>851</v>
      </c>
    </row>
    <row r="128" spans="4:4">
      <c r="D128" t="s">
        <v>852</v>
      </c>
    </row>
    <row r="129" spans="4:4">
      <c r="D129" t="s">
        <v>853</v>
      </c>
    </row>
    <row r="130" spans="4:4">
      <c r="D130" t="s">
        <v>854</v>
      </c>
    </row>
    <row r="131" spans="4:4">
      <c r="D131" t="s">
        <v>855</v>
      </c>
    </row>
    <row r="132" spans="4:4">
      <c r="D132" t="s">
        <v>858</v>
      </c>
    </row>
    <row r="133" spans="4:4">
      <c r="D133" t="s">
        <v>856</v>
      </c>
    </row>
    <row r="134" spans="4:4">
      <c r="D134" t="s">
        <v>857</v>
      </c>
    </row>
    <row r="135" spans="4:4">
      <c r="D135" t="s">
        <v>859</v>
      </c>
    </row>
    <row r="136" spans="4:4">
      <c r="D136" t="s">
        <v>860</v>
      </c>
    </row>
    <row r="137" spans="4:4">
      <c r="D137" t="s">
        <v>861</v>
      </c>
    </row>
    <row r="138" spans="4:4">
      <c r="D138" t="s">
        <v>864</v>
      </c>
    </row>
    <row r="139" spans="4:4">
      <c r="D139" t="s">
        <v>862</v>
      </c>
    </row>
    <row r="140" spans="4:4">
      <c r="D140" t="s">
        <v>863</v>
      </c>
    </row>
  </sheetData>
  <sortState xmlns:xlrd2="http://schemas.microsoft.com/office/spreadsheetml/2017/richdata2" ref="E1:F85">
    <sortCondition ref="E1"/>
  </sortState>
  <phoneticPr fontId="0" type="noConversion"/>
  <hyperlinks>
    <hyperlink ref="A37" r:id="rId1" xr:uid="{00000000-0004-0000-0F00-000000000000}"/>
  </hyperlinks>
  <pageMargins left="0.25" right="0.25" top="1" bottom="1" header="0.5" footer="0.5"/>
  <pageSetup scale="73"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537"/>
  <sheetViews>
    <sheetView workbookViewId="0">
      <selection activeCell="B1" sqref="B1"/>
    </sheetView>
  </sheetViews>
  <sheetFormatPr defaultRowHeight="14.25"/>
  <cols>
    <col min="1" max="1" width="76.140625" style="627" bestFit="1" customWidth="1"/>
    <col min="2" max="2" width="15" style="627" customWidth="1"/>
    <col min="3" max="3" width="22" style="627" customWidth="1"/>
    <col min="4" max="4" width="11.28515625" style="627" customWidth="1"/>
    <col min="5" max="5" width="12.5703125" style="627" customWidth="1"/>
    <col min="6" max="6" width="11.85546875" style="627" bestFit="1" customWidth="1"/>
    <col min="7" max="7" width="9.85546875" style="627" bestFit="1" customWidth="1"/>
    <col min="8" max="16384" width="9.140625" style="627"/>
  </cols>
  <sheetData>
    <row r="1" spans="1:5" ht="15">
      <c r="A1" s="630" t="s">
        <v>828</v>
      </c>
      <c r="B1" s="657" t="s">
        <v>626</v>
      </c>
    </row>
    <row r="2" spans="1:5">
      <c r="A2" s="627" t="s">
        <v>827</v>
      </c>
      <c r="B2" s="641">
        <v>355</v>
      </c>
      <c r="C2" s="627" t="s">
        <v>826</v>
      </c>
    </row>
    <row r="4" spans="1:5" ht="14.25" customHeight="1">
      <c r="A4" s="656" t="s">
        <v>21</v>
      </c>
      <c r="B4" s="657" t="s">
        <v>626</v>
      </c>
      <c r="C4" s="656"/>
      <c r="E4" s="61"/>
    </row>
    <row r="5" spans="1:5" ht="14.25" customHeight="1">
      <c r="A5" s="624" t="s">
        <v>22</v>
      </c>
      <c r="B5" s="624" t="s">
        <v>825</v>
      </c>
      <c r="C5" s="620" t="s">
        <v>771</v>
      </c>
    </row>
    <row r="6" spans="1:5" ht="14.25" customHeight="1">
      <c r="A6" s="621" t="s">
        <v>23</v>
      </c>
      <c r="B6" s="638">
        <v>77</v>
      </c>
      <c r="C6" s="640">
        <v>125</v>
      </c>
      <c r="D6" s="655"/>
      <c r="E6" s="655"/>
    </row>
    <row r="7" spans="1:5" ht="14.25" customHeight="1">
      <c r="A7" s="621" t="s">
        <v>112</v>
      </c>
      <c r="B7" s="638">
        <v>60</v>
      </c>
      <c r="C7" s="640">
        <v>125</v>
      </c>
      <c r="D7" s="655"/>
      <c r="E7" s="655"/>
    </row>
    <row r="8" spans="1:5" ht="14.25" customHeight="1">
      <c r="A8" s="621" t="s">
        <v>24</v>
      </c>
      <c r="B8" s="638">
        <v>15</v>
      </c>
      <c r="C8" s="640">
        <v>125</v>
      </c>
      <c r="D8" s="655"/>
      <c r="E8" s="655"/>
    </row>
    <row r="9" spans="1:5" ht="14.25" customHeight="1">
      <c r="A9" s="621" t="s">
        <v>25</v>
      </c>
      <c r="B9" s="638">
        <v>15</v>
      </c>
      <c r="C9" s="640">
        <v>125</v>
      </c>
      <c r="D9" s="655"/>
      <c r="E9" s="655"/>
    </row>
    <row r="10" spans="1:5" ht="14.25" customHeight="1">
      <c r="A10" s="621" t="s">
        <v>26</v>
      </c>
      <c r="B10" s="638">
        <v>15</v>
      </c>
      <c r="C10" s="640">
        <v>125</v>
      </c>
      <c r="D10" s="655"/>
      <c r="E10" s="655"/>
    </row>
    <row r="11" spans="1:5" ht="14.25" customHeight="1">
      <c r="A11" s="621" t="s">
        <v>27</v>
      </c>
      <c r="B11" s="638">
        <v>16</v>
      </c>
      <c r="C11" s="640">
        <v>125</v>
      </c>
      <c r="D11" s="655"/>
      <c r="E11" s="655"/>
    </row>
    <row r="12" spans="1:5" ht="14.25" customHeight="1">
      <c r="A12" s="621" t="s">
        <v>113</v>
      </c>
      <c r="B12" s="638">
        <v>20</v>
      </c>
      <c r="C12" s="640">
        <v>125</v>
      </c>
      <c r="D12" s="655"/>
      <c r="E12" s="655"/>
    </row>
    <row r="13" spans="1:5" ht="14.25" customHeight="1">
      <c r="A13" s="621" t="s">
        <v>114</v>
      </c>
      <c r="B13" s="638">
        <v>20</v>
      </c>
      <c r="C13" s="640">
        <v>125</v>
      </c>
      <c r="D13" s="655"/>
      <c r="E13" s="655"/>
    </row>
    <row r="14" spans="1:5" ht="14.25" customHeight="1">
      <c r="A14" s="621" t="s">
        <v>824</v>
      </c>
      <c r="B14" s="638">
        <v>25</v>
      </c>
      <c r="C14" s="640">
        <v>125</v>
      </c>
      <c r="D14" s="655"/>
      <c r="E14" s="655"/>
    </row>
    <row r="15" spans="1:5" ht="14.25" customHeight="1">
      <c r="A15" s="621" t="s">
        <v>115</v>
      </c>
      <c r="B15" s="638">
        <v>18</v>
      </c>
      <c r="C15" s="640">
        <v>125</v>
      </c>
      <c r="D15" s="655"/>
      <c r="E15" s="655"/>
    </row>
    <row r="16" spans="1:5" ht="14.25" customHeight="1">
      <c r="A16" s="621" t="s">
        <v>116</v>
      </c>
      <c r="B16" s="638">
        <v>18</v>
      </c>
      <c r="C16" s="640">
        <v>125</v>
      </c>
      <c r="D16" s="655"/>
      <c r="E16" s="655"/>
    </row>
    <row r="17" spans="1:9" ht="14.25" customHeight="1">
      <c r="A17" s="621" t="s">
        <v>28</v>
      </c>
      <c r="B17" s="638"/>
      <c r="C17" s="640">
        <v>125</v>
      </c>
      <c r="E17" s="655"/>
    </row>
    <row r="18" spans="1:9" ht="14.25" customHeight="1">
      <c r="A18" s="624" t="s">
        <v>823</v>
      </c>
      <c r="B18" s="624" t="s">
        <v>31</v>
      </c>
      <c r="C18" s="654" t="s">
        <v>618</v>
      </c>
      <c r="E18" s="61"/>
    </row>
    <row r="19" spans="1:9" ht="14.25" customHeight="1">
      <c r="A19" s="621" t="s">
        <v>822</v>
      </c>
      <c r="B19" s="638">
        <v>2</v>
      </c>
      <c r="C19" s="479" t="s">
        <v>813</v>
      </c>
      <c r="E19" s="61"/>
    </row>
    <row r="20" spans="1:9" ht="14.25" customHeight="1">
      <c r="A20" s="621" t="s">
        <v>821</v>
      </c>
      <c r="B20" s="638">
        <v>250</v>
      </c>
      <c r="C20" s="479" t="s">
        <v>813</v>
      </c>
      <c r="E20" s="61"/>
    </row>
    <row r="21" spans="1:9" ht="14.25" customHeight="1">
      <c r="A21" s="621" t="s">
        <v>820</v>
      </c>
      <c r="B21" s="638">
        <v>80</v>
      </c>
      <c r="C21" s="479" t="s">
        <v>813</v>
      </c>
      <c r="E21" s="61"/>
    </row>
    <row r="22" spans="1:9" ht="14.25" customHeight="1">
      <c r="A22" s="621" t="s">
        <v>819</v>
      </c>
      <c r="B22" s="638">
        <v>1</v>
      </c>
      <c r="C22" s="479" t="s">
        <v>813</v>
      </c>
      <c r="E22" s="61"/>
    </row>
    <row r="23" spans="1:9" ht="14.25" customHeight="1">
      <c r="A23" s="621" t="s">
        <v>818</v>
      </c>
      <c r="B23" s="638">
        <v>2</v>
      </c>
      <c r="C23" s="479" t="s">
        <v>813</v>
      </c>
      <c r="E23" s="61"/>
    </row>
    <row r="24" spans="1:9" ht="14.25" customHeight="1">
      <c r="A24" s="621" t="s">
        <v>817</v>
      </c>
      <c r="B24" s="638">
        <v>1</v>
      </c>
      <c r="C24" s="479" t="s">
        <v>813</v>
      </c>
      <c r="E24" s="61"/>
    </row>
    <row r="25" spans="1:9" ht="14.25" customHeight="1">
      <c r="A25" s="621" t="s">
        <v>816</v>
      </c>
      <c r="B25" s="638">
        <v>500</v>
      </c>
      <c r="C25" s="479" t="s">
        <v>813</v>
      </c>
      <c r="E25" s="61"/>
    </row>
    <row r="26" spans="1:9" ht="14.25" customHeight="1">
      <c r="A26" s="621" t="s">
        <v>815</v>
      </c>
      <c r="B26" s="621" t="s">
        <v>814</v>
      </c>
      <c r="C26" s="479" t="s">
        <v>813</v>
      </c>
      <c r="E26" s="61"/>
    </row>
    <row r="27" spans="1:9" ht="14.25" customHeight="1" thickBot="1">
      <c r="A27" s="87"/>
      <c r="B27" s="87"/>
      <c r="C27" s="88"/>
      <c r="D27" s="634"/>
      <c r="E27" s="90"/>
    </row>
    <row r="28" spans="1:9" ht="14.25" customHeight="1">
      <c r="A28" s="56" t="s">
        <v>29</v>
      </c>
      <c r="B28" s="61" t="s">
        <v>626</v>
      </c>
      <c r="C28" s="57"/>
      <c r="D28" s="61"/>
      <c r="F28" s="61"/>
      <c r="G28" s="61"/>
    </row>
    <row r="29" spans="1:9" ht="14.25" customHeight="1">
      <c r="A29" s="624" t="s">
        <v>812</v>
      </c>
      <c r="B29" s="86" t="s">
        <v>774</v>
      </c>
      <c r="C29" s="86" t="s">
        <v>773</v>
      </c>
      <c r="D29" s="86" t="s">
        <v>772</v>
      </c>
      <c r="E29" s="86" t="s">
        <v>89</v>
      </c>
      <c r="F29" s="86" t="s">
        <v>771</v>
      </c>
      <c r="I29" s="620"/>
    </row>
    <row r="30" spans="1:9" ht="14.25" customHeight="1">
      <c r="A30" s="625" t="s">
        <v>811</v>
      </c>
      <c r="B30" s="650">
        <v>350</v>
      </c>
      <c r="C30" s="649"/>
      <c r="D30" s="651"/>
      <c r="E30" s="649">
        <v>270</v>
      </c>
      <c r="F30" s="649">
        <v>80</v>
      </c>
      <c r="G30" s="628"/>
      <c r="I30" s="478"/>
    </row>
    <row r="31" spans="1:9" ht="14.25" customHeight="1">
      <c r="A31" s="625" t="s">
        <v>810</v>
      </c>
      <c r="B31" s="650">
        <v>55</v>
      </c>
      <c r="C31" s="649">
        <v>44</v>
      </c>
      <c r="D31" s="651">
        <v>28</v>
      </c>
      <c r="E31" s="649">
        <v>270</v>
      </c>
      <c r="F31" s="649">
        <v>80</v>
      </c>
      <c r="G31" s="628"/>
      <c r="I31" s="478"/>
    </row>
    <row r="32" spans="1:9" ht="14.25" customHeight="1">
      <c r="A32" s="625" t="s">
        <v>809</v>
      </c>
      <c r="B32" s="650">
        <v>61</v>
      </c>
      <c r="C32" s="649">
        <v>49</v>
      </c>
      <c r="D32" s="651">
        <v>31</v>
      </c>
      <c r="E32" s="649">
        <v>270</v>
      </c>
      <c r="F32" s="649">
        <v>80</v>
      </c>
      <c r="G32" s="628"/>
      <c r="I32" s="478"/>
    </row>
    <row r="33" spans="1:9" ht="14.25" customHeight="1">
      <c r="A33" s="653" t="s">
        <v>808</v>
      </c>
      <c r="B33" s="86" t="s">
        <v>774</v>
      </c>
      <c r="C33" s="86" t="s">
        <v>773</v>
      </c>
      <c r="D33" s="86" t="s">
        <v>772</v>
      </c>
      <c r="E33" s="86" t="s">
        <v>89</v>
      </c>
      <c r="F33" s="86" t="s">
        <v>771</v>
      </c>
      <c r="G33" s="628"/>
      <c r="I33" s="478"/>
    </row>
    <row r="34" spans="1:9" ht="14.25" customHeight="1">
      <c r="A34" s="625" t="s">
        <v>807</v>
      </c>
      <c r="B34" s="649">
        <v>260</v>
      </c>
      <c r="C34" s="649">
        <v>260</v>
      </c>
      <c r="D34" s="649">
        <v>260</v>
      </c>
      <c r="E34" s="649">
        <v>240</v>
      </c>
      <c r="F34" s="649">
        <v>80</v>
      </c>
      <c r="G34" s="628"/>
      <c r="I34" s="478"/>
    </row>
    <row r="35" spans="1:9" ht="14.25" customHeight="1">
      <c r="A35" s="625" t="s">
        <v>806</v>
      </c>
      <c r="B35" s="649">
        <v>250</v>
      </c>
      <c r="C35" s="649">
        <v>250</v>
      </c>
      <c r="D35" s="649">
        <v>250</v>
      </c>
      <c r="E35" s="649">
        <v>270</v>
      </c>
      <c r="F35" s="649">
        <v>80</v>
      </c>
      <c r="G35" s="628"/>
      <c r="I35" s="478"/>
    </row>
    <row r="36" spans="1:9" ht="14.25" customHeight="1">
      <c r="A36" s="625" t="s">
        <v>805</v>
      </c>
      <c r="B36" s="649">
        <v>250</v>
      </c>
      <c r="C36" s="649">
        <v>250</v>
      </c>
      <c r="D36" s="649">
        <v>250</v>
      </c>
      <c r="E36" s="649">
        <v>270</v>
      </c>
      <c r="F36" s="649">
        <v>80</v>
      </c>
      <c r="G36" s="628"/>
      <c r="I36" s="478"/>
    </row>
    <row r="37" spans="1:9" ht="14.25" customHeight="1">
      <c r="A37" s="625" t="s">
        <v>804</v>
      </c>
      <c r="B37" s="649">
        <v>80</v>
      </c>
      <c r="C37" s="649">
        <v>80</v>
      </c>
      <c r="D37" s="649">
        <v>80</v>
      </c>
      <c r="E37" s="649">
        <v>160</v>
      </c>
      <c r="F37" s="649">
        <v>80</v>
      </c>
      <c r="G37" s="628"/>
      <c r="I37" s="478"/>
    </row>
    <row r="38" spans="1:9" ht="14.25" customHeight="1">
      <c r="A38" s="625" t="s">
        <v>803</v>
      </c>
      <c r="B38" s="649">
        <v>40</v>
      </c>
      <c r="C38" s="649">
        <v>40</v>
      </c>
      <c r="D38" s="649">
        <v>40</v>
      </c>
      <c r="E38" s="649">
        <v>80</v>
      </c>
      <c r="F38" s="649">
        <v>80</v>
      </c>
      <c r="G38" s="628"/>
      <c r="I38" s="478"/>
    </row>
    <row r="39" spans="1:9" ht="14.25" customHeight="1">
      <c r="A39" s="625" t="s">
        <v>802</v>
      </c>
      <c r="B39" s="649">
        <v>35</v>
      </c>
      <c r="C39" s="649">
        <v>28</v>
      </c>
      <c r="D39" s="649">
        <v>18</v>
      </c>
      <c r="E39" s="649">
        <v>80</v>
      </c>
      <c r="F39" s="649">
        <v>80</v>
      </c>
      <c r="G39" s="628"/>
      <c r="I39" s="478"/>
    </row>
    <row r="40" spans="1:9" ht="14.25" customHeight="1">
      <c r="A40" s="625" t="s">
        <v>801</v>
      </c>
      <c r="B40" s="649">
        <v>30</v>
      </c>
      <c r="C40" s="649">
        <v>24</v>
      </c>
      <c r="D40" s="649">
        <v>15</v>
      </c>
      <c r="E40" s="649">
        <v>80</v>
      </c>
      <c r="F40" s="649">
        <v>80</v>
      </c>
      <c r="G40" s="628"/>
      <c r="I40" s="478"/>
    </row>
    <row r="41" spans="1:9" ht="14.25" customHeight="1">
      <c r="A41" s="625" t="s">
        <v>129</v>
      </c>
      <c r="B41" s="649">
        <v>30</v>
      </c>
      <c r="C41" s="649">
        <v>24</v>
      </c>
      <c r="D41" s="649">
        <v>15</v>
      </c>
      <c r="E41" s="649">
        <v>80</v>
      </c>
      <c r="F41" s="649">
        <v>80</v>
      </c>
      <c r="G41" s="628"/>
      <c r="I41" s="478"/>
    </row>
    <row r="42" spans="1:9" ht="14.25" customHeight="1">
      <c r="A42" s="625" t="s">
        <v>800</v>
      </c>
      <c r="B42" s="649">
        <v>25</v>
      </c>
      <c r="C42" s="649">
        <v>25</v>
      </c>
      <c r="D42" s="649">
        <v>25</v>
      </c>
      <c r="E42" s="649">
        <v>80</v>
      </c>
      <c r="F42" s="649">
        <v>80</v>
      </c>
      <c r="G42" s="628"/>
      <c r="I42" s="478"/>
    </row>
    <row r="43" spans="1:9" ht="14.25" customHeight="1">
      <c r="A43" s="625" t="s">
        <v>799</v>
      </c>
      <c r="B43" s="649">
        <v>30</v>
      </c>
      <c r="C43" s="649">
        <v>24</v>
      </c>
      <c r="D43" s="649">
        <v>15</v>
      </c>
      <c r="E43" s="649">
        <v>260</v>
      </c>
      <c r="F43" s="649">
        <v>80</v>
      </c>
      <c r="G43" s="628"/>
      <c r="I43" s="478"/>
    </row>
    <row r="44" spans="1:9" ht="14.25" customHeight="1">
      <c r="A44" s="625" t="s">
        <v>798</v>
      </c>
      <c r="B44" s="649">
        <v>30</v>
      </c>
      <c r="C44" s="649">
        <v>24</v>
      </c>
      <c r="D44" s="649">
        <v>15</v>
      </c>
      <c r="E44" s="649">
        <v>260</v>
      </c>
      <c r="F44" s="649">
        <v>80</v>
      </c>
      <c r="G44" s="628"/>
      <c r="I44" s="478"/>
    </row>
    <row r="45" spans="1:9" ht="14.25" customHeight="1">
      <c r="A45" s="624" t="s">
        <v>474</v>
      </c>
      <c r="B45" s="86" t="s">
        <v>774</v>
      </c>
      <c r="C45" s="86" t="s">
        <v>773</v>
      </c>
      <c r="D45" s="86" t="s">
        <v>772</v>
      </c>
      <c r="E45" s="86" t="s">
        <v>89</v>
      </c>
      <c r="F45" s="86" t="s">
        <v>771</v>
      </c>
      <c r="G45" s="628"/>
      <c r="I45" s="620"/>
    </row>
    <row r="46" spans="1:9" ht="14.25" customHeight="1">
      <c r="A46" s="625" t="s">
        <v>797</v>
      </c>
      <c r="B46" s="650">
        <v>72</v>
      </c>
      <c r="C46" s="649">
        <v>58</v>
      </c>
      <c r="D46" s="649">
        <v>36</v>
      </c>
      <c r="E46" s="649">
        <v>500</v>
      </c>
      <c r="F46" s="649">
        <v>100</v>
      </c>
      <c r="G46" s="61"/>
      <c r="I46" s="57"/>
    </row>
    <row r="47" spans="1:9" ht="14.25" customHeight="1">
      <c r="A47" s="625" t="s">
        <v>796</v>
      </c>
      <c r="B47" s="650">
        <v>61</v>
      </c>
      <c r="C47" s="649">
        <v>49</v>
      </c>
      <c r="D47" s="651">
        <v>31</v>
      </c>
      <c r="E47" s="649">
        <v>400</v>
      </c>
      <c r="F47" s="649">
        <v>100</v>
      </c>
      <c r="G47" s="628"/>
      <c r="I47" s="57"/>
    </row>
    <row r="48" spans="1:9" ht="14.25" customHeight="1">
      <c r="A48" s="625" t="s">
        <v>119</v>
      </c>
      <c r="B48" s="650">
        <v>61</v>
      </c>
      <c r="C48" s="649">
        <v>49</v>
      </c>
      <c r="D48" s="651">
        <v>31</v>
      </c>
      <c r="E48" s="649">
        <v>400</v>
      </c>
      <c r="F48" s="649">
        <v>100</v>
      </c>
      <c r="G48" s="628"/>
      <c r="I48" s="57"/>
    </row>
    <row r="49" spans="1:9" ht="14.25" customHeight="1">
      <c r="A49" s="625" t="s">
        <v>120</v>
      </c>
      <c r="B49" s="650">
        <v>46</v>
      </c>
      <c r="C49" s="649">
        <v>37</v>
      </c>
      <c r="D49" s="651">
        <v>23</v>
      </c>
      <c r="E49" s="649">
        <v>300</v>
      </c>
      <c r="F49" s="649">
        <v>100</v>
      </c>
      <c r="G49" s="628"/>
      <c r="I49" s="57"/>
    </row>
    <row r="50" spans="1:9" ht="14.25" customHeight="1">
      <c r="A50" s="625" t="s">
        <v>795</v>
      </c>
      <c r="B50" s="650">
        <v>41</v>
      </c>
      <c r="C50" s="649">
        <v>33</v>
      </c>
      <c r="D50" s="651">
        <v>21</v>
      </c>
      <c r="E50" s="649">
        <v>200</v>
      </c>
      <c r="F50" s="649">
        <v>100</v>
      </c>
      <c r="G50" s="628"/>
      <c r="I50" s="57"/>
    </row>
    <row r="51" spans="1:9" ht="14.25" customHeight="1">
      <c r="A51" s="624" t="s">
        <v>475</v>
      </c>
      <c r="B51" s="86" t="s">
        <v>774</v>
      </c>
      <c r="C51" s="86" t="s">
        <v>773</v>
      </c>
      <c r="D51" s="86" t="s">
        <v>772</v>
      </c>
      <c r="E51" s="86" t="s">
        <v>89</v>
      </c>
      <c r="F51" s="86" t="s">
        <v>771</v>
      </c>
      <c r="G51" s="628"/>
      <c r="I51" s="620"/>
    </row>
    <row r="52" spans="1:9" ht="14.25" customHeight="1">
      <c r="A52" s="621" t="s">
        <v>794</v>
      </c>
      <c r="B52" s="652">
        <v>55</v>
      </c>
      <c r="C52" s="649">
        <v>44</v>
      </c>
      <c r="D52" s="651">
        <v>28</v>
      </c>
      <c r="E52" s="649">
        <v>150</v>
      </c>
      <c r="F52" s="649">
        <v>50</v>
      </c>
      <c r="G52" s="628"/>
      <c r="I52" s="57"/>
    </row>
    <row r="53" spans="1:9" ht="14.25" customHeight="1">
      <c r="A53" s="621" t="s">
        <v>793</v>
      </c>
      <c r="B53" s="652">
        <v>46</v>
      </c>
      <c r="C53" s="649">
        <v>37</v>
      </c>
      <c r="D53" s="651">
        <v>23</v>
      </c>
      <c r="E53" s="649">
        <v>150</v>
      </c>
      <c r="F53" s="649">
        <v>50</v>
      </c>
      <c r="G53" s="628"/>
      <c r="I53" s="57"/>
    </row>
    <row r="54" spans="1:9" ht="14.25" customHeight="1">
      <c r="A54" s="621" t="s">
        <v>117</v>
      </c>
      <c r="B54" s="652">
        <v>46</v>
      </c>
      <c r="C54" s="649">
        <v>37</v>
      </c>
      <c r="D54" s="651">
        <v>23</v>
      </c>
      <c r="E54" s="649">
        <v>150</v>
      </c>
      <c r="F54" s="649">
        <v>50</v>
      </c>
      <c r="G54" s="628"/>
      <c r="I54" s="57"/>
    </row>
    <row r="55" spans="1:9" ht="14.25" customHeight="1">
      <c r="A55" s="621" t="s">
        <v>118</v>
      </c>
      <c r="B55" s="652">
        <v>46</v>
      </c>
      <c r="C55" s="649">
        <v>32</v>
      </c>
      <c r="D55" s="651">
        <v>23</v>
      </c>
      <c r="E55" s="649">
        <v>150</v>
      </c>
      <c r="F55" s="649">
        <v>50</v>
      </c>
      <c r="G55" s="628"/>
      <c r="I55" s="57"/>
    </row>
    <row r="56" spans="1:9" ht="14.25" customHeight="1">
      <c r="A56" s="621" t="s">
        <v>792</v>
      </c>
      <c r="B56" s="652">
        <v>43</v>
      </c>
      <c r="C56" s="649">
        <v>35</v>
      </c>
      <c r="D56" s="651">
        <v>22</v>
      </c>
      <c r="E56" s="649">
        <v>100</v>
      </c>
      <c r="F56" s="649">
        <v>50</v>
      </c>
      <c r="G56" s="628"/>
      <c r="I56" s="57"/>
    </row>
    <row r="57" spans="1:9" ht="14.25" customHeight="1">
      <c r="A57" s="624" t="s">
        <v>791</v>
      </c>
      <c r="B57" s="86" t="s">
        <v>774</v>
      </c>
      <c r="C57" s="86" t="s">
        <v>773</v>
      </c>
      <c r="D57" s="86" t="s">
        <v>772</v>
      </c>
      <c r="E57" s="86" t="s">
        <v>89</v>
      </c>
      <c r="F57" s="86" t="s">
        <v>771</v>
      </c>
      <c r="G57" s="628"/>
      <c r="I57" s="620"/>
    </row>
    <row r="58" spans="1:9" ht="14.25" customHeight="1">
      <c r="A58" s="625" t="s">
        <v>476</v>
      </c>
      <c r="B58" s="650">
        <v>72</v>
      </c>
      <c r="C58" s="649">
        <v>58</v>
      </c>
      <c r="D58" s="651">
        <v>36</v>
      </c>
      <c r="E58" s="649">
        <v>300</v>
      </c>
      <c r="F58" s="649">
        <v>100</v>
      </c>
      <c r="G58" s="628"/>
      <c r="I58" s="57"/>
    </row>
    <row r="59" spans="1:9" ht="14.25" customHeight="1">
      <c r="A59" s="625" t="s">
        <v>479</v>
      </c>
      <c r="B59" s="650">
        <v>18</v>
      </c>
      <c r="C59" s="649">
        <v>14</v>
      </c>
      <c r="D59" s="651">
        <v>9</v>
      </c>
      <c r="E59" s="649">
        <v>50</v>
      </c>
      <c r="F59" s="649">
        <v>50</v>
      </c>
      <c r="G59" s="628"/>
      <c r="I59" s="57"/>
    </row>
    <row r="60" spans="1:9" ht="14.25" customHeight="1">
      <c r="A60" s="625" t="s">
        <v>478</v>
      </c>
      <c r="B60" s="650">
        <v>18</v>
      </c>
      <c r="C60" s="649">
        <v>14</v>
      </c>
      <c r="D60" s="651">
        <v>9</v>
      </c>
      <c r="E60" s="649">
        <v>50</v>
      </c>
      <c r="F60" s="649">
        <v>50</v>
      </c>
      <c r="G60" s="628"/>
      <c r="I60" s="57"/>
    </row>
    <row r="61" spans="1:9" ht="14.25" customHeight="1">
      <c r="A61" s="625" t="s">
        <v>790</v>
      </c>
      <c r="B61" s="650">
        <v>10</v>
      </c>
      <c r="C61" s="649">
        <v>8</v>
      </c>
      <c r="D61" s="651">
        <v>5</v>
      </c>
      <c r="E61" s="649">
        <v>50</v>
      </c>
      <c r="F61" s="649">
        <v>50</v>
      </c>
      <c r="G61" s="628"/>
      <c r="I61" s="57"/>
    </row>
    <row r="62" spans="1:9" ht="14.25" customHeight="1">
      <c r="A62" s="625" t="s">
        <v>483</v>
      </c>
      <c r="B62" s="650">
        <v>10</v>
      </c>
      <c r="C62" s="649">
        <v>8</v>
      </c>
      <c r="D62" s="651">
        <v>5</v>
      </c>
      <c r="E62" s="649">
        <v>0</v>
      </c>
      <c r="F62" s="649">
        <v>50</v>
      </c>
      <c r="G62" s="628"/>
      <c r="I62" s="57"/>
    </row>
    <row r="63" spans="1:9" ht="14.25" customHeight="1">
      <c r="A63" s="625" t="s">
        <v>789</v>
      </c>
      <c r="B63" s="650">
        <v>10</v>
      </c>
      <c r="C63" s="649">
        <v>8</v>
      </c>
      <c r="D63" s="651">
        <v>5</v>
      </c>
      <c r="E63" s="649">
        <v>0</v>
      </c>
      <c r="F63" s="649">
        <v>50</v>
      </c>
      <c r="G63" s="628"/>
      <c r="I63" s="57"/>
    </row>
    <row r="64" spans="1:9" ht="14.25" customHeight="1">
      <c r="A64" s="625" t="s">
        <v>788</v>
      </c>
      <c r="B64" s="650">
        <v>2</v>
      </c>
      <c r="C64" s="649">
        <v>2</v>
      </c>
      <c r="D64" s="651">
        <v>1</v>
      </c>
      <c r="E64" s="649">
        <v>0</v>
      </c>
      <c r="F64" s="649">
        <v>50</v>
      </c>
      <c r="G64" s="628"/>
      <c r="I64" s="57"/>
    </row>
    <row r="65" spans="1:9" ht="14.25" customHeight="1">
      <c r="A65" s="625" t="s">
        <v>477</v>
      </c>
      <c r="B65" s="650">
        <v>22</v>
      </c>
      <c r="C65" s="649">
        <v>18</v>
      </c>
      <c r="D65" s="651">
        <v>11</v>
      </c>
      <c r="E65" s="649">
        <v>50</v>
      </c>
      <c r="F65" s="649">
        <v>50</v>
      </c>
      <c r="G65" s="628"/>
      <c r="I65" s="57"/>
    </row>
    <row r="66" spans="1:9" ht="14.25" customHeight="1">
      <c r="A66" s="625" t="s">
        <v>480</v>
      </c>
      <c r="B66" s="650">
        <v>18</v>
      </c>
      <c r="C66" s="649">
        <v>14</v>
      </c>
      <c r="D66" s="651">
        <v>9</v>
      </c>
      <c r="E66" s="649">
        <v>0</v>
      </c>
      <c r="F66" s="649">
        <v>50</v>
      </c>
      <c r="G66" s="628"/>
      <c r="I66" s="57"/>
    </row>
    <row r="67" spans="1:9" ht="14.25" customHeight="1">
      <c r="A67" s="625" t="s">
        <v>481</v>
      </c>
      <c r="B67" s="650">
        <v>13</v>
      </c>
      <c r="C67" s="649">
        <v>10</v>
      </c>
      <c r="D67" s="651">
        <v>7</v>
      </c>
      <c r="E67" s="649">
        <v>0</v>
      </c>
      <c r="F67" s="649">
        <v>50</v>
      </c>
      <c r="G67" s="628"/>
      <c r="I67" s="57"/>
    </row>
    <row r="68" spans="1:9" ht="14.25" customHeight="1">
      <c r="A68" s="625" t="s">
        <v>482</v>
      </c>
      <c r="B68" s="650">
        <v>10</v>
      </c>
      <c r="C68" s="649">
        <v>8</v>
      </c>
      <c r="D68" s="651">
        <v>5</v>
      </c>
      <c r="E68" s="649">
        <v>0</v>
      </c>
      <c r="F68" s="649">
        <v>50</v>
      </c>
      <c r="G68" s="628"/>
      <c r="I68" s="57"/>
    </row>
    <row r="69" spans="1:9" ht="14.25" customHeight="1">
      <c r="A69" s="625" t="s">
        <v>787</v>
      </c>
      <c r="B69" s="650">
        <v>0</v>
      </c>
      <c r="C69" s="649">
        <v>0</v>
      </c>
      <c r="D69" s="651">
        <v>0</v>
      </c>
      <c r="E69" s="649">
        <v>0</v>
      </c>
      <c r="F69" s="649">
        <v>50</v>
      </c>
      <c r="G69" s="628"/>
      <c r="I69" s="57"/>
    </row>
    <row r="70" spans="1:9" ht="14.25" customHeight="1">
      <c r="A70" s="625" t="s">
        <v>484</v>
      </c>
      <c r="B70" s="650">
        <v>0</v>
      </c>
      <c r="C70" s="649">
        <v>0</v>
      </c>
      <c r="D70" s="651">
        <v>0</v>
      </c>
      <c r="E70" s="649">
        <v>0</v>
      </c>
      <c r="F70" s="649">
        <v>50</v>
      </c>
      <c r="G70" s="628"/>
      <c r="I70" s="57"/>
    </row>
    <row r="71" spans="1:9" ht="14.25" customHeight="1">
      <c r="A71" s="624" t="s">
        <v>485</v>
      </c>
      <c r="B71" s="624"/>
      <c r="C71" s="628"/>
      <c r="D71" s="640"/>
      <c r="E71" s="628"/>
      <c r="F71" s="628"/>
      <c r="G71" s="628"/>
      <c r="I71" s="620"/>
    </row>
    <row r="72" spans="1:9" ht="14.25" customHeight="1">
      <c r="A72" s="621" t="s">
        <v>786</v>
      </c>
      <c r="B72" s="638">
        <v>1.65</v>
      </c>
      <c r="C72" s="628" t="s">
        <v>761</v>
      </c>
      <c r="D72" s="628"/>
      <c r="E72" s="628"/>
      <c r="F72" s="628"/>
      <c r="G72" s="628"/>
      <c r="I72" s="57"/>
    </row>
    <row r="73" spans="1:9" ht="14.25" customHeight="1">
      <c r="A73" s="624" t="s">
        <v>486</v>
      </c>
      <c r="B73" s="86" t="s">
        <v>774</v>
      </c>
      <c r="C73" s="86" t="s">
        <v>773</v>
      </c>
      <c r="D73" s="86" t="s">
        <v>772</v>
      </c>
      <c r="E73" s="86" t="s">
        <v>89</v>
      </c>
      <c r="F73" s="86" t="s">
        <v>771</v>
      </c>
      <c r="G73" s="628"/>
      <c r="I73" s="620"/>
    </row>
    <row r="74" spans="1:9" ht="14.25" customHeight="1">
      <c r="A74" s="625" t="s">
        <v>121</v>
      </c>
      <c r="B74" s="650">
        <v>63</v>
      </c>
      <c r="C74" s="649">
        <v>51</v>
      </c>
      <c r="D74" s="649">
        <v>51</v>
      </c>
      <c r="E74" s="649">
        <v>165</v>
      </c>
      <c r="F74" s="649">
        <v>90</v>
      </c>
      <c r="G74" s="628"/>
      <c r="I74" s="57"/>
    </row>
    <row r="75" spans="1:9" ht="14.25" customHeight="1">
      <c r="A75" s="625" t="s">
        <v>122</v>
      </c>
      <c r="B75" s="650">
        <v>45</v>
      </c>
      <c r="C75" s="649">
        <v>36</v>
      </c>
      <c r="D75" s="649">
        <v>36</v>
      </c>
      <c r="E75" s="649">
        <v>165</v>
      </c>
      <c r="F75" s="649">
        <v>90</v>
      </c>
      <c r="G75" s="628"/>
      <c r="I75" s="57"/>
    </row>
    <row r="76" spans="1:9" ht="14.25" customHeight="1">
      <c r="A76" s="625" t="s">
        <v>123</v>
      </c>
      <c r="B76" s="650">
        <v>35</v>
      </c>
      <c r="C76" s="649">
        <v>28</v>
      </c>
      <c r="D76" s="649">
        <v>28</v>
      </c>
      <c r="E76" s="649">
        <v>85</v>
      </c>
      <c r="F76" s="649">
        <v>90</v>
      </c>
      <c r="G76" s="628"/>
      <c r="I76" s="57"/>
    </row>
    <row r="77" spans="1:9" ht="14.25" customHeight="1">
      <c r="A77" s="625" t="s">
        <v>124</v>
      </c>
      <c r="B77" s="650">
        <v>35</v>
      </c>
      <c r="C77" s="649">
        <v>28</v>
      </c>
      <c r="D77" s="649">
        <v>28</v>
      </c>
      <c r="E77" s="649">
        <v>45</v>
      </c>
      <c r="F77" s="649">
        <v>90</v>
      </c>
      <c r="G77" s="628"/>
      <c r="I77" s="57"/>
    </row>
    <row r="78" spans="1:9" ht="14.25" customHeight="1">
      <c r="A78" s="625" t="s">
        <v>125</v>
      </c>
      <c r="B78" s="650">
        <v>35</v>
      </c>
      <c r="C78" s="649">
        <v>28</v>
      </c>
      <c r="D78" s="649">
        <v>28</v>
      </c>
      <c r="E78" s="649">
        <v>45</v>
      </c>
      <c r="F78" s="649">
        <v>90</v>
      </c>
      <c r="G78" s="628"/>
      <c r="I78" s="57"/>
    </row>
    <row r="79" spans="1:9" ht="14.25" customHeight="1">
      <c r="A79" s="625" t="s">
        <v>126</v>
      </c>
      <c r="B79" s="650">
        <v>35</v>
      </c>
      <c r="C79" s="649">
        <v>28</v>
      </c>
      <c r="D79" s="649">
        <v>28</v>
      </c>
      <c r="E79" s="649">
        <v>45</v>
      </c>
      <c r="F79" s="649">
        <v>90</v>
      </c>
      <c r="G79" s="628"/>
      <c r="I79" s="57"/>
    </row>
    <row r="80" spans="1:9" ht="14.25" customHeight="1">
      <c r="A80" s="625" t="s">
        <v>127</v>
      </c>
      <c r="B80" s="650">
        <v>35</v>
      </c>
      <c r="C80" s="649">
        <v>28</v>
      </c>
      <c r="D80" s="649">
        <v>28</v>
      </c>
      <c r="E80" s="649">
        <v>45</v>
      </c>
      <c r="F80" s="649">
        <v>90</v>
      </c>
      <c r="G80" s="628"/>
      <c r="I80" s="57"/>
    </row>
    <row r="81" spans="1:9" ht="14.25" customHeight="1">
      <c r="A81" s="624" t="s">
        <v>487</v>
      </c>
      <c r="B81" s="86" t="s">
        <v>774</v>
      </c>
      <c r="C81" s="86" t="s">
        <v>773</v>
      </c>
      <c r="D81" s="86" t="s">
        <v>772</v>
      </c>
      <c r="E81" s="86" t="s">
        <v>89</v>
      </c>
      <c r="F81" s="86" t="s">
        <v>771</v>
      </c>
      <c r="G81" s="628"/>
      <c r="I81" s="620"/>
    </row>
    <row r="82" spans="1:9" ht="14.25" customHeight="1">
      <c r="A82" s="625" t="s">
        <v>488</v>
      </c>
      <c r="B82" s="650">
        <v>40</v>
      </c>
      <c r="C82" s="649">
        <v>32</v>
      </c>
      <c r="D82" s="649">
        <v>20</v>
      </c>
      <c r="E82" s="649">
        <v>150</v>
      </c>
      <c r="F82" s="649">
        <v>100</v>
      </c>
      <c r="G82" s="628"/>
      <c r="I82" s="57"/>
    </row>
    <row r="83" spans="1:9" ht="14.25" customHeight="1">
      <c r="A83" s="625" t="s">
        <v>73</v>
      </c>
      <c r="B83" s="650">
        <v>40</v>
      </c>
      <c r="C83" s="649">
        <v>32</v>
      </c>
      <c r="D83" s="649">
        <v>20</v>
      </c>
      <c r="E83" s="649">
        <v>150</v>
      </c>
      <c r="F83" s="649">
        <v>100</v>
      </c>
      <c r="G83" s="628"/>
      <c r="I83" s="57"/>
    </row>
    <row r="84" spans="1:9" ht="14.25" customHeight="1">
      <c r="A84" s="625" t="s">
        <v>489</v>
      </c>
      <c r="B84" s="650">
        <v>40</v>
      </c>
      <c r="C84" s="649">
        <v>32</v>
      </c>
      <c r="D84" s="649">
        <v>20</v>
      </c>
      <c r="E84" s="649">
        <v>200</v>
      </c>
      <c r="F84" s="649">
        <v>100</v>
      </c>
      <c r="G84" s="628"/>
      <c r="I84" s="57"/>
    </row>
    <row r="85" spans="1:9" ht="14.25" customHeight="1">
      <c r="A85" s="625" t="s">
        <v>490</v>
      </c>
      <c r="B85" s="650">
        <v>40</v>
      </c>
      <c r="C85" s="649">
        <v>32</v>
      </c>
      <c r="D85" s="649">
        <v>20</v>
      </c>
      <c r="E85" s="649">
        <v>150</v>
      </c>
      <c r="F85" s="649">
        <v>100</v>
      </c>
      <c r="G85" s="628"/>
      <c r="I85" s="57"/>
    </row>
    <row r="86" spans="1:9" ht="14.25" customHeight="1">
      <c r="A86" s="625" t="s">
        <v>491</v>
      </c>
      <c r="B86" s="650">
        <v>40</v>
      </c>
      <c r="C86" s="649">
        <v>32</v>
      </c>
      <c r="D86" s="649">
        <v>20</v>
      </c>
      <c r="E86" s="649">
        <v>150</v>
      </c>
      <c r="F86" s="649">
        <v>100</v>
      </c>
      <c r="G86" s="628"/>
      <c r="I86" s="57"/>
    </row>
    <row r="87" spans="1:9" ht="14.25" customHeight="1">
      <c r="A87" s="625" t="s">
        <v>785</v>
      </c>
      <c r="B87" s="650">
        <v>40</v>
      </c>
      <c r="C87" s="649">
        <v>32</v>
      </c>
      <c r="D87" s="649">
        <v>20</v>
      </c>
      <c r="E87" s="649">
        <v>150</v>
      </c>
      <c r="F87" s="649">
        <v>100</v>
      </c>
      <c r="G87" s="628"/>
      <c r="I87" s="57"/>
    </row>
    <row r="88" spans="1:9" ht="14.25" customHeight="1">
      <c r="A88" s="625" t="s">
        <v>784</v>
      </c>
      <c r="B88" s="650">
        <v>20</v>
      </c>
      <c r="C88" s="649">
        <v>16</v>
      </c>
      <c r="D88" s="649">
        <v>10</v>
      </c>
      <c r="E88" s="649">
        <v>150</v>
      </c>
      <c r="F88" s="649">
        <v>100</v>
      </c>
      <c r="G88" s="628"/>
      <c r="I88" s="57"/>
    </row>
    <row r="89" spans="1:9" ht="14.25" customHeight="1" thickBot="1">
      <c r="A89" s="87"/>
      <c r="B89" s="87"/>
      <c r="C89" s="89"/>
      <c r="D89" s="634"/>
      <c r="E89" s="90"/>
    </row>
    <row r="90" spans="1:9" ht="14.25" customHeight="1">
      <c r="A90" s="623" t="s">
        <v>30</v>
      </c>
      <c r="B90" s="61" t="s">
        <v>626</v>
      </c>
      <c r="C90" s="623"/>
    </row>
    <row r="91" spans="1:9" ht="14.25" customHeight="1">
      <c r="A91" s="620" t="s">
        <v>783</v>
      </c>
      <c r="B91" s="86" t="s">
        <v>774</v>
      </c>
      <c r="C91" s="86" t="s">
        <v>773</v>
      </c>
      <c r="D91" s="86" t="s">
        <v>772</v>
      </c>
      <c r="E91" s="86" t="s">
        <v>89</v>
      </c>
      <c r="F91" s="86" t="s">
        <v>771</v>
      </c>
    </row>
    <row r="92" spans="1:9" ht="14.25" customHeight="1">
      <c r="A92" s="621" t="s">
        <v>782</v>
      </c>
      <c r="B92" s="638">
        <v>37</v>
      </c>
      <c r="C92" s="644">
        <v>27.75</v>
      </c>
      <c r="D92" s="646" t="s">
        <v>765</v>
      </c>
      <c r="E92" s="628">
        <v>258</v>
      </c>
      <c r="F92" s="641">
        <v>92</v>
      </c>
    </row>
    <row r="93" spans="1:9" ht="14.25" customHeight="1">
      <c r="A93" s="621" t="s">
        <v>128</v>
      </c>
      <c r="B93" s="638">
        <v>33</v>
      </c>
      <c r="C93" s="644">
        <v>24.75</v>
      </c>
      <c r="D93" s="646" t="s">
        <v>765</v>
      </c>
      <c r="E93" s="628">
        <v>250</v>
      </c>
      <c r="F93" s="641">
        <v>92</v>
      </c>
    </row>
    <row r="94" spans="1:9" ht="14.25" customHeight="1">
      <c r="A94" s="648" t="s">
        <v>781</v>
      </c>
      <c r="B94" s="638">
        <v>2</v>
      </c>
      <c r="C94" s="644">
        <v>2</v>
      </c>
      <c r="D94" s="646" t="s">
        <v>765</v>
      </c>
      <c r="E94" s="628">
        <v>0</v>
      </c>
      <c r="F94" s="641">
        <v>0</v>
      </c>
    </row>
    <row r="95" spans="1:9" ht="14.25" customHeight="1">
      <c r="A95" s="621" t="s">
        <v>780</v>
      </c>
      <c r="B95" s="638">
        <v>25</v>
      </c>
      <c r="C95" s="644">
        <v>18.75</v>
      </c>
      <c r="D95" s="646" t="s">
        <v>765</v>
      </c>
      <c r="E95" s="628">
        <v>234</v>
      </c>
      <c r="F95" s="641">
        <v>92</v>
      </c>
    </row>
    <row r="96" spans="1:9" ht="14.25" customHeight="1">
      <c r="A96" s="621" t="s">
        <v>779</v>
      </c>
      <c r="B96" s="638">
        <v>30</v>
      </c>
      <c r="C96" s="644">
        <v>22.5</v>
      </c>
      <c r="D96" s="646" t="s">
        <v>765</v>
      </c>
      <c r="E96" s="628">
        <v>244</v>
      </c>
      <c r="F96" s="641">
        <v>92</v>
      </c>
    </row>
    <row r="97" spans="1:6" ht="14.25" customHeight="1">
      <c r="A97" s="621" t="s">
        <v>778</v>
      </c>
      <c r="B97" s="638">
        <v>12</v>
      </c>
      <c r="C97" s="644">
        <v>9</v>
      </c>
      <c r="D97" s="646" t="s">
        <v>765</v>
      </c>
      <c r="E97" s="628">
        <v>104</v>
      </c>
      <c r="F97" s="641">
        <v>92</v>
      </c>
    </row>
    <row r="98" spans="1:6" ht="14.25" customHeight="1">
      <c r="A98" s="621" t="s">
        <v>777</v>
      </c>
      <c r="B98" s="638">
        <v>7.5</v>
      </c>
      <c r="C98" s="644" t="s">
        <v>765</v>
      </c>
      <c r="D98" s="646" t="s">
        <v>765</v>
      </c>
      <c r="E98" s="628" t="s">
        <v>767</v>
      </c>
      <c r="F98" s="641">
        <v>92</v>
      </c>
    </row>
    <row r="99" spans="1:6" ht="14.25" customHeight="1">
      <c r="A99" s="621" t="s">
        <v>776</v>
      </c>
      <c r="B99" s="638">
        <v>20</v>
      </c>
      <c r="C99" s="644">
        <v>10</v>
      </c>
      <c r="D99" s="646" t="s">
        <v>765</v>
      </c>
      <c r="E99" s="628" t="s">
        <v>767</v>
      </c>
      <c r="F99" s="641">
        <v>92</v>
      </c>
    </row>
    <row r="100" spans="1:6" ht="14.25" customHeight="1">
      <c r="A100" s="624" t="s">
        <v>775</v>
      </c>
      <c r="B100" s="86" t="s">
        <v>774</v>
      </c>
      <c r="C100" s="86" t="s">
        <v>773</v>
      </c>
      <c r="D100" s="86" t="s">
        <v>772</v>
      </c>
      <c r="E100" s="86" t="s">
        <v>89</v>
      </c>
      <c r="F100" s="86" t="s">
        <v>771</v>
      </c>
    </row>
    <row r="101" spans="1:6" ht="14.25" customHeight="1">
      <c r="A101" s="621" t="s">
        <v>770</v>
      </c>
      <c r="B101" s="638">
        <v>40</v>
      </c>
      <c r="C101" s="644" t="s">
        <v>765</v>
      </c>
      <c r="D101" s="646" t="s">
        <v>765</v>
      </c>
      <c r="E101" s="628" t="s">
        <v>767</v>
      </c>
      <c r="F101" s="641">
        <v>92</v>
      </c>
    </row>
    <row r="102" spans="1:6" ht="14.25" customHeight="1">
      <c r="A102" s="648" t="s">
        <v>769</v>
      </c>
      <c r="B102" s="638">
        <v>10</v>
      </c>
      <c r="C102" s="644" t="s">
        <v>765</v>
      </c>
      <c r="D102" s="646" t="s">
        <v>765</v>
      </c>
      <c r="E102" s="628" t="s">
        <v>765</v>
      </c>
      <c r="F102" s="641" t="s">
        <v>765</v>
      </c>
    </row>
    <row r="103" spans="1:6" ht="14.25" customHeight="1">
      <c r="A103" s="621" t="s">
        <v>768</v>
      </c>
      <c r="B103" s="638">
        <v>17.5</v>
      </c>
      <c r="C103" s="644" t="s">
        <v>765</v>
      </c>
      <c r="D103" s="646" t="s">
        <v>765</v>
      </c>
      <c r="E103" s="628" t="s">
        <v>767</v>
      </c>
      <c r="F103" s="641">
        <v>92</v>
      </c>
    </row>
    <row r="104" spans="1:6" ht="14.25" customHeight="1">
      <c r="A104" s="622" t="s">
        <v>766</v>
      </c>
      <c r="B104" s="645">
        <v>7.5</v>
      </c>
      <c r="C104" s="644" t="s">
        <v>765</v>
      </c>
      <c r="D104" s="646" t="s">
        <v>765</v>
      </c>
      <c r="E104" s="628" t="s">
        <v>765</v>
      </c>
      <c r="F104" s="641" t="s">
        <v>765</v>
      </c>
    </row>
    <row r="105" spans="1:6" ht="14.25" customHeight="1">
      <c r="A105" s="648" t="s">
        <v>764</v>
      </c>
      <c r="B105" s="638"/>
      <c r="C105" s="644"/>
      <c r="D105" s="646"/>
      <c r="E105" s="628"/>
      <c r="F105" s="641"/>
    </row>
    <row r="106" spans="1:6" ht="14.25" customHeight="1">
      <c r="A106" s="647" t="s">
        <v>763</v>
      </c>
      <c r="B106" s="645"/>
      <c r="C106" s="644"/>
      <c r="D106" s="646"/>
      <c r="E106" s="628"/>
      <c r="F106" s="641"/>
    </row>
    <row r="107" spans="1:6" ht="14.25" customHeight="1">
      <c r="A107" s="622" t="s">
        <v>762</v>
      </c>
      <c r="B107" s="645">
        <v>1.83</v>
      </c>
      <c r="C107" s="644" t="s">
        <v>761</v>
      </c>
      <c r="D107" s="646"/>
      <c r="E107" s="628"/>
      <c r="F107" s="641"/>
    </row>
    <row r="108" spans="1:6" ht="14.25" customHeight="1">
      <c r="A108" s="622" t="s">
        <v>760</v>
      </c>
      <c r="B108" s="645">
        <v>5.5</v>
      </c>
      <c r="C108" s="644" t="s">
        <v>759</v>
      </c>
      <c r="D108" s="635"/>
      <c r="E108" s="628"/>
      <c r="F108" s="641"/>
    </row>
    <row r="109" spans="1:6" ht="14.25" customHeight="1" thickBot="1">
      <c r="A109" s="634"/>
      <c r="B109" s="643"/>
      <c r="C109" s="643"/>
      <c r="D109" s="643"/>
      <c r="E109" s="642"/>
      <c r="F109" s="641"/>
    </row>
    <row r="110" spans="1:6" ht="14.25" customHeight="1">
      <c r="A110" s="623" t="s">
        <v>32</v>
      </c>
      <c r="B110" s="61" t="s">
        <v>626</v>
      </c>
      <c r="C110" s="633"/>
    </row>
    <row r="111" spans="1:6" ht="14.25" customHeight="1">
      <c r="A111" s="620" t="s">
        <v>758</v>
      </c>
      <c r="B111" s="620" t="s">
        <v>757</v>
      </c>
      <c r="C111" s="620"/>
      <c r="E111" s="61"/>
    </row>
    <row r="112" spans="1:6" ht="14.25" customHeight="1">
      <c r="A112" s="480" t="s">
        <v>756</v>
      </c>
      <c r="B112" s="640">
        <v>40</v>
      </c>
      <c r="C112" s="480" t="s">
        <v>613</v>
      </c>
      <c r="E112" s="61"/>
    </row>
    <row r="113" spans="1:5" ht="14.25" customHeight="1">
      <c r="A113" s="480" t="s">
        <v>755</v>
      </c>
      <c r="B113" s="640">
        <v>40</v>
      </c>
      <c r="C113" s="480" t="s">
        <v>613</v>
      </c>
      <c r="E113" s="61"/>
    </row>
    <row r="114" spans="1:5" ht="14.25" customHeight="1">
      <c r="A114" s="620" t="s">
        <v>754</v>
      </c>
      <c r="B114" s="640"/>
      <c r="C114" s="620"/>
      <c r="E114" s="61"/>
    </row>
    <row r="115" spans="1:5" ht="14.25" customHeight="1">
      <c r="A115" s="480" t="s">
        <v>753</v>
      </c>
      <c r="B115" s="640">
        <v>4</v>
      </c>
      <c r="C115" s="480" t="s">
        <v>752</v>
      </c>
      <c r="E115" s="61"/>
    </row>
    <row r="116" spans="1:5" ht="14.25" customHeight="1">
      <c r="A116" s="480" t="s">
        <v>751</v>
      </c>
      <c r="B116" s="640">
        <v>40</v>
      </c>
      <c r="C116" s="480" t="s">
        <v>613</v>
      </c>
      <c r="E116" s="61"/>
    </row>
    <row r="117" spans="1:5" ht="14.25" customHeight="1">
      <c r="A117" s="480" t="s">
        <v>750</v>
      </c>
      <c r="B117" s="640">
        <v>80</v>
      </c>
      <c r="C117" s="480" t="s">
        <v>613</v>
      </c>
      <c r="E117" s="61"/>
    </row>
    <row r="118" spans="1:5" ht="14.25" customHeight="1" thickBot="1">
      <c r="A118" s="634"/>
      <c r="B118" s="634"/>
      <c r="C118" s="634"/>
      <c r="D118" s="634"/>
      <c r="E118" s="90"/>
    </row>
    <row r="119" spans="1:5" ht="14.25" customHeight="1">
      <c r="A119" s="623" t="s">
        <v>78</v>
      </c>
      <c r="B119" s="61" t="s">
        <v>626</v>
      </c>
      <c r="C119" s="622"/>
      <c r="D119" s="61"/>
    </row>
    <row r="120" spans="1:5" ht="14.25" customHeight="1">
      <c r="A120" s="624" t="s">
        <v>749</v>
      </c>
      <c r="B120" s="624" t="s">
        <v>673</v>
      </c>
      <c r="C120" s="630" t="s">
        <v>618</v>
      </c>
      <c r="D120" s="61"/>
      <c r="E120" s="61"/>
    </row>
    <row r="121" spans="1:5" ht="14.25" customHeight="1">
      <c r="A121" s="621" t="s">
        <v>748</v>
      </c>
      <c r="B121" s="638">
        <v>725</v>
      </c>
      <c r="C121" s="622" t="s">
        <v>742</v>
      </c>
      <c r="D121" s="61"/>
      <c r="E121" s="61"/>
    </row>
    <row r="122" spans="1:5" ht="14.25" customHeight="1">
      <c r="A122" s="621" t="s">
        <v>747</v>
      </c>
      <c r="B122" s="638">
        <v>1000</v>
      </c>
      <c r="C122" s="622" t="s">
        <v>742</v>
      </c>
      <c r="D122" s="61"/>
      <c r="E122" s="61"/>
    </row>
    <row r="123" spans="1:5" ht="14.25" customHeight="1">
      <c r="A123" s="621" t="s">
        <v>746</v>
      </c>
      <c r="B123" s="638">
        <v>1200</v>
      </c>
      <c r="C123" s="622" t="s">
        <v>742</v>
      </c>
      <c r="D123" s="61"/>
      <c r="E123" s="61"/>
    </row>
    <row r="124" spans="1:5" ht="14.25" customHeight="1">
      <c r="A124" s="621" t="s">
        <v>745</v>
      </c>
      <c r="B124" s="638">
        <v>1400</v>
      </c>
      <c r="C124" s="622" t="s">
        <v>742</v>
      </c>
      <c r="D124" s="61"/>
      <c r="E124" s="61"/>
    </row>
    <row r="125" spans="1:5" ht="14.25" customHeight="1">
      <c r="A125" s="621" t="s">
        <v>744</v>
      </c>
      <c r="B125" s="638">
        <v>1800</v>
      </c>
      <c r="C125" s="622" t="s">
        <v>742</v>
      </c>
      <c r="D125" s="61"/>
      <c r="E125" s="61"/>
    </row>
    <row r="126" spans="1:5" ht="14.25" customHeight="1">
      <c r="A126" s="621" t="s">
        <v>743</v>
      </c>
      <c r="B126" s="638">
        <v>2200</v>
      </c>
      <c r="C126" s="622" t="s">
        <v>742</v>
      </c>
      <c r="D126" s="61"/>
      <c r="E126" s="61"/>
    </row>
    <row r="127" spans="1:5" ht="14.25" customHeight="1">
      <c r="A127" s="624" t="s">
        <v>741</v>
      </c>
      <c r="B127" s="624" t="s">
        <v>673</v>
      </c>
      <c r="C127" s="630" t="s">
        <v>618</v>
      </c>
      <c r="D127" s="61"/>
      <c r="E127" s="61"/>
    </row>
    <row r="128" spans="1:5" ht="14.25" customHeight="1">
      <c r="A128" s="621" t="s">
        <v>740</v>
      </c>
      <c r="B128" s="638">
        <v>1200</v>
      </c>
      <c r="C128" s="622" t="s">
        <v>732</v>
      </c>
      <c r="D128" s="61"/>
      <c r="E128" s="61"/>
    </row>
    <row r="129" spans="1:5" ht="14.25" customHeight="1">
      <c r="A129" s="621" t="s">
        <v>739</v>
      </c>
      <c r="B129" s="638">
        <v>1850</v>
      </c>
      <c r="C129" s="622" t="s">
        <v>732</v>
      </c>
      <c r="D129" s="61"/>
      <c r="E129" s="61"/>
    </row>
    <row r="130" spans="1:5" ht="14.25" customHeight="1">
      <c r="A130" s="621" t="s">
        <v>738</v>
      </c>
      <c r="B130" s="638">
        <v>1080</v>
      </c>
      <c r="C130" s="622" t="s">
        <v>732</v>
      </c>
      <c r="D130" s="61"/>
      <c r="E130" s="61"/>
    </row>
    <row r="131" spans="1:5" ht="14.25" customHeight="1">
      <c r="A131" s="621" t="s">
        <v>737</v>
      </c>
      <c r="B131" s="638">
        <v>1350</v>
      </c>
      <c r="C131" s="622" t="s">
        <v>732</v>
      </c>
      <c r="D131" s="61"/>
      <c r="E131" s="61"/>
    </row>
    <row r="132" spans="1:5" ht="14.25" customHeight="1">
      <c r="A132" s="621" t="s">
        <v>736</v>
      </c>
      <c r="B132" s="638">
        <v>1475</v>
      </c>
      <c r="C132" s="622" t="s">
        <v>732</v>
      </c>
      <c r="D132" s="61"/>
      <c r="E132" s="61"/>
    </row>
    <row r="133" spans="1:5" ht="14.25" customHeight="1">
      <c r="A133" s="621" t="s">
        <v>735</v>
      </c>
      <c r="B133" s="638">
        <v>700</v>
      </c>
      <c r="C133" s="622" t="s">
        <v>732</v>
      </c>
      <c r="D133" s="61"/>
      <c r="E133" s="61"/>
    </row>
    <row r="134" spans="1:5" ht="14.25" customHeight="1">
      <c r="A134" s="621" t="s">
        <v>734</v>
      </c>
      <c r="B134" s="638">
        <v>550</v>
      </c>
      <c r="C134" s="622" t="s">
        <v>732</v>
      </c>
      <c r="D134" s="61"/>
      <c r="E134" s="61"/>
    </row>
    <row r="135" spans="1:5" ht="14.25" customHeight="1">
      <c r="A135" s="621" t="s">
        <v>733</v>
      </c>
      <c r="B135" s="638">
        <v>600</v>
      </c>
      <c r="C135" s="622" t="s">
        <v>732</v>
      </c>
      <c r="D135" s="61"/>
      <c r="E135" s="61"/>
    </row>
    <row r="136" spans="1:5" ht="14.25" customHeight="1">
      <c r="A136" s="624" t="s">
        <v>731</v>
      </c>
      <c r="B136" s="624" t="s">
        <v>673</v>
      </c>
      <c r="C136" s="630" t="s">
        <v>618</v>
      </c>
      <c r="D136" s="61"/>
      <c r="E136" s="61"/>
    </row>
    <row r="137" spans="1:5" ht="14.25" customHeight="1">
      <c r="A137" s="621" t="s">
        <v>730</v>
      </c>
      <c r="B137" s="638">
        <v>475</v>
      </c>
      <c r="C137" s="622" t="s">
        <v>723</v>
      </c>
      <c r="D137" s="61"/>
      <c r="E137" s="61"/>
    </row>
    <row r="138" spans="1:5" ht="14.25" customHeight="1">
      <c r="A138" s="621" t="s">
        <v>729</v>
      </c>
      <c r="B138" s="638">
        <v>825</v>
      </c>
      <c r="C138" s="622" t="s">
        <v>723</v>
      </c>
      <c r="D138" s="61"/>
      <c r="E138" s="61"/>
    </row>
    <row r="139" spans="1:5" ht="14.25" customHeight="1">
      <c r="A139" s="621" t="s">
        <v>728</v>
      </c>
      <c r="B139" s="638">
        <v>375</v>
      </c>
      <c r="C139" s="622" t="s">
        <v>723</v>
      </c>
      <c r="D139" s="61"/>
      <c r="E139" s="61"/>
    </row>
    <row r="140" spans="1:5" ht="14.25" customHeight="1">
      <c r="A140" s="621" t="s">
        <v>727</v>
      </c>
      <c r="B140" s="638">
        <v>825</v>
      </c>
      <c r="C140" s="622" t="s">
        <v>723</v>
      </c>
      <c r="D140" s="61"/>
      <c r="E140" s="61"/>
    </row>
    <row r="141" spans="1:5" ht="14.25" customHeight="1">
      <c r="A141" s="621" t="s">
        <v>726</v>
      </c>
      <c r="B141" s="638">
        <v>375</v>
      </c>
      <c r="C141" s="622" t="s">
        <v>723</v>
      </c>
      <c r="D141" s="61"/>
      <c r="E141" s="61"/>
    </row>
    <row r="142" spans="1:5" ht="14.25" customHeight="1">
      <c r="A142" s="621" t="s">
        <v>725</v>
      </c>
      <c r="B142" s="638">
        <v>1200</v>
      </c>
      <c r="C142" s="622" t="s">
        <v>723</v>
      </c>
      <c r="D142" s="61"/>
      <c r="E142" s="61"/>
    </row>
    <row r="143" spans="1:5" ht="14.25" customHeight="1">
      <c r="A143" s="621" t="s">
        <v>724</v>
      </c>
      <c r="B143" s="638">
        <v>550</v>
      </c>
      <c r="C143" s="622" t="s">
        <v>723</v>
      </c>
      <c r="D143" s="61"/>
      <c r="E143" s="61"/>
    </row>
    <row r="144" spans="1:5" ht="14.25" customHeight="1">
      <c r="A144" s="624" t="s">
        <v>722</v>
      </c>
      <c r="B144" s="624" t="s">
        <v>673</v>
      </c>
      <c r="C144" s="630" t="s">
        <v>618</v>
      </c>
      <c r="D144" s="61"/>
      <c r="E144" s="61"/>
    </row>
    <row r="145" spans="1:5" ht="14.25" customHeight="1">
      <c r="A145" s="621" t="s">
        <v>721</v>
      </c>
      <c r="B145" s="638">
        <v>200</v>
      </c>
      <c r="C145" s="622" t="s">
        <v>682</v>
      </c>
      <c r="D145" s="61"/>
      <c r="E145" s="61"/>
    </row>
    <row r="146" spans="1:5" ht="14.25" customHeight="1">
      <c r="A146" s="621" t="s">
        <v>720</v>
      </c>
      <c r="B146" s="638">
        <v>225</v>
      </c>
      <c r="C146" s="622" t="s">
        <v>682</v>
      </c>
      <c r="D146" s="61"/>
      <c r="E146" s="61"/>
    </row>
    <row r="147" spans="1:5" ht="14.25" customHeight="1">
      <c r="A147" s="621" t="s">
        <v>719</v>
      </c>
      <c r="B147" s="638">
        <v>275</v>
      </c>
      <c r="C147" s="622" t="s">
        <v>682</v>
      </c>
      <c r="D147" s="61"/>
      <c r="E147" s="61"/>
    </row>
    <row r="148" spans="1:5" ht="14.25" customHeight="1">
      <c r="A148" s="621" t="s">
        <v>718</v>
      </c>
      <c r="B148" s="638">
        <v>325</v>
      </c>
      <c r="C148" s="622" t="s">
        <v>682</v>
      </c>
      <c r="D148" s="61"/>
      <c r="E148" s="61"/>
    </row>
    <row r="149" spans="1:5" ht="14.25" customHeight="1">
      <c r="A149" s="621" t="s">
        <v>717</v>
      </c>
      <c r="B149" s="638">
        <v>400</v>
      </c>
      <c r="C149" s="622" t="s">
        <v>682</v>
      </c>
      <c r="D149" s="61"/>
      <c r="E149" s="61"/>
    </row>
    <row r="150" spans="1:5" ht="14.25" customHeight="1">
      <c r="A150" s="621" t="s">
        <v>716</v>
      </c>
      <c r="B150" s="638">
        <v>1200</v>
      </c>
      <c r="C150" s="622" t="s">
        <v>682</v>
      </c>
      <c r="D150" s="61"/>
      <c r="E150" s="61"/>
    </row>
    <row r="151" spans="1:5" ht="14.25" customHeight="1">
      <c r="A151" s="621" t="s">
        <v>715</v>
      </c>
      <c r="B151" s="638">
        <v>2000</v>
      </c>
      <c r="C151" s="622" t="s">
        <v>682</v>
      </c>
      <c r="D151" s="61"/>
      <c r="E151" s="61"/>
    </row>
    <row r="152" spans="1:5" ht="14.25" customHeight="1">
      <c r="A152" s="621" t="s">
        <v>714</v>
      </c>
      <c r="B152" s="638">
        <v>250</v>
      </c>
      <c r="C152" s="622" t="s">
        <v>682</v>
      </c>
      <c r="D152" s="61"/>
      <c r="E152" s="61"/>
    </row>
    <row r="153" spans="1:5" ht="14.25" customHeight="1">
      <c r="A153" s="621" t="s">
        <v>713</v>
      </c>
      <c r="B153" s="638">
        <v>300</v>
      </c>
      <c r="C153" s="622" t="s">
        <v>682</v>
      </c>
      <c r="D153" s="61"/>
      <c r="E153" s="61"/>
    </row>
    <row r="154" spans="1:5" ht="14.25" customHeight="1">
      <c r="A154" s="621" t="s">
        <v>712</v>
      </c>
      <c r="B154" s="638">
        <v>200</v>
      </c>
      <c r="C154" s="622" t="s">
        <v>682</v>
      </c>
      <c r="D154" s="61"/>
      <c r="E154" s="61"/>
    </row>
    <row r="155" spans="1:5" ht="14.25" customHeight="1">
      <c r="A155" s="621" t="s">
        <v>711</v>
      </c>
      <c r="B155" s="638">
        <v>300</v>
      </c>
      <c r="C155" s="622" t="s">
        <v>682</v>
      </c>
      <c r="D155" s="61"/>
      <c r="E155" s="61"/>
    </row>
    <row r="156" spans="1:5" ht="14.25" customHeight="1">
      <c r="A156" s="621" t="s">
        <v>710</v>
      </c>
      <c r="B156" s="638">
        <v>120</v>
      </c>
      <c r="C156" s="622" t="s">
        <v>682</v>
      </c>
      <c r="D156" s="61"/>
      <c r="E156" s="61"/>
    </row>
    <row r="157" spans="1:5" ht="14.25" customHeight="1">
      <c r="A157" s="621" t="s">
        <v>709</v>
      </c>
      <c r="B157" s="638">
        <v>150</v>
      </c>
      <c r="C157" s="622" t="s">
        <v>682</v>
      </c>
      <c r="D157" s="61"/>
      <c r="E157" s="61"/>
    </row>
    <row r="158" spans="1:5" ht="14.25" customHeight="1">
      <c r="A158" s="621" t="s">
        <v>708</v>
      </c>
      <c r="B158" s="638">
        <v>200</v>
      </c>
      <c r="C158" s="622" t="s">
        <v>682</v>
      </c>
      <c r="D158" s="61"/>
      <c r="E158" s="61"/>
    </row>
    <row r="159" spans="1:5" ht="14.25" customHeight="1">
      <c r="A159" s="621" t="s">
        <v>707</v>
      </c>
      <c r="B159" s="638">
        <v>200</v>
      </c>
      <c r="C159" s="622" t="s">
        <v>682</v>
      </c>
      <c r="D159" s="61"/>
      <c r="E159" s="61"/>
    </row>
    <row r="160" spans="1:5" ht="14.25" customHeight="1">
      <c r="A160" s="621" t="s">
        <v>706</v>
      </c>
      <c r="B160" s="638">
        <v>275</v>
      </c>
      <c r="C160" s="622" t="s">
        <v>682</v>
      </c>
      <c r="D160" s="61"/>
      <c r="E160" s="61"/>
    </row>
    <row r="161" spans="1:5" ht="14.25" customHeight="1">
      <c r="A161" s="621" t="s">
        <v>705</v>
      </c>
      <c r="B161" s="638">
        <v>350</v>
      </c>
      <c r="C161" s="622" t="s">
        <v>682</v>
      </c>
      <c r="D161" s="61"/>
      <c r="E161" s="61"/>
    </row>
    <row r="162" spans="1:5" ht="14.25" customHeight="1">
      <c r="A162" s="621" t="s">
        <v>704</v>
      </c>
      <c r="B162" s="638">
        <v>15</v>
      </c>
      <c r="C162" s="622" t="s">
        <v>682</v>
      </c>
      <c r="D162" s="61"/>
      <c r="E162" s="61"/>
    </row>
    <row r="163" spans="1:5" ht="14.25" customHeight="1">
      <c r="A163" s="624" t="s">
        <v>703</v>
      </c>
      <c r="B163" s="624" t="s">
        <v>673</v>
      </c>
      <c r="C163" s="630" t="s">
        <v>618</v>
      </c>
      <c r="D163" s="61"/>
      <c r="E163" s="61"/>
    </row>
    <row r="164" spans="1:5" ht="14.25" customHeight="1">
      <c r="A164" s="621" t="s">
        <v>702</v>
      </c>
      <c r="B164" s="638">
        <v>25</v>
      </c>
      <c r="C164" s="622" t="s">
        <v>682</v>
      </c>
      <c r="D164" s="61"/>
      <c r="E164" s="61"/>
    </row>
    <row r="165" spans="1:5" ht="14.25" customHeight="1">
      <c r="A165" s="621" t="s">
        <v>701</v>
      </c>
      <c r="B165" s="638">
        <v>15</v>
      </c>
      <c r="C165" s="622" t="s">
        <v>682</v>
      </c>
      <c r="D165" s="61"/>
      <c r="E165" s="61"/>
    </row>
    <row r="166" spans="1:5" ht="14.25" customHeight="1">
      <c r="A166" s="624" t="s">
        <v>700</v>
      </c>
      <c r="B166" s="624" t="s">
        <v>673</v>
      </c>
      <c r="C166" s="630" t="s">
        <v>618</v>
      </c>
      <c r="D166" s="61"/>
      <c r="E166" s="61"/>
    </row>
    <row r="167" spans="1:5" ht="14.25" customHeight="1">
      <c r="A167" s="621" t="s">
        <v>699</v>
      </c>
      <c r="B167" s="638">
        <v>420</v>
      </c>
      <c r="C167" s="622" t="s">
        <v>682</v>
      </c>
      <c r="D167" s="61"/>
      <c r="E167" s="61"/>
    </row>
    <row r="168" spans="1:5" ht="14.25" customHeight="1">
      <c r="A168" s="621" t="s">
        <v>698</v>
      </c>
      <c r="B168" s="638">
        <v>45</v>
      </c>
      <c r="C168" s="622" t="s">
        <v>682</v>
      </c>
      <c r="D168" s="61"/>
      <c r="E168" s="61"/>
    </row>
    <row r="169" spans="1:5" ht="14.25" customHeight="1">
      <c r="A169" s="624" t="s">
        <v>79</v>
      </c>
      <c r="B169" s="624" t="s">
        <v>673</v>
      </c>
      <c r="C169" s="630" t="s">
        <v>618</v>
      </c>
      <c r="D169" s="61"/>
      <c r="E169" s="61"/>
    </row>
    <row r="170" spans="1:5" ht="14.25" customHeight="1">
      <c r="A170" s="621" t="s">
        <v>697</v>
      </c>
      <c r="B170" s="639" t="s">
        <v>694</v>
      </c>
      <c r="C170" s="622" t="s">
        <v>682</v>
      </c>
      <c r="D170" s="61"/>
      <c r="E170" s="61"/>
    </row>
    <row r="171" spans="1:5" ht="14.25" customHeight="1">
      <c r="A171" s="621" t="s">
        <v>696</v>
      </c>
      <c r="B171" s="639" t="s">
        <v>694</v>
      </c>
      <c r="C171" s="622" t="s">
        <v>682</v>
      </c>
      <c r="D171" s="61"/>
      <c r="E171" s="61"/>
    </row>
    <row r="172" spans="1:5" ht="14.25" customHeight="1">
      <c r="A172" s="621" t="s">
        <v>695</v>
      </c>
      <c r="B172" s="639" t="s">
        <v>694</v>
      </c>
      <c r="C172" s="622" t="s">
        <v>682</v>
      </c>
      <c r="D172" s="61"/>
      <c r="E172" s="61"/>
    </row>
    <row r="173" spans="1:5" ht="14.25" customHeight="1">
      <c r="A173" s="624" t="s">
        <v>693</v>
      </c>
      <c r="B173" s="624" t="s">
        <v>673</v>
      </c>
      <c r="C173" s="630" t="s">
        <v>618</v>
      </c>
      <c r="D173" s="61"/>
      <c r="E173" s="61"/>
    </row>
    <row r="174" spans="1:5" ht="14.25" customHeight="1">
      <c r="A174" s="621" t="s">
        <v>692</v>
      </c>
      <c r="B174" s="638">
        <v>2</v>
      </c>
      <c r="C174" s="627" t="s">
        <v>682</v>
      </c>
      <c r="D174" s="61"/>
      <c r="E174" s="61"/>
    </row>
    <row r="175" spans="1:5" ht="14.25" customHeight="1">
      <c r="A175" s="621" t="s">
        <v>691</v>
      </c>
      <c r="B175" s="638">
        <v>4</v>
      </c>
      <c r="C175" s="627" t="s">
        <v>682</v>
      </c>
      <c r="D175" s="61"/>
      <c r="E175" s="61"/>
    </row>
    <row r="176" spans="1:5" ht="14.25" customHeight="1">
      <c r="A176" s="621" t="s">
        <v>690</v>
      </c>
      <c r="B176" s="638">
        <v>46</v>
      </c>
      <c r="C176" s="627" t="s">
        <v>688</v>
      </c>
      <c r="D176" s="61"/>
      <c r="E176" s="61"/>
    </row>
    <row r="177" spans="1:5" ht="14.25" customHeight="1">
      <c r="A177" s="621" t="s">
        <v>689</v>
      </c>
      <c r="B177" s="638">
        <v>68</v>
      </c>
      <c r="C177" s="627" t="s">
        <v>688</v>
      </c>
      <c r="D177" s="61"/>
      <c r="E177" s="61"/>
    </row>
    <row r="178" spans="1:5" ht="14.25" customHeight="1">
      <c r="A178" s="621" t="s">
        <v>687</v>
      </c>
      <c r="B178" s="638">
        <v>5</v>
      </c>
      <c r="C178" s="627" t="s">
        <v>682</v>
      </c>
      <c r="D178" s="61"/>
      <c r="E178" s="61"/>
    </row>
    <row r="179" spans="1:5" ht="14.25" customHeight="1">
      <c r="A179" s="624" t="s">
        <v>80</v>
      </c>
      <c r="B179" s="624" t="s">
        <v>673</v>
      </c>
      <c r="C179" s="630" t="s">
        <v>618</v>
      </c>
      <c r="D179" s="61"/>
      <c r="E179" s="61"/>
    </row>
    <row r="180" spans="1:5" ht="14.25" customHeight="1">
      <c r="A180" s="621" t="s">
        <v>686</v>
      </c>
      <c r="B180" s="638">
        <v>22</v>
      </c>
      <c r="C180" s="627" t="s">
        <v>682</v>
      </c>
      <c r="D180" s="61"/>
      <c r="E180" s="61"/>
    </row>
    <row r="181" spans="1:5" ht="14.25" customHeight="1">
      <c r="A181" s="621" t="s">
        <v>685</v>
      </c>
      <c r="B181" s="638">
        <v>32</v>
      </c>
      <c r="C181" s="627" t="s">
        <v>682</v>
      </c>
      <c r="D181" s="61"/>
      <c r="E181" s="61"/>
    </row>
    <row r="182" spans="1:5" ht="14.25" customHeight="1">
      <c r="A182" s="624" t="s">
        <v>684</v>
      </c>
      <c r="B182" s="624" t="s">
        <v>673</v>
      </c>
      <c r="C182" s="630" t="s">
        <v>618</v>
      </c>
      <c r="D182" s="61"/>
      <c r="E182" s="61"/>
    </row>
    <row r="183" spans="1:5" ht="14.25" customHeight="1">
      <c r="A183" s="621" t="s">
        <v>683</v>
      </c>
      <c r="B183" s="638">
        <v>75</v>
      </c>
      <c r="C183" s="627" t="s">
        <v>682</v>
      </c>
      <c r="D183" s="61"/>
      <c r="E183" s="61"/>
    </row>
    <row r="184" spans="1:5" ht="14.25" customHeight="1">
      <c r="A184" s="624" t="s">
        <v>681</v>
      </c>
      <c r="B184" s="624" t="s">
        <v>673</v>
      </c>
      <c r="C184" s="630" t="s">
        <v>618</v>
      </c>
      <c r="D184" s="61"/>
      <c r="E184" s="61"/>
    </row>
    <row r="185" spans="1:5" ht="14.25" customHeight="1">
      <c r="A185" s="621" t="s">
        <v>680</v>
      </c>
      <c r="B185" s="638">
        <v>120</v>
      </c>
      <c r="C185" s="627" t="s">
        <v>679</v>
      </c>
      <c r="D185" s="61"/>
      <c r="E185" s="61"/>
    </row>
    <row r="186" spans="1:5" ht="14.25" customHeight="1">
      <c r="A186" s="621" t="s">
        <v>678</v>
      </c>
      <c r="B186" s="638">
        <v>100</v>
      </c>
      <c r="C186" s="627" t="s">
        <v>615</v>
      </c>
      <c r="D186" s="61"/>
      <c r="E186" s="61"/>
    </row>
    <row r="187" spans="1:5" ht="14.25" customHeight="1">
      <c r="A187" s="621" t="s">
        <v>677</v>
      </c>
      <c r="B187" s="638">
        <v>100</v>
      </c>
      <c r="C187" s="627" t="s">
        <v>676</v>
      </c>
      <c r="D187" s="61"/>
      <c r="E187" s="61"/>
    </row>
    <row r="188" spans="1:5" ht="14.25" customHeight="1">
      <c r="A188" s="621" t="s">
        <v>675</v>
      </c>
      <c r="B188" s="638">
        <v>50</v>
      </c>
      <c r="C188" s="627" t="s">
        <v>615</v>
      </c>
      <c r="D188" s="61"/>
      <c r="E188" s="61"/>
    </row>
    <row r="189" spans="1:5" ht="14.25" customHeight="1">
      <c r="A189" s="624" t="s">
        <v>674</v>
      </c>
      <c r="B189" s="624" t="s">
        <v>673</v>
      </c>
      <c r="C189" s="630" t="s">
        <v>618</v>
      </c>
      <c r="D189" s="61"/>
      <c r="E189" s="61"/>
    </row>
    <row r="190" spans="1:5" ht="14.25" customHeight="1">
      <c r="A190" s="621" t="s">
        <v>672</v>
      </c>
      <c r="B190" s="638">
        <v>25</v>
      </c>
      <c r="C190" s="627" t="s">
        <v>671</v>
      </c>
      <c r="D190" s="61"/>
      <c r="E190" s="61"/>
    </row>
    <row r="191" spans="1:5" ht="14.25" customHeight="1" thickBot="1">
      <c r="A191" s="90"/>
      <c r="B191" s="90"/>
      <c r="C191" s="90"/>
      <c r="D191" s="90"/>
      <c r="E191" s="90"/>
    </row>
    <row r="192" spans="1:5" ht="14.25" customHeight="1">
      <c r="A192" s="626" t="s">
        <v>136</v>
      </c>
      <c r="B192" s="637" t="s">
        <v>670</v>
      </c>
      <c r="C192" s="626"/>
      <c r="D192" s="61"/>
      <c r="E192" s="61"/>
    </row>
    <row r="193" spans="1:5" ht="14.25" customHeight="1">
      <c r="A193" s="619" t="s">
        <v>669</v>
      </c>
      <c r="B193" s="619" t="s">
        <v>619</v>
      </c>
      <c r="C193" s="619" t="s">
        <v>668</v>
      </c>
      <c r="D193" s="619"/>
      <c r="E193" s="636"/>
    </row>
    <row r="194" spans="1:5" ht="14.25" customHeight="1">
      <c r="A194" s="617" t="s">
        <v>130</v>
      </c>
      <c r="B194" s="635">
        <v>21.01</v>
      </c>
      <c r="C194" s="635">
        <v>195</v>
      </c>
    </row>
    <row r="195" spans="1:5" ht="14.25" customHeight="1">
      <c r="A195" s="617" t="s">
        <v>131</v>
      </c>
      <c r="B195" s="635">
        <v>33.799999999999997</v>
      </c>
      <c r="C195" s="635">
        <v>195</v>
      </c>
    </row>
    <row r="196" spans="1:5" ht="14.25" customHeight="1">
      <c r="A196" s="618" t="s">
        <v>132</v>
      </c>
      <c r="B196" s="635">
        <v>33.799999999999997</v>
      </c>
      <c r="C196" s="635">
        <v>195</v>
      </c>
    </row>
    <row r="197" spans="1:5" ht="14.25" customHeight="1">
      <c r="A197" s="617" t="s">
        <v>83</v>
      </c>
      <c r="B197" s="635">
        <v>34.57</v>
      </c>
      <c r="C197" s="635">
        <v>195</v>
      </c>
    </row>
    <row r="198" spans="1:5" ht="14.25" customHeight="1">
      <c r="A198" s="617" t="s">
        <v>81</v>
      </c>
      <c r="B198" s="635">
        <v>23.16</v>
      </c>
      <c r="C198" s="635">
        <v>195</v>
      </c>
    </row>
    <row r="199" spans="1:5" ht="14.25" customHeight="1">
      <c r="A199" s="617" t="s">
        <v>85</v>
      </c>
      <c r="B199" s="635">
        <v>44.28</v>
      </c>
      <c r="C199" s="635">
        <v>195</v>
      </c>
    </row>
    <row r="200" spans="1:5" ht="14.25" customHeight="1">
      <c r="A200" s="617" t="s">
        <v>84</v>
      </c>
      <c r="B200" s="635">
        <v>72.34</v>
      </c>
      <c r="C200" s="635">
        <v>75</v>
      </c>
    </row>
    <row r="201" spans="1:5" ht="14.25" customHeight="1">
      <c r="A201" s="617" t="s">
        <v>82</v>
      </c>
      <c r="B201" s="635">
        <v>30.97</v>
      </c>
      <c r="C201" s="635">
        <v>75</v>
      </c>
    </row>
    <row r="202" spans="1:5" ht="14.25" customHeight="1">
      <c r="A202" s="617" t="s">
        <v>667</v>
      </c>
      <c r="B202" s="635">
        <v>32.520000000000003</v>
      </c>
      <c r="C202" s="635">
        <v>195</v>
      </c>
    </row>
    <row r="203" spans="1:5" ht="14.25" customHeight="1">
      <c r="A203" s="617" t="s">
        <v>666</v>
      </c>
      <c r="B203" s="635">
        <v>1.51</v>
      </c>
      <c r="C203" s="635">
        <v>60</v>
      </c>
    </row>
    <row r="204" spans="1:5" ht="14.25" customHeight="1">
      <c r="A204" s="617" t="s">
        <v>133</v>
      </c>
      <c r="B204" s="635">
        <v>6.95</v>
      </c>
      <c r="C204" s="635">
        <v>45</v>
      </c>
    </row>
    <row r="205" spans="1:5" ht="14.25" customHeight="1">
      <c r="A205" s="617" t="s">
        <v>665</v>
      </c>
      <c r="B205" s="635">
        <v>1.06</v>
      </c>
      <c r="C205" s="635">
        <v>40</v>
      </c>
    </row>
    <row r="206" spans="1:5" ht="14.25" customHeight="1">
      <c r="A206" s="617" t="s">
        <v>664</v>
      </c>
      <c r="B206" s="635">
        <v>1.06</v>
      </c>
      <c r="C206" s="635">
        <v>40</v>
      </c>
    </row>
    <row r="207" spans="1:5" ht="14.25" customHeight="1">
      <c r="A207" s="617" t="s">
        <v>134</v>
      </c>
      <c r="B207" s="635">
        <v>43.36</v>
      </c>
      <c r="C207" s="635">
        <v>195</v>
      </c>
    </row>
    <row r="208" spans="1:5" ht="14.25" customHeight="1">
      <c r="A208" s="617" t="s">
        <v>135</v>
      </c>
      <c r="B208" s="635">
        <v>30.97</v>
      </c>
      <c r="C208" s="635">
        <v>195</v>
      </c>
    </row>
    <row r="209" spans="1:5" ht="14.25" customHeight="1">
      <c r="A209" s="617" t="s">
        <v>663</v>
      </c>
      <c r="B209" s="635">
        <v>0.41</v>
      </c>
      <c r="C209" s="635">
        <v>55</v>
      </c>
    </row>
    <row r="210" spans="1:5" ht="14.25" customHeight="1">
      <c r="A210" s="617" t="s">
        <v>86</v>
      </c>
      <c r="B210" s="635">
        <v>19.7</v>
      </c>
      <c r="C210" s="635">
        <v>50</v>
      </c>
    </row>
    <row r="211" spans="1:5" ht="14.25" customHeight="1">
      <c r="A211" s="617" t="s">
        <v>662</v>
      </c>
      <c r="B211" s="635">
        <v>51.72</v>
      </c>
      <c r="C211" s="635">
        <v>205</v>
      </c>
    </row>
    <row r="212" spans="1:5" ht="14.25" customHeight="1">
      <c r="A212" s="617" t="s">
        <v>137</v>
      </c>
      <c r="B212" s="635">
        <v>93.05</v>
      </c>
      <c r="C212" s="635">
        <v>0</v>
      </c>
    </row>
    <row r="213" spans="1:5" ht="14.25" customHeight="1">
      <c r="A213" s="617" t="s">
        <v>661</v>
      </c>
      <c r="B213" s="635">
        <v>1.1499999999999999</v>
      </c>
      <c r="C213" s="635">
        <v>50</v>
      </c>
    </row>
    <row r="214" spans="1:5" ht="14.25" customHeight="1">
      <c r="A214" s="617" t="s">
        <v>660</v>
      </c>
      <c r="B214" s="635">
        <v>29.81</v>
      </c>
      <c r="C214" s="635">
        <v>220</v>
      </c>
    </row>
    <row r="215" spans="1:5" ht="14.25" customHeight="1">
      <c r="A215" s="617" t="s">
        <v>659</v>
      </c>
      <c r="B215" s="635">
        <v>1.1499999999999999</v>
      </c>
      <c r="C215" s="635">
        <v>98</v>
      </c>
    </row>
    <row r="216" spans="1:5" ht="14.25" customHeight="1">
      <c r="A216" s="617" t="s">
        <v>138</v>
      </c>
      <c r="B216" s="635">
        <v>26.55</v>
      </c>
      <c r="C216" s="635">
        <v>53</v>
      </c>
    </row>
    <row r="217" spans="1:5" ht="14.25" customHeight="1">
      <c r="A217" s="617" t="s">
        <v>139</v>
      </c>
      <c r="B217" s="635">
        <v>39.75</v>
      </c>
      <c r="C217" s="635">
        <v>195</v>
      </c>
    </row>
    <row r="218" spans="1:5" ht="14.25" customHeight="1">
      <c r="A218" s="617" t="s">
        <v>658</v>
      </c>
      <c r="B218" s="635"/>
      <c r="C218" s="617"/>
    </row>
    <row r="219" spans="1:5" ht="14.25" customHeight="1" thickBot="1">
      <c r="A219" s="634"/>
      <c r="B219" s="634"/>
      <c r="C219" s="634"/>
      <c r="D219" s="634"/>
      <c r="E219" s="634"/>
    </row>
    <row r="220" spans="1:5" ht="14.25" customHeight="1">
      <c r="A220" s="623" t="s">
        <v>87</v>
      </c>
      <c r="B220" s="621" t="s">
        <v>626</v>
      </c>
      <c r="C220" s="633"/>
      <c r="E220" s="61"/>
    </row>
    <row r="221" spans="1:5" ht="14.25" customHeight="1">
      <c r="A221" s="620" t="s">
        <v>88</v>
      </c>
      <c r="B221" s="620" t="s">
        <v>31</v>
      </c>
      <c r="C221" s="620" t="s">
        <v>618</v>
      </c>
      <c r="E221" s="61"/>
    </row>
    <row r="222" spans="1:5" ht="14.25" customHeight="1">
      <c r="A222" s="621" t="s">
        <v>657</v>
      </c>
      <c r="B222" s="632">
        <v>70.2</v>
      </c>
      <c r="C222" s="57" t="s">
        <v>615</v>
      </c>
      <c r="E222" s="61"/>
    </row>
    <row r="223" spans="1:5" ht="14.25" customHeight="1">
      <c r="A223" s="621" t="s">
        <v>656</v>
      </c>
      <c r="B223" s="478">
        <v>95</v>
      </c>
      <c r="C223" s="57" t="s">
        <v>615</v>
      </c>
      <c r="E223" s="61"/>
    </row>
    <row r="224" spans="1:5" ht="14.25" customHeight="1">
      <c r="A224" s="621" t="s">
        <v>655</v>
      </c>
      <c r="B224" s="478">
        <v>50</v>
      </c>
      <c r="C224" s="57" t="s">
        <v>615</v>
      </c>
      <c r="E224" s="61"/>
    </row>
    <row r="225" spans="1:5" ht="14.25" customHeight="1">
      <c r="A225" s="621" t="s">
        <v>654</v>
      </c>
      <c r="B225" s="478">
        <v>120</v>
      </c>
      <c r="C225" s="57" t="s">
        <v>615</v>
      </c>
      <c r="D225" s="61"/>
      <c r="E225" s="61"/>
    </row>
    <row r="226" spans="1:5" ht="14.25" customHeight="1">
      <c r="A226" s="621" t="s">
        <v>653</v>
      </c>
      <c r="B226" s="478">
        <v>30</v>
      </c>
      <c r="C226" s="57" t="s">
        <v>615</v>
      </c>
      <c r="D226" s="61"/>
      <c r="E226" s="61"/>
    </row>
    <row r="227" spans="1:5" ht="14.25" customHeight="1">
      <c r="A227" s="621" t="s">
        <v>652</v>
      </c>
      <c r="B227" s="478">
        <v>30</v>
      </c>
      <c r="C227" s="57" t="s">
        <v>615</v>
      </c>
      <c r="D227" s="61"/>
      <c r="E227" s="61"/>
    </row>
    <row r="228" spans="1:5" ht="14.25" customHeight="1">
      <c r="A228" s="621" t="s">
        <v>140</v>
      </c>
      <c r="B228" s="478">
        <v>35</v>
      </c>
      <c r="C228" s="57" t="s">
        <v>615</v>
      </c>
      <c r="D228" s="61"/>
      <c r="E228" s="61"/>
    </row>
    <row r="229" spans="1:5" ht="14.25" customHeight="1">
      <c r="A229" s="621" t="s">
        <v>651</v>
      </c>
      <c r="B229" s="478">
        <v>30</v>
      </c>
      <c r="C229" s="57" t="s">
        <v>615</v>
      </c>
      <c r="D229" s="61"/>
      <c r="E229" s="61"/>
    </row>
    <row r="230" spans="1:5" ht="14.25" customHeight="1" thickBot="1">
      <c r="A230" s="90"/>
      <c r="B230" s="90"/>
      <c r="C230" s="90"/>
      <c r="D230" s="90"/>
      <c r="E230" s="90"/>
    </row>
    <row r="231" spans="1:5" ht="14.25" customHeight="1">
      <c r="A231" s="85" t="s">
        <v>104</v>
      </c>
      <c r="B231" s="61" t="s">
        <v>626</v>
      </c>
      <c r="C231" s="61"/>
      <c r="D231" s="61"/>
    </row>
    <row r="232" spans="1:5" ht="14.25" customHeight="1">
      <c r="A232" s="86" t="s">
        <v>108</v>
      </c>
      <c r="B232" s="61"/>
      <c r="C232" s="61"/>
      <c r="D232" s="61"/>
      <c r="E232" s="61"/>
    </row>
    <row r="233" spans="1:5" ht="14.25" customHeight="1">
      <c r="A233" s="631" t="s">
        <v>650</v>
      </c>
      <c r="B233" s="61" t="s">
        <v>649</v>
      </c>
      <c r="C233" s="61"/>
      <c r="D233" s="61"/>
      <c r="E233" s="61"/>
    </row>
    <row r="234" spans="1:5" ht="14.25" customHeight="1">
      <c r="A234" s="631" t="s">
        <v>648</v>
      </c>
      <c r="B234" s="61" t="s">
        <v>647</v>
      </c>
      <c r="C234" s="61"/>
      <c r="D234" s="61"/>
      <c r="E234" s="61"/>
    </row>
    <row r="235" spans="1:5" ht="14.25" customHeight="1">
      <c r="A235" s="631" t="s">
        <v>646</v>
      </c>
      <c r="B235" s="61" t="s">
        <v>645</v>
      </c>
      <c r="C235" s="61"/>
      <c r="D235" s="61"/>
      <c r="E235" s="61"/>
    </row>
    <row r="236" spans="1:5" ht="14.25" customHeight="1">
      <c r="A236" s="631" t="s">
        <v>644</v>
      </c>
      <c r="B236" s="61" t="s">
        <v>643</v>
      </c>
      <c r="C236" s="61"/>
      <c r="D236" s="61"/>
      <c r="E236" s="61"/>
    </row>
    <row r="237" spans="1:5" ht="14.25" customHeight="1">
      <c r="A237" s="631" t="s">
        <v>642</v>
      </c>
      <c r="B237" s="61" t="s">
        <v>641</v>
      </c>
      <c r="C237" s="61"/>
      <c r="D237" s="61"/>
      <c r="E237" s="61"/>
    </row>
    <row r="238" spans="1:5" ht="14.25" customHeight="1">
      <c r="A238" s="631" t="s">
        <v>640</v>
      </c>
      <c r="B238" s="61" t="s">
        <v>639</v>
      </c>
      <c r="C238" s="61"/>
      <c r="D238" s="61"/>
      <c r="E238" s="61"/>
    </row>
    <row r="239" spans="1:5" ht="14.25" customHeight="1">
      <c r="A239" s="631" t="s">
        <v>638</v>
      </c>
      <c r="B239" s="61" t="s">
        <v>637</v>
      </c>
      <c r="C239" s="61"/>
      <c r="D239" s="61"/>
      <c r="E239" s="61"/>
    </row>
    <row r="240" spans="1:5" ht="14.25" customHeight="1">
      <c r="A240" s="631" t="s">
        <v>636</v>
      </c>
      <c r="B240" s="61" t="s">
        <v>635</v>
      </c>
      <c r="C240" s="61"/>
      <c r="D240" s="61"/>
      <c r="E240" s="61"/>
    </row>
    <row r="241" spans="1:5" ht="14.25" customHeight="1">
      <c r="A241" s="631" t="s">
        <v>634</v>
      </c>
      <c r="B241" s="61" t="s">
        <v>633</v>
      </c>
      <c r="C241" s="61"/>
      <c r="D241" s="61"/>
      <c r="E241" s="61"/>
    </row>
    <row r="242" spans="1:5" ht="14.25" customHeight="1">
      <c r="A242" s="631" t="s">
        <v>632</v>
      </c>
      <c r="B242" s="61" t="s">
        <v>631</v>
      </c>
      <c r="C242" s="61"/>
      <c r="D242" s="61"/>
      <c r="E242" s="61"/>
    </row>
    <row r="243" spans="1:5" ht="14.25" customHeight="1">
      <c r="A243" s="631" t="s">
        <v>630</v>
      </c>
      <c r="B243" s="61" t="s">
        <v>629</v>
      </c>
      <c r="C243" s="61"/>
      <c r="D243" s="61"/>
      <c r="E243" s="61"/>
    </row>
    <row r="244" spans="1:5" ht="14.25" customHeight="1">
      <c r="A244" s="61"/>
      <c r="B244" s="61"/>
      <c r="C244" s="61"/>
      <c r="D244" s="61"/>
      <c r="E244" s="61"/>
    </row>
    <row r="245" spans="1:5" ht="14.25" customHeight="1">
      <c r="A245" s="86" t="s">
        <v>109</v>
      </c>
      <c r="B245" s="86" t="s">
        <v>628</v>
      </c>
      <c r="C245" s="630" t="s">
        <v>627</v>
      </c>
      <c r="D245" s="86" t="s">
        <v>618</v>
      </c>
      <c r="E245" s="61"/>
    </row>
    <row r="246" spans="1:5" ht="14.25" customHeight="1">
      <c r="A246" s="61" t="s">
        <v>105</v>
      </c>
      <c r="B246" s="628">
        <v>80</v>
      </c>
      <c r="C246" s="628">
        <v>40</v>
      </c>
      <c r="D246" s="61" t="s">
        <v>615</v>
      </c>
      <c r="E246" s="61"/>
    </row>
    <row r="247" spans="1:5" ht="14.25" customHeight="1">
      <c r="A247" s="61" t="s">
        <v>106</v>
      </c>
      <c r="B247" s="628">
        <v>80</v>
      </c>
      <c r="C247" s="628">
        <v>40</v>
      </c>
      <c r="D247" s="61" t="s">
        <v>615</v>
      </c>
      <c r="E247" s="61"/>
    </row>
    <row r="248" spans="1:5" ht="14.25" customHeight="1">
      <c r="A248" s="61" t="s">
        <v>141</v>
      </c>
      <c r="B248" s="628">
        <v>80</v>
      </c>
      <c r="C248" s="628">
        <v>40</v>
      </c>
      <c r="D248" s="61" t="s">
        <v>615</v>
      </c>
      <c r="E248" s="61"/>
    </row>
    <row r="249" spans="1:5" ht="14.25" customHeight="1">
      <c r="A249" s="61" t="s">
        <v>142</v>
      </c>
      <c r="B249" s="628">
        <v>80</v>
      </c>
      <c r="C249" s="628">
        <v>40</v>
      </c>
      <c r="D249" s="61" t="s">
        <v>615</v>
      </c>
      <c r="E249" s="61"/>
    </row>
    <row r="250" spans="1:5" ht="14.25" customHeight="1">
      <c r="A250" s="61" t="s">
        <v>144</v>
      </c>
      <c r="B250" s="628">
        <v>80</v>
      </c>
      <c r="C250" s="628">
        <v>40</v>
      </c>
      <c r="D250" s="61" t="s">
        <v>615</v>
      </c>
      <c r="E250" s="61"/>
    </row>
    <row r="251" spans="1:5" ht="14.25" customHeight="1">
      <c r="A251" s="61" t="s">
        <v>143</v>
      </c>
      <c r="B251" s="628">
        <v>80</v>
      </c>
      <c r="C251" s="628">
        <v>40</v>
      </c>
      <c r="D251" s="61" t="s">
        <v>615</v>
      </c>
      <c r="E251" s="61"/>
    </row>
    <row r="252" spans="1:5" ht="14.25" customHeight="1">
      <c r="A252" s="61" t="s">
        <v>107</v>
      </c>
      <c r="B252" s="628">
        <v>80</v>
      </c>
      <c r="C252" s="628">
        <v>0</v>
      </c>
      <c r="D252" s="61" t="s">
        <v>615</v>
      </c>
      <c r="E252" s="61"/>
    </row>
    <row r="253" spans="1:5" ht="14.25" customHeight="1">
      <c r="A253" s="61" t="s">
        <v>145</v>
      </c>
      <c r="B253" s="628">
        <v>80</v>
      </c>
      <c r="C253" s="628">
        <v>40</v>
      </c>
      <c r="D253" s="61" t="s">
        <v>615</v>
      </c>
      <c r="E253" s="61"/>
    </row>
    <row r="254" spans="1:5" ht="14.25" customHeight="1">
      <c r="A254" s="61" t="s">
        <v>146</v>
      </c>
      <c r="B254" s="628">
        <v>80</v>
      </c>
      <c r="C254" s="628">
        <v>40</v>
      </c>
      <c r="D254" s="61" t="s">
        <v>615</v>
      </c>
      <c r="E254" s="61"/>
    </row>
    <row r="255" spans="1:5" ht="14.25" customHeight="1">
      <c r="A255" s="61" t="s">
        <v>147</v>
      </c>
      <c r="B255" s="628">
        <v>0</v>
      </c>
      <c r="C255" s="628">
        <v>40</v>
      </c>
      <c r="D255" s="61" t="s">
        <v>615</v>
      </c>
      <c r="E255" s="61"/>
    </row>
    <row r="256" spans="1:5" ht="14.25" customHeight="1">
      <c r="A256" s="61" t="s">
        <v>148</v>
      </c>
      <c r="B256" s="628">
        <v>144</v>
      </c>
      <c r="C256" s="628">
        <v>0</v>
      </c>
      <c r="D256" s="61" t="s">
        <v>615</v>
      </c>
      <c r="E256" s="61"/>
    </row>
    <row r="257" spans="1:5" ht="15" thickBot="1">
      <c r="A257" s="90"/>
      <c r="B257" s="90"/>
      <c r="C257" s="90"/>
      <c r="D257" s="90"/>
      <c r="E257" s="90"/>
    </row>
    <row r="258" spans="1:5">
      <c r="A258" s="85" t="s">
        <v>254</v>
      </c>
      <c r="B258" s="61" t="s">
        <v>626</v>
      </c>
      <c r="C258" s="61"/>
      <c r="D258" s="61"/>
    </row>
    <row r="259" spans="1:5" ht="15">
      <c r="A259" s="86" t="s">
        <v>255</v>
      </c>
      <c r="B259" s="86" t="s">
        <v>31</v>
      </c>
      <c r="C259" s="86" t="s">
        <v>618</v>
      </c>
      <c r="D259" s="61"/>
      <c r="E259" s="61"/>
    </row>
    <row r="260" spans="1:5">
      <c r="A260" s="61" t="s">
        <v>257</v>
      </c>
      <c r="B260" s="628">
        <v>15</v>
      </c>
      <c r="C260" s="57" t="s">
        <v>619</v>
      </c>
      <c r="D260" s="61"/>
      <c r="E260" s="61"/>
    </row>
    <row r="261" spans="1:5">
      <c r="A261" s="61" t="s">
        <v>258</v>
      </c>
      <c r="B261" s="628">
        <v>30</v>
      </c>
      <c r="C261" s="57" t="s">
        <v>625</v>
      </c>
      <c r="D261" s="61"/>
      <c r="E261" s="61"/>
    </row>
    <row r="262" spans="1:5" ht="15">
      <c r="A262" s="86" t="s">
        <v>256</v>
      </c>
      <c r="B262" s="629" t="s">
        <v>31</v>
      </c>
      <c r="C262" s="86" t="s">
        <v>618</v>
      </c>
      <c r="D262" s="61"/>
      <c r="E262" s="61"/>
    </row>
    <row r="263" spans="1:5">
      <c r="A263" s="61" t="s">
        <v>259</v>
      </c>
      <c r="B263" s="628">
        <v>0</v>
      </c>
      <c r="C263" s="61" t="s">
        <v>282</v>
      </c>
      <c r="E263" s="61"/>
    </row>
    <row r="264" spans="1:5">
      <c r="A264" s="61" t="s">
        <v>624</v>
      </c>
      <c r="B264" s="628">
        <v>30</v>
      </c>
      <c r="C264" s="57" t="s">
        <v>619</v>
      </c>
      <c r="D264" s="61"/>
      <c r="E264" s="61"/>
    </row>
    <row r="265" spans="1:5">
      <c r="A265" s="61" t="s">
        <v>623</v>
      </c>
      <c r="B265" s="628">
        <v>20</v>
      </c>
      <c r="C265" s="57" t="s">
        <v>619</v>
      </c>
      <c r="E265" s="61"/>
    </row>
    <row r="266" spans="1:5">
      <c r="A266" s="61" t="s">
        <v>279</v>
      </c>
      <c r="B266" s="628">
        <v>40</v>
      </c>
      <c r="C266" s="57" t="s">
        <v>619</v>
      </c>
      <c r="E266" s="61"/>
    </row>
    <row r="267" spans="1:5">
      <c r="A267" s="61" t="s">
        <v>260</v>
      </c>
      <c r="B267" s="628">
        <v>0</v>
      </c>
      <c r="C267" s="61" t="s">
        <v>282</v>
      </c>
      <c r="E267" s="61"/>
    </row>
    <row r="268" spans="1:5">
      <c r="A268" s="61" t="s">
        <v>261</v>
      </c>
      <c r="B268" s="628">
        <v>0</v>
      </c>
      <c r="C268" s="61" t="s">
        <v>282</v>
      </c>
      <c r="E268" s="61"/>
    </row>
    <row r="269" spans="1:5">
      <c r="A269" s="61" t="s">
        <v>262</v>
      </c>
      <c r="B269" s="628">
        <v>0</v>
      </c>
      <c r="C269" s="61" t="s">
        <v>282</v>
      </c>
      <c r="D269" s="61"/>
      <c r="E269" s="61"/>
    </row>
    <row r="270" spans="1:5">
      <c r="A270" s="61" t="s">
        <v>622</v>
      </c>
      <c r="B270" s="628">
        <v>0</v>
      </c>
      <c r="C270" s="61" t="s">
        <v>282</v>
      </c>
      <c r="D270" s="61"/>
      <c r="E270" s="61"/>
    </row>
    <row r="271" spans="1:5">
      <c r="A271" s="61" t="s">
        <v>263</v>
      </c>
      <c r="B271" s="628">
        <v>50</v>
      </c>
      <c r="C271" s="57" t="s">
        <v>619</v>
      </c>
      <c r="D271" s="61"/>
      <c r="E271" s="61"/>
    </row>
    <row r="272" spans="1:5">
      <c r="A272" s="61" t="s">
        <v>264</v>
      </c>
      <c r="B272" s="628">
        <v>22</v>
      </c>
      <c r="C272" s="57" t="s">
        <v>619</v>
      </c>
      <c r="D272" s="61"/>
      <c r="E272" s="61"/>
    </row>
    <row r="273" spans="1:5">
      <c r="A273" s="61" t="s">
        <v>265</v>
      </c>
      <c r="B273" s="628">
        <v>35</v>
      </c>
      <c r="C273" s="57" t="s">
        <v>619</v>
      </c>
      <c r="D273" s="61"/>
      <c r="E273" s="61"/>
    </row>
    <row r="274" spans="1:5">
      <c r="A274" s="61" t="s">
        <v>266</v>
      </c>
      <c r="B274" s="628">
        <v>30</v>
      </c>
      <c r="C274" s="57" t="s">
        <v>619</v>
      </c>
      <c r="D274" s="61"/>
      <c r="E274" s="61"/>
    </row>
    <row r="275" spans="1:5">
      <c r="A275" s="61" t="s">
        <v>267</v>
      </c>
      <c r="B275" s="628">
        <v>20</v>
      </c>
      <c r="C275" s="57" t="s">
        <v>619</v>
      </c>
      <c r="D275" s="61"/>
      <c r="E275" s="61"/>
    </row>
    <row r="276" spans="1:5">
      <c r="A276" s="61" t="s">
        <v>268</v>
      </c>
      <c r="B276" s="628">
        <v>30</v>
      </c>
      <c r="C276" s="57" t="s">
        <v>619</v>
      </c>
      <c r="D276" s="61"/>
      <c r="E276" s="61"/>
    </row>
    <row r="277" spans="1:5">
      <c r="A277" s="61" t="s">
        <v>269</v>
      </c>
      <c r="B277" s="628">
        <v>40</v>
      </c>
      <c r="C277" s="57" t="s">
        <v>619</v>
      </c>
      <c r="D277" s="61"/>
      <c r="E277" s="61"/>
    </row>
    <row r="278" spans="1:5">
      <c r="A278" s="61" t="s">
        <v>270</v>
      </c>
      <c r="B278" s="628">
        <v>30</v>
      </c>
      <c r="C278" s="57" t="s">
        <v>619</v>
      </c>
      <c r="D278" s="61"/>
      <c r="E278" s="61"/>
    </row>
    <row r="279" spans="1:5">
      <c r="A279" s="61" t="s">
        <v>271</v>
      </c>
      <c r="B279" s="628">
        <v>30</v>
      </c>
      <c r="C279" s="57" t="s">
        <v>619</v>
      </c>
      <c r="D279" s="61"/>
      <c r="E279" s="61"/>
    </row>
    <row r="280" spans="1:5">
      <c r="A280" s="61" t="s">
        <v>621</v>
      </c>
      <c r="B280" s="628">
        <v>20</v>
      </c>
      <c r="C280" s="57" t="s">
        <v>619</v>
      </c>
      <c r="E280" s="61"/>
    </row>
    <row r="281" spans="1:5">
      <c r="A281" s="61" t="s">
        <v>277</v>
      </c>
      <c r="B281" s="628">
        <v>30</v>
      </c>
      <c r="C281" s="57" t="s">
        <v>619</v>
      </c>
      <c r="E281" s="61"/>
    </row>
    <row r="282" spans="1:5">
      <c r="A282" s="61" t="s">
        <v>278</v>
      </c>
      <c r="B282" s="628">
        <v>50</v>
      </c>
      <c r="C282" s="57" t="s">
        <v>619</v>
      </c>
      <c r="D282" s="61"/>
      <c r="E282" s="61"/>
    </row>
    <row r="283" spans="1:5">
      <c r="A283" s="61" t="s">
        <v>281</v>
      </c>
      <c r="B283" s="628">
        <v>25</v>
      </c>
      <c r="C283" s="57" t="s">
        <v>619</v>
      </c>
      <c r="D283" s="61"/>
      <c r="E283" s="61"/>
    </row>
    <row r="284" spans="1:5">
      <c r="A284" s="61" t="s">
        <v>272</v>
      </c>
      <c r="B284" s="628">
        <v>20</v>
      </c>
      <c r="C284" s="57" t="s">
        <v>619</v>
      </c>
      <c r="D284" s="61"/>
      <c r="E284" s="61"/>
    </row>
    <row r="285" spans="1:5">
      <c r="A285" s="61" t="s">
        <v>273</v>
      </c>
      <c r="B285" s="628">
        <v>20</v>
      </c>
      <c r="C285" s="57" t="s">
        <v>619</v>
      </c>
      <c r="D285" s="61"/>
      <c r="E285" s="61"/>
    </row>
    <row r="286" spans="1:5">
      <c r="A286" s="61" t="s">
        <v>274</v>
      </c>
      <c r="B286" s="628">
        <v>0</v>
      </c>
      <c r="C286" s="61" t="s">
        <v>282</v>
      </c>
      <c r="D286" s="61"/>
      <c r="E286" s="61"/>
    </row>
    <row r="287" spans="1:5">
      <c r="A287" s="61" t="s">
        <v>275</v>
      </c>
      <c r="B287" s="628">
        <v>0</v>
      </c>
      <c r="C287" s="61" t="s">
        <v>282</v>
      </c>
      <c r="E287" s="61"/>
    </row>
    <row r="288" spans="1:5">
      <c r="A288" s="61" t="s">
        <v>276</v>
      </c>
      <c r="B288" s="628">
        <v>30</v>
      </c>
      <c r="C288" s="57" t="s">
        <v>619</v>
      </c>
      <c r="D288" s="61"/>
      <c r="E288" s="61"/>
    </row>
    <row r="289" spans="1:5">
      <c r="A289" s="61" t="s">
        <v>280</v>
      </c>
      <c r="B289" s="628">
        <v>0</v>
      </c>
      <c r="C289" s="61" t="s">
        <v>282</v>
      </c>
      <c r="D289" s="61"/>
      <c r="E289" s="61"/>
    </row>
    <row r="290" spans="1:5">
      <c r="A290" s="61" t="s">
        <v>620</v>
      </c>
      <c r="B290" s="628">
        <v>20</v>
      </c>
      <c r="C290" s="57" t="s">
        <v>619</v>
      </c>
      <c r="D290" s="61"/>
      <c r="E290" s="61"/>
    </row>
    <row r="291" spans="1:5" ht="15">
      <c r="A291" s="86" t="s">
        <v>283</v>
      </c>
      <c r="B291" s="629" t="s">
        <v>31</v>
      </c>
      <c r="C291" s="86" t="s">
        <v>618</v>
      </c>
      <c r="D291" s="61"/>
      <c r="E291" s="61"/>
    </row>
    <row r="292" spans="1:5">
      <c r="A292" s="61" t="s">
        <v>284</v>
      </c>
      <c r="B292" s="628">
        <v>100</v>
      </c>
      <c r="C292" s="57" t="s">
        <v>617</v>
      </c>
      <c r="D292" s="61"/>
      <c r="E292" s="61"/>
    </row>
    <row r="293" spans="1:5">
      <c r="A293" s="61" t="s">
        <v>285</v>
      </c>
      <c r="B293" s="628">
        <v>100</v>
      </c>
      <c r="C293" s="57" t="s">
        <v>616</v>
      </c>
      <c r="D293" s="61"/>
      <c r="E293" s="61"/>
    </row>
    <row r="294" spans="1:5">
      <c r="A294" s="61" t="s">
        <v>286</v>
      </c>
      <c r="B294" s="628">
        <v>65</v>
      </c>
      <c r="C294" s="61" t="s">
        <v>615</v>
      </c>
      <c r="D294" s="61"/>
      <c r="E294" s="61"/>
    </row>
    <row r="295" spans="1:5">
      <c r="A295" s="61"/>
      <c r="B295" s="628"/>
      <c r="C295" s="61"/>
      <c r="D295" s="61"/>
      <c r="E295" s="61"/>
    </row>
    <row r="296" spans="1:5" ht="15">
      <c r="A296" s="86" t="s">
        <v>887</v>
      </c>
      <c r="B296" s="61" t="s">
        <v>888</v>
      </c>
      <c r="C296" s="61"/>
      <c r="D296" s="61"/>
      <c r="E296" s="61"/>
    </row>
    <row r="297" spans="1:5">
      <c r="A297" s="681" t="s">
        <v>889</v>
      </c>
      <c r="B297" s="681" t="s">
        <v>893</v>
      </c>
      <c r="C297" s="681" t="s">
        <v>890</v>
      </c>
      <c r="D297" s="61"/>
      <c r="E297" s="61"/>
    </row>
    <row r="298" spans="1:5">
      <c r="A298" s="61" t="s">
        <v>891</v>
      </c>
      <c r="B298" s="680">
        <v>9168</v>
      </c>
      <c r="C298" s="680">
        <v>764</v>
      </c>
      <c r="D298" s="61"/>
      <c r="E298" s="61"/>
    </row>
    <row r="299" spans="1:5">
      <c r="A299" s="61" t="s">
        <v>892</v>
      </c>
      <c r="B299" s="680">
        <v>12840</v>
      </c>
      <c r="C299" s="680">
        <v>1070</v>
      </c>
      <c r="D299" s="61"/>
      <c r="E299" s="61"/>
    </row>
    <row r="300" spans="1:5">
      <c r="A300" s="61" t="s">
        <v>894</v>
      </c>
      <c r="B300" s="680">
        <v>24324</v>
      </c>
      <c r="C300" s="680">
        <v>2027</v>
      </c>
      <c r="D300" s="61"/>
    </row>
    <row r="301" spans="1:5">
      <c r="A301" s="1131" t="s">
        <v>895</v>
      </c>
      <c r="B301" s="1131"/>
      <c r="C301" s="1131"/>
      <c r="D301" s="61"/>
      <c r="E301" s="61"/>
    </row>
    <row r="302" spans="1:5">
      <c r="A302" s="679">
        <v>0</v>
      </c>
      <c r="B302" s="680">
        <v>48432</v>
      </c>
      <c r="C302" s="680">
        <v>4036</v>
      </c>
      <c r="D302" s="61"/>
    </row>
    <row r="303" spans="1:5">
      <c r="A303" s="679">
        <v>1</v>
      </c>
      <c r="B303" s="680">
        <v>48804</v>
      </c>
      <c r="C303" s="680">
        <v>4067</v>
      </c>
      <c r="D303" s="61"/>
    </row>
    <row r="304" spans="1:5">
      <c r="A304" s="679">
        <v>2</v>
      </c>
      <c r="B304" s="680">
        <v>49188</v>
      </c>
      <c r="C304" s="680">
        <v>4099</v>
      </c>
      <c r="D304" s="61"/>
    </row>
    <row r="305" spans="1:5">
      <c r="A305" s="679">
        <v>3</v>
      </c>
      <c r="B305" s="680">
        <v>51324</v>
      </c>
      <c r="C305" s="680">
        <v>4277</v>
      </c>
      <c r="D305" s="61"/>
    </row>
    <row r="306" spans="1:5">
      <c r="A306" s="679">
        <v>4</v>
      </c>
      <c r="B306" s="680">
        <v>53184</v>
      </c>
      <c r="C306" s="680">
        <v>4432</v>
      </c>
      <c r="D306" s="61"/>
    </row>
    <row r="307" spans="1:5">
      <c r="A307" s="679">
        <v>5</v>
      </c>
      <c r="B307" s="680">
        <v>55308</v>
      </c>
      <c r="C307" s="680">
        <v>4609</v>
      </c>
      <c r="D307" s="61"/>
    </row>
    <row r="308" spans="1:5">
      <c r="A308" s="679">
        <v>6</v>
      </c>
      <c r="B308" s="680">
        <v>57528</v>
      </c>
      <c r="C308" s="680">
        <v>4794</v>
      </c>
      <c r="D308" s="61"/>
    </row>
    <row r="309" spans="1:5">
      <c r="A309" s="679" t="s">
        <v>896</v>
      </c>
      <c r="B309" s="680">
        <v>59736</v>
      </c>
      <c r="C309" s="680">
        <v>4978</v>
      </c>
      <c r="D309" s="61"/>
    </row>
    <row r="310" spans="1:5">
      <c r="A310" s="682"/>
      <c r="B310" s="682"/>
      <c r="C310" s="682"/>
      <c r="D310" s="61"/>
      <c r="E310" s="61"/>
    </row>
    <row r="311" spans="1:5">
      <c r="A311" s="477" t="s">
        <v>900</v>
      </c>
      <c r="B311" s="61"/>
      <c r="C311" s="61"/>
      <c r="D311" s="61"/>
      <c r="E311" s="61"/>
    </row>
    <row r="312" spans="1:5">
      <c r="A312" s="61"/>
      <c r="B312" s="61" t="s">
        <v>36</v>
      </c>
      <c r="C312" s="61" t="s">
        <v>901</v>
      </c>
      <c r="D312" s="61"/>
      <c r="E312" s="61"/>
    </row>
    <row r="313" spans="1:5">
      <c r="A313" s="477" t="s">
        <v>902</v>
      </c>
      <c r="B313" s="680">
        <v>18689</v>
      </c>
      <c r="C313" s="680">
        <v>74757</v>
      </c>
      <c r="D313" s="61"/>
      <c r="E313" s="61"/>
    </row>
    <row r="314" spans="1:5">
      <c r="A314" s="477" t="s">
        <v>903</v>
      </c>
      <c r="B314" s="680">
        <v>4672</v>
      </c>
      <c r="C314" s="680">
        <v>18688</v>
      </c>
      <c r="D314" s="61"/>
      <c r="E314" s="61"/>
    </row>
    <row r="315" spans="1:5">
      <c r="A315" s="477" t="s">
        <v>904</v>
      </c>
      <c r="B315" s="680">
        <v>3867</v>
      </c>
      <c r="C315" s="680">
        <v>15468</v>
      </c>
      <c r="D315" s="61"/>
      <c r="E315" s="61"/>
    </row>
    <row r="316" spans="1:5">
      <c r="A316" s="477" t="s">
        <v>905</v>
      </c>
      <c r="B316" s="680">
        <v>14822</v>
      </c>
      <c r="C316" s="680">
        <v>59289</v>
      </c>
      <c r="D316" s="61"/>
      <c r="E316" s="61"/>
    </row>
    <row r="317" spans="1:5">
      <c r="A317" s="477" t="s">
        <v>906</v>
      </c>
      <c r="B317" s="680">
        <v>805</v>
      </c>
      <c r="C317" s="680">
        <v>3220</v>
      </c>
      <c r="D317" s="61"/>
      <c r="E317" s="61"/>
    </row>
    <row r="318" spans="1:5">
      <c r="A318" s="477"/>
      <c r="B318" s="61"/>
      <c r="C318" s="61"/>
      <c r="D318" s="61"/>
      <c r="E318" s="61"/>
    </row>
    <row r="319" spans="1:5">
      <c r="A319" s="477"/>
      <c r="B319" s="61" t="s">
        <v>907</v>
      </c>
      <c r="C319" s="61" t="s">
        <v>901</v>
      </c>
      <c r="D319" s="61"/>
      <c r="E319" s="61"/>
    </row>
    <row r="320" spans="1:5">
      <c r="A320" s="477" t="s">
        <v>908</v>
      </c>
      <c r="B320" s="680">
        <v>2737</v>
      </c>
      <c r="C320" s="680">
        <v>32844</v>
      </c>
      <c r="D320" s="61"/>
      <c r="E320" s="61"/>
    </row>
    <row r="321" spans="1:5">
      <c r="A321" s="61"/>
      <c r="B321" s="61"/>
      <c r="C321" s="61"/>
      <c r="D321" s="61"/>
      <c r="E321" s="61"/>
    </row>
    <row r="322" spans="1:5">
      <c r="A322" s="61"/>
      <c r="B322" s="61"/>
      <c r="C322" s="61"/>
      <c r="D322" s="61"/>
      <c r="E322" s="61"/>
    </row>
    <row r="323" spans="1:5">
      <c r="A323" s="61"/>
      <c r="B323" s="61"/>
      <c r="C323" s="61"/>
      <c r="D323" s="61"/>
      <c r="E323" s="61"/>
    </row>
    <row r="324" spans="1:5">
      <c r="A324" s="61"/>
      <c r="B324" s="61"/>
      <c r="C324" s="61"/>
      <c r="D324" s="61"/>
      <c r="E324" s="61"/>
    </row>
    <row r="325" spans="1:5">
      <c r="A325" s="61"/>
      <c r="B325" s="61"/>
      <c r="C325" s="61"/>
      <c r="D325" s="61"/>
      <c r="E325" s="61"/>
    </row>
    <row r="326" spans="1:5">
      <c r="A326" s="61"/>
      <c r="B326" s="61"/>
      <c r="C326" s="61"/>
      <c r="D326" s="61"/>
      <c r="E326" s="61"/>
    </row>
    <row r="327" spans="1:5">
      <c r="A327" s="61"/>
      <c r="B327" s="61"/>
      <c r="C327" s="61"/>
      <c r="D327" s="61"/>
      <c r="E327" s="61"/>
    </row>
    <row r="328" spans="1:5">
      <c r="A328" s="61"/>
      <c r="B328" s="61"/>
      <c r="C328" s="61"/>
      <c r="D328" s="61"/>
      <c r="E328" s="61"/>
    </row>
    <row r="329" spans="1:5">
      <c r="A329" s="61"/>
      <c r="B329" s="61"/>
      <c r="C329" s="61"/>
      <c r="D329" s="61"/>
      <c r="E329" s="61"/>
    </row>
    <row r="330" spans="1:5">
      <c r="A330" s="61"/>
      <c r="B330" s="61"/>
      <c r="C330" s="61"/>
      <c r="D330" s="61"/>
      <c r="E330" s="61"/>
    </row>
    <row r="331" spans="1:5">
      <c r="A331" s="61"/>
      <c r="B331" s="61"/>
      <c r="C331" s="61"/>
      <c r="D331" s="61"/>
      <c r="E331" s="61"/>
    </row>
    <row r="332" spans="1:5">
      <c r="A332" s="61"/>
      <c r="B332" s="61"/>
      <c r="C332" s="61"/>
      <c r="D332" s="61"/>
      <c r="E332" s="61"/>
    </row>
    <row r="333" spans="1:5">
      <c r="A333" s="61"/>
      <c r="B333" s="61"/>
      <c r="C333" s="61"/>
      <c r="D333" s="61"/>
      <c r="E333" s="61"/>
    </row>
    <row r="334" spans="1:5">
      <c r="A334" s="61"/>
      <c r="B334" s="61"/>
      <c r="C334" s="61"/>
      <c r="D334" s="61"/>
      <c r="E334" s="61"/>
    </row>
    <row r="335" spans="1:5">
      <c r="A335" s="61"/>
      <c r="B335" s="61"/>
      <c r="C335" s="61"/>
      <c r="D335" s="61"/>
      <c r="E335" s="61"/>
    </row>
    <row r="336" spans="1:5">
      <c r="A336" s="61"/>
      <c r="B336" s="61"/>
      <c r="C336" s="61"/>
      <c r="D336" s="61"/>
      <c r="E336" s="61"/>
    </row>
    <row r="337" spans="1:5">
      <c r="A337" s="61"/>
      <c r="B337" s="61"/>
      <c r="C337" s="61"/>
      <c r="D337" s="61"/>
      <c r="E337" s="61"/>
    </row>
    <row r="338" spans="1:5">
      <c r="A338" s="61"/>
      <c r="B338" s="61"/>
      <c r="C338" s="61"/>
      <c r="D338" s="61"/>
      <c r="E338" s="61"/>
    </row>
    <row r="339" spans="1:5">
      <c r="A339" s="61"/>
      <c r="B339" s="61"/>
      <c r="C339" s="61"/>
      <c r="D339" s="61"/>
      <c r="E339" s="61"/>
    </row>
    <row r="340" spans="1:5">
      <c r="A340" s="61"/>
      <c r="B340" s="61"/>
      <c r="C340" s="61"/>
      <c r="D340" s="61"/>
      <c r="E340" s="61"/>
    </row>
    <row r="341" spans="1:5">
      <c r="A341" s="61"/>
      <c r="B341" s="61"/>
      <c r="C341" s="61"/>
      <c r="D341" s="61"/>
      <c r="E341" s="61"/>
    </row>
    <row r="342" spans="1:5">
      <c r="A342" s="61"/>
      <c r="B342" s="61"/>
      <c r="C342" s="61"/>
      <c r="D342" s="61"/>
      <c r="E342" s="61"/>
    </row>
    <row r="343" spans="1:5">
      <c r="A343" s="61"/>
      <c r="B343" s="61"/>
      <c r="C343" s="61"/>
      <c r="D343" s="61"/>
      <c r="E343" s="61"/>
    </row>
    <row r="344" spans="1:5">
      <c r="A344" s="61"/>
      <c r="B344" s="61"/>
      <c r="C344" s="61"/>
      <c r="D344" s="61"/>
      <c r="E344" s="61"/>
    </row>
    <row r="345" spans="1:5">
      <c r="A345" s="61"/>
      <c r="B345" s="61"/>
      <c r="C345" s="61"/>
      <c r="D345" s="61"/>
      <c r="E345" s="61"/>
    </row>
    <row r="346" spans="1:5">
      <c r="A346" s="61"/>
      <c r="B346" s="61"/>
      <c r="C346" s="61"/>
      <c r="D346" s="61"/>
      <c r="E346" s="61"/>
    </row>
    <row r="347" spans="1:5">
      <c r="A347" s="61"/>
      <c r="B347" s="61"/>
      <c r="C347" s="61"/>
      <c r="D347" s="61"/>
      <c r="E347" s="61"/>
    </row>
    <row r="348" spans="1:5">
      <c r="A348" s="61"/>
      <c r="B348" s="61"/>
      <c r="C348" s="61"/>
      <c r="D348" s="61"/>
      <c r="E348" s="61"/>
    </row>
    <row r="349" spans="1:5">
      <c r="A349" s="61"/>
      <c r="B349" s="61"/>
      <c r="C349" s="61"/>
      <c r="D349" s="61"/>
      <c r="E349" s="61"/>
    </row>
    <row r="350" spans="1:5">
      <c r="A350" s="61"/>
      <c r="B350" s="61"/>
      <c r="C350" s="61"/>
      <c r="D350" s="61"/>
      <c r="E350" s="61"/>
    </row>
    <row r="351" spans="1:5">
      <c r="A351" s="61"/>
      <c r="B351" s="61"/>
      <c r="C351" s="61"/>
      <c r="D351" s="61"/>
      <c r="E351" s="61"/>
    </row>
    <row r="352" spans="1:5">
      <c r="A352" s="61"/>
      <c r="B352" s="61"/>
      <c r="C352" s="61"/>
      <c r="D352" s="61"/>
      <c r="E352" s="61"/>
    </row>
    <row r="353" spans="1:5">
      <c r="A353" s="61"/>
      <c r="B353" s="61"/>
      <c r="C353" s="61"/>
      <c r="D353" s="61"/>
      <c r="E353" s="61"/>
    </row>
    <row r="354" spans="1:5">
      <c r="A354" s="61"/>
      <c r="B354" s="61"/>
      <c r="C354" s="61"/>
      <c r="D354" s="61"/>
      <c r="E354" s="61"/>
    </row>
    <row r="355" spans="1:5">
      <c r="A355" s="61"/>
      <c r="B355" s="61"/>
      <c r="C355" s="61"/>
      <c r="D355" s="61"/>
      <c r="E355" s="61"/>
    </row>
    <row r="356" spans="1:5">
      <c r="A356" s="61"/>
      <c r="B356" s="61"/>
      <c r="C356" s="61"/>
      <c r="D356" s="61"/>
      <c r="E356" s="61"/>
    </row>
    <row r="357" spans="1:5">
      <c r="A357" s="61"/>
      <c r="B357" s="61"/>
      <c r="C357" s="61"/>
      <c r="D357" s="61"/>
      <c r="E357" s="61"/>
    </row>
    <row r="358" spans="1:5">
      <c r="A358" s="61"/>
      <c r="B358" s="61"/>
      <c r="C358" s="61"/>
      <c r="D358" s="61"/>
      <c r="E358" s="61"/>
    </row>
    <row r="359" spans="1:5">
      <c r="A359" s="61"/>
      <c r="B359" s="61"/>
      <c r="C359" s="61"/>
      <c r="D359" s="61"/>
      <c r="E359" s="61"/>
    </row>
    <row r="360" spans="1:5">
      <c r="A360" s="61"/>
      <c r="B360" s="61"/>
      <c r="C360" s="61"/>
      <c r="D360" s="61"/>
      <c r="E360" s="61"/>
    </row>
    <row r="361" spans="1:5">
      <c r="A361" s="61"/>
      <c r="B361" s="61"/>
      <c r="C361" s="61"/>
      <c r="D361" s="61"/>
      <c r="E361" s="61"/>
    </row>
    <row r="362" spans="1:5">
      <c r="A362" s="61"/>
      <c r="B362" s="61"/>
      <c r="C362" s="61"/>
      <c r="D362" s="61"/>
      <c r="E362" s="61"/>
    </row>
    <row r="363" spans="1:5">
      <c r="A363" s="61"/>
      <c r="B363" s="61"/>
      <c r="C363" s="61"/>
      <c r="D363" s="61"/>
      <c r="E363" s="61"/>
    </row>
    <row r="364" spans="1:5">
      <c r="A364" s="61"/>
      <c r="B364" s="61"/>
      <c r="C364" s="61"/>
      <c r="D364" s="61"/>
      <c r="E364" s="61"/>
    </row>
    <row r="365" spans="1:5">
      <c r="A365" s="61"/>
      <c r="B365" s="61"/>
      <c r="C365" s="61"/>
      <c r="D365" s="61"/>
      <c r="E365" s="61"/>
    </row>
    <row r="366" spans="1:5">
      <c r="A366" s="61"/>
      <c r="B366" s="61"/>
      <c r="C366" s="61"/>
      <c r="D366" s="61"/>
      <c r="E366" s="61"/>
    </row>
    <row r="367" spans="1:5">
      <c r="A367" s="61"/>
      <c r="B367" s="61"/>
      <c r="C367" s="61"/>
      <c r="D367" s="61"/>
      <c r="E367" s="61"/>
    </row>
    <row r="368" spans="1:5">
      <c r="A368" s="61"/>
      <c r="B368" s="61"/>
      <c r="C368" s="61"/>
      <c r="D368" s="61"/>
      <c r="E368" s="61"/>
    </row>
    <row r="369" spans="1:5">
      <c r="A369" s="61"/>
      <c r="B369" s="61"/>
      <c r="C369" s="61"/>
      <c r="D369" s="61"/>
      <c r="E369" s="61"/>
    </row>
    <row r="370" spans="1:5">
      <c r="A370" s="61"/>
      <c r="B370" s="61"/>
      <c r="C370" s="61"/>
      <c r="D370" s="61"/>
      <c r="E370" s="61"/>
    </row>
    <row r="371" spans="1:5">
      <c r="A371" s="61"/>
      <c r="B371" s="61"/>
      <c r="C371" s="61"/>
      <c r="D371" s="61"/>
      <c r="E371" s="61"/>
    </row>
    <row r="372" spans="1:5">
      <c r="A372" s="61"/>
      <c r="B372" s="61"/>
      <c r="C372" s="61"/>
      <c r="D372" s="61"/>
      <c r="E372" s="61"/>
    </row>
    <row r="373" spans="1:5">
      <c r="A373" s="61"/>
      <c r="B373" s="61"/>
      <c r="C373" s="61"/>
      <c r="D373" s="61"/>
      <c r="E373" s="61"/>
    </row>
    <row r="374" spans="1:5">
      <c r="A374" s="61"/>
      <c r="B374" s="61"/>
      <c r="C374" s="61"/>
      <c r="D374" s="61"/>
      <c r="E374" s="61"/>
    </row>
    <row r="375" spans="1:5">
      <c r="A375" s="61"/>
      <c r="B375" s="61"/>
      <c r="C375" s="61"/>
      <c r="D375" s="61"/>
      <c r="E375" s="61"/>
    </row>
    <row r="376" spans="1:5">
      <c r="A376" s="61"/>
      <c r="B376" s="61"/>
      <c r="C376" s="61"/>
      <c r="D376" s="61"/>
      <c r="E376" s="61"/>
    </row>
    <row r="377" spans="1:5">
      <c r="A377" s="61"/>
      <c r="B377" s="61"/>
      <c r="C377" s="61"/>
      <c r="D377" s="61"/>
      <c r="E377" s="61"/>
    </row>
    <row r="378" spans="1:5">
      <c r="A378" s="61"/>
      <c r="B378" s="61"/>
      <c r="C378" s="61"/>
      <c r="D378" s="61"/>
      <c r="E378" s="61"/>
    </row>
    <row r="379" spans="1:5">
      <c r="A379" s="61"/>
      <c r="B379" s="61"/>
      <c r="C379" s="61"/>
      <c r="D379" s="61"/>
      <c r="E379" s="61"/>
    </row>
    <row r="380" spans="1:5">
      <c r="A380" s="61"/>
      <c r="B380" s="61"/>
      <c r="C380" s="61"/>
      <c r="D380" s="61"/>
      <c r="E380" s="61"/>
    </row>
    <row r="381" spans="1:5">
      <c r="A381" s="61"/>
      <c r="B381" s="61"/>
      <c r="C381" s="61"/>
      <c r="D381" s="61"/>
      <c r="E381" s="61"/>
    </row>
    <row r="382" spans="1:5">
      <c r="A382" s="61"/>
      <c r="B382" s="61"/>
      <c r="C382" s="61"/>
      <c r="D382" s="61"/>
      <c r="E382" s="61"/>
    </row>
    <row r="383" spans="1:5">
      <c r="A383" s="61"/>
      <c r="B383" s="61"/>
      <c r="C383" s="61"/>
      <c r="D383" s="61"/>
      <c r="E383" s="61"/>
    </row>
    <row r="384" spans="1:5">
      <c r="A384" s="61"/>
      <c r="B384" s="61"/>
      <c r="C384" s="61"/>
      <c r="D384" s="61"/>
      <c r="E384" s="61"/>
    </row>
    <row r="385" spans="1:5">
      <c r="A385" s="61"/>
      <c r="B385" s="61"/>
      <c r="C385" s="61"/>
      <c r="D385" s="61"/>
      <c r="E385" s="61"/>
    </row>
    <row r="386" spans="1:5">
      <c r="A386" s="61"/>
      <c r="B386" s="61"/>
      <c r="C386" s="61"/>
      <c r="D386" s="61"/>
      <c r="E386" s="61"/>
    </row>
    <row r="387" spans="1:5">
      <c r="A387" s="61"/>
      <c r="B387" s="61"/>
      <c r="C387" s="61"/>
      <c r="D387" s="61"/>
      <c r="E387" s="61"/>
    </row>
    <row r="388" spans="1:5">
      <c r="A388" s="61"/>
      <c r="B388" s="61"/>
      <c r="C388" s="61"/>
      <c r="D388" s="61"/>
      <c r="E388" s="61"/>
    </row>
    <row r="389" spans="1:5">
      <c r="A389" s="61"/>
      <c r="B389" s="61"/>
      <c r="C389" s="61"/>
      <c r="D389" s="61"/>
      <c r="E389" s="61"/>
    </row>
    <row r="390" spans="1:5">
      <c r="A390" s="61"/>
      <c r="B390" s="61"/>
      <c r="C390" s="61"/>
      <c r="D390" s="61"/>
      <c r="E390" s="61"/>
    </row>
    <row r="391" spans="1:5">
      <c r="A391" s="61"/>
      <c r="B391" s="61"/>
      <c r="C391" s="61"/>
      <c r="D391" s="61"/>
      <c r="E391" s="61"/>
    </row>
    <row r="392" spans="1:5">
      <c r="A392" s="61"/>
      <c r="B392" s="61"/>
      <c r="C392" s="61"/>
      <c r="D392" s="61"/>
      <c r="E392" s="61"/>
    </row>
    <row r="393" spans="1:5">
      <c r="A393" s="61"/>
      <c r="B393" s="61"/>
      <c r="C393" s="61"/>
      <c r="D393" s="61"/>
      <c r="E393" s="61"/>
    </row>
    <row r="394" spans="1:5">
      <c r="A394" s="61"/>
      <c r="B394" s="61"/>
      <c r="C394" s="61"/>
      <c r="D394" s="61"/>
      <c r="E394" s="61"/>
    </row>
    <row r="395" spans="1:5">
      <c r="A395" s="61"/>
      <c r="B395" s="61"/>
      <c r="C395" s="61"/>
      <c r="D395" s="61"/>
      <c r="E395" s="61"/>
    </row>
    <row r="396" spans="1:5">
      <c r="A396" s="61"/>
      <c r="B396" s="61"/>
      <c r="C396" s="61"/>
      <c r="D396" s="61"/>
      <c r="E396" s="61"/>
    </row>
    <row r="397" spans="1:5">
      <c r="A397" s="61"/>
      <c r="B397" s="61"/>
      <c r="C397" s="61"/>
      <c r="D397" s="61"/>
      <c r="E397" s="61"/>
    </row>
    <row r="398" spans="1:5">
      <c r="A398" s="61"/>
      <c r="B398" s="61"/>
      <c r="C398" s="61"/>
      <c r="D398" s="61"/>
      <c r="E398" s="61"/>
    </row>
    <row r="399" spans="1:5">
      <c r="A399" s="61"/>
      <c r="B399" s="61"/>
      <c r="C399" s="61"/>
      <c r="D399" s="61"/>
      <c r="E399" s="61"/>
    </row>
    <row r="400" spans="1:5">
      <c r="A400" s="61"/>
      <c r="B400" s="61"/>
      <c r="C400" s="61"/>
      <c r="D400" s="61"/>
      <c r="E400" s="61"/>
    </row>
    <row r="401" spans="1:5">
      <c r="A401" s="61"/>
      <c r="B401" s="61"/>
      <c r="C401" s="61"/>
      <c r="D401" s="61"/>
      <c r="E401" s="61"/>
    </row>
    <row r="402" spans="1:5">
      <c r="A402" s="61"/>
      <c r="B402" s="61"/>
      <c r="C402" s="61"/>
      <c r="D402" s="61"/>
      <c r="E402" s="61"/>
    </row>
    <row r="403" spans="1:5">
      <c r="A403" s="61"/>
      <c r="B403" s="61"/>
      <c r="C403" s="61"/>
      <c r="D403" s="61"/>
      <c r="E403" s="61"/>
    </row>
    <row r="404" spans="1:5">
      <c r="A404" s="61"/>
      <c r="B404" s="61"/>
      <c r="C404" s="61"/>
      <c r="D404" s="61"/>
      <c r="E404" s="61"/>
    </row>
    <row r="405" spans="1:5">
      <c r="A405" s="61"/>
      <c r="B405" s="61"/>
      <c r="C405" s="61"/>
      <c r="D405" s="61"/>
      <c r="E405" s="61"/>
    </row>
    <row r="406" spans="1:5">
      <c r="A406" s="61"/>
      <c r="B406" s="61"/>
      <c r="C406" s="61"/>
      <c r="D406" s="61"/>
      <c r="E406" s="61"/>
    </row>
    <row r="407" spans="1:5">
      <c r="A407" s="61"/>
      <c r="B407" s="61"/>
      <c r="C407" s="61"/>
      <c r="D407" s="61"/>
      <c r="E407" s="61"/>
    </row>
    <row r="408" spans="1:5">
      <c r="A408" s="61"/>
      <c r="B408" s="61"/>
      <c r="C408" s="61"/>
      <c r="D408" s="61"/>
      <c r="E408" s="61"/>
    </row>
    <row r="409" spans="1:5">
      <c r="A409" s="61"/>
      <c r="B409" s="61"/>
      <c r="C409" s="61"/>
      <c r="D409" s="61"/>
      <c r="E409" s="61"/>
    </row>
    <row r="410" spans="1:5">
      <c r="A410" s="61"/>
      <c r="B410" s="61"/>
      <c r="C410" s="61"/>
      <c r="D410" s="61"/>
      <c r="E410" s="61"/>
    </row>
    <row r="411" spans="1:5">
      <c r="A411" s="61"/>
      <c r="B411" s="61"/>
      <c r="C411" s="61"/>
      <c r="D411" s="61"/>
      <c r="E411" s="61"/>
    </row>
    <row r="412" spans="1:5">
      <c r="A412" s="61"/>
      <c r="B412" s="61"/>
      <c r="C412" s="61"/>
      <c r="D412" s="61"/>
      <c r="E412" s="61"/>
    </row>
    <row r="413" spans="1:5">
      <c r="A413" s="61"/>
      <c r="B413" s="61"/>
      <c r="C413" s="61"/>
      <c r="D413" s="61"/>
      <c r="E413" s="61"/>
    </row>
    <row r="414" spans="1:5">
      <c r="A414" s="61"/>
      <c r="B414" s="61"/>
      <c r="C414" s="61"/>
      <c r="D414" s="61"/>
      <c r="E414" s="61"/>
    </row>
    <row r="415" spans="1:5">
      <c r="A415" s="61"/>
      <c r="B415" s="61"/>
      <c r="C415" s="61"/>
      <c r="D415" s="61"/>
      <c r="E415" s="61"/>
    </row>
    <row r="416" spans="1:5">
      <c r="A416" s="61"/>
      <c r="B416" s="61"/>
      <c r="C416" s="61"/>
      <c r="D416" s="61"/>
      <c r="E416" s="61"/>
    </row>
    <row r="417" spans="1:5">
      <c r="A417" s="61"/>
      <c r="B417" s="61"/>
      <c r="C417" s="61"/>
      <c r="D417" s="61"/>
      <c r="E417" s="61"/>
    </row>
    <row r="418" spans="1:5">
      <c r="A418" s="61"/>
      <c r="B418" s="61"/>
      <c r="C418" s="61"/>
      <c r="D418" s="61"/>
      <c r="E418" s="61"/>
    </row>
    <row r="419" spans="1:5">
      <c r="A419" s="61"/>
      <c r="B419" s="61"/>
      <c r="C419" s="61"/>
      <c r="D419" s="61"/>
      <c r="E419" s="61"/>
    </row>
    <row r="420" spans="1:5">
      <c r="A420" s="61"/>
      <c r="B420" s="61"/>
      <c r="C420" s="61"/>
      <c r="D420" s="61"/>
      <c r="E420" s="61"/>
    </row>
    <row r="421" spans="1:5">
      <c r="A421" s="61"/>
      <c r="B421" s="61"/>
      <c r="C421" s="61"/>
      <c r="D421" s="61"/>
      <c r="E421" s="61"/>
    </row>
    <row r="422" spans="1:5">
      <c r="A422" s="61"/>
      <c r="B422" s="61"/>
      <c r="C422" s="61"/>
      <c r="D422" s="61"/>
      <c r="E422" s="61"/>
    </row>
    <row r="423" spans="1:5">
      <c r="A423" s="61"/>
      <c r="B423" s="61"/>
      <c r="C423" s="61"/>
      <c r="D423" s="61"/>
      <c r="E423" s="61"/>
    </row>
    <row r="424" spans="1:5">
      <c r="A424" s="61"/>
      <c r="B424" s="61"/>
      <c r="C424" s="61"/>
      <c r="D424" s="61"/>
      <c r="E424" s="61"/>
    </row>
    <row r="425" spans="1:5">
      <c r="A425" s="61"/>
      <c r="B425" s="61"/>
      <c r="C425" s="61"/>
      <c r="D425" s="61"/>
      <c r="E425" s="61"/>
    </row>
    <row r="426" spans="1:5">
      <c r="A426" s="61"/>
      <c r="B426" s="61"/>
      <c r="C426" s="61"/>
      <c r="D426" s="61"/>
      <c r="E426" s="61"/>
    </row>
    <row r="427" spans="1:5">
      <c r="A427" s="61"/>
      <c r="B427" s="61"/>
      <c r="C427" s="61"/>
      <c r="D427" s="61"/>
      <c r="E427" s="61"/>
    </row>
    <row r="428" spans="1:5">
      <c r="A428" s="61"/>
      <c r="B428" s="61"/>
      <c r="C428" s="61"/>
      <c r="D428" s="61"/>
      <c r="E428" s="61"/>
    </row>
    <row r="429" spans="1:5">
      <c r="A429" s="61"/>
      <c r="B429" s="61"/>
      <c r="C429" s="61"/>
      <c r="D429" s="61"/>
      <c r="E429" s="61"/>
    </row>
    <row r="430" spans="1:5">
      <c r="A430" s="61"/>
      <c r="B430" s="61"/>
      <c r="C430" s="61"/>
      <c r="D430" s="61"/>
      <c r="E430" s="61"/>
    </row>
    <row r="431" spans="1:5">
      <c r="A431" s="61"/>
      <c r="B431" s="61"/>
      <c r="C431" s="61"/>
      <c r="D431" s="61"/>
      <c r="E431" s="61"/>
    </row>
    <row r="432" spans="1:5">
      <c r="A432" s="61"/>
      <c r="B432" s="61"/>
      <c r="C432" s="61"/>
      <c r="D432" s="61"/>
      <c r="E432" s="61"/>
    </row>
    <row r="433" spans="1:5">
      <c r="A433" s="61"/>
      <c r="B433" s="61"/>
      <c r="C433" s="61"/>
      <c r="D433" s="61"/>
      <c r="E433" s="61"/>
    </row>
    <row r="434" spans="1:5">
      <c r="A434" s="61"/>
      <c r="B434" s="61"/>
      <c r="C434" s="61"/>
      <c r="D434" s="61"/>
      <c r="E434" s="61"/>
    </row>
    <row r="435" spans="1:5">
      <c r="A435" s="61"/>
      <c r="B435" s="61"/>
      <c r="C435" s="61"/>
      <c r="D435" s="61"/>
      <c r="E435" s="61"/>
    </row>
    <row r="436" spans="1:5">
      <c r="A436" s="61"/>
      <c r="B436" s="61"/>
      <c r="C436" s="61"/>
      <c r="D436" s="61"/>
      <c r="E436" s="61"/>
    </row>
    <row r="437" spans="1:5">
      <c r="A437" s="61"/>
      <c r="B437" s="61"/>
      <c r="C437" s="61"/>
      <c r="D437" s="61"/>
      <c r="E437" s="61"/>
    </row>
    <row r="438" spans="1:5">
      <c r="A438" s="61"/>
      <c r="B438" s="61"/>
      <c r="C438" s="61"/>
      <c r="D438" s="61"/>
      <c r="E438" s="61"/>
    </row>
    <row r="439" spans="1:5">
      <c r="A439" s="61"/>
      <c r="B439" s="61"/>
      <c r="C439" s="61"/>
      <c r="D439" s="61"/>
      <c r="E439" s="61"/>
    </row>
    <row r="440" spans="1:5">
      <c r="A440" s="61"/>
      <c r="B440" s="61"/>
      <c r="C440" s="61"/>
      <c r="D440" s="61"/>
      <c r="E440" s="61"/>
    </row>
    <row r="441" spans="1:5">
      <c r="A441" s="61"/>
      <c r="B441" s="61"/>
      <c r="C441" s="61"/>
      <c r="D441" s="61"/>
      <c r="E441" s="61"/>
    </row>
    <row r="442" spans="1:5">
      <c r="A442" s="61"/>
      <c r="B442" s="61"/>
      <c r="C442" s="61"/>
      <c r="D442" s="61"/>
      <c r="E442" s="61"/>
    </row>
    <row r="443" spans="1:5">
      <c r="A443" s="61"/>
      <c r="B443" s="61"/>
      <c r="C443" s="61"/>
      <c r="D443" s="61"/>
      <c r="E443" s="61"/>
    </row>
    <row r="444" spans="1:5">
      <c r="A444" s="61"/>
      <c r="B444" s="61"/>
      <c r="C444" s="61"/>
      <c r="D444" s="61"/>
      <c r="E444" s="61"/>
    </row>
    <row r="445" spans="1:5">
      <c r="A445" s="61"/>
      <c r="B445" s="61"/>
      <c r="C445" s="61"/>
      <c r="D445" s="61"/>
      <c r="E445" s="61"/>
    </row>
    <row r="446" spans="1:5">
      <c r="A446" s="61"/>
      <c r="B446" s="61"/>
      <c r="C446" s="61"/>
      <c r="D446" s="61"/>
      <c r="E446" s="61"/>
    </row>
    <row r="447" spans="1:5">
      <c r="A447" s="61"/>
      <c r="B447" s="61"/>
      <c r="C447" s="61"/>
      <c r="D447" s="61"/>
      <c r="E447" s="61"/>
    </row>
    <row r="448" spans="1:5">
      <c r="A448" s="61"/>
      <c r="B448" s="61"/>
      <c r="C448" s="61"/>
      <c r="D448" s="61"/>
      <c r="E448" s="61"/>
    </row>
    <row r="449" spans="1:5">
      <c r="A449" s="61"/>
      <c r="B449" s="61"/>
      <c r="C449" s="61"/>
      <c r="D449" s="61"/>
      <c r="E449" s="61"/>
    </row>
    <row r="450" spans="1:5">
      <c r="A450" s="61"/>
      <c r="B450" s="61"/>
      <c r="C450" s="61"/>
      <c r="D450" s="61"/>
      <c r="E450" s="61"/>
    </row>
    <row r="451" spans="1:5">
      <c r="A451" s="61"/>
      <c r="B451" s="61"/>
      <c r="C451" s="61"/>
      <c r="D451" s="61"/>
      <c r="E451" s="61"/>
    </row>
    <row r="452" spans="1:5">
      <c r="A452" s="61"/>
      <c r="B452" s="61"/>
      <c r="C452" s="61"/>
      <c r="D452" s="61"/>
      <c r="E452" s="61"/>
    </row>
    <row r="453" spans="1:5">
      <c r="A453" s="61"/>
      <c r="B453" s="61"/>
      <c r="C453" s="61"/>
      <c r="D453" s="61"/>
      <c r="E453" s="61"/>
    </row>
    <row r="454" spans="1:5">
      <c r="A454" s="61"/>
      <c r="B454" s="61"/>
      <c r="C454" s="61"/>
      <c r="D454" s="61"/>
      <c r="E454" s="61"/>
    </row>
    <row r="455" spans="1:5">
      <c r="A455" s="61"/>
      <c r="B455" s="61"/>
      <c r="C455" s="61"/>
      <c r="D455" s="61"/>
      <c r="E455" s="61"/>
    </row>
    <row r="456" spans="1:5">
      <c r="A456" s="61"/>
      <c r="B456" s="61"/>
      <c r="C456" s="61"/>
      <c r="D456" s="61"/>
      <c r="E456" s="61"/>
    </row>
    <row r="457" spans="1:5">
      <c r="A457" s="61"/>
      <c r="B457" s="61"/>
      <c r="C457" s="61"/>
      <c r="D457" s="61"/>
      <c r="E457" s="61"/>
    </row>
    <row r="458" spans="1:5">
      <c r="A458" s="61"/>
      <c r="B458" s="61"/>
      <c r="C458" s="61"/>
      <c r="D458" s="61"/>
      <c r="E458" s="61"/>
    </row>
    <row r="459" spans="1:5">
      <c r="A459" s="61"/>
      <c r="B459" s="61"/>
      <c r="C459" s="61"/>
      <c r="D459" s="61"/>
      <c r="E459" s="61"/>
    </row>
    <row r="460" spans="1:5">
      <c r="A460" s="61"/>
      <c r="B460" s="61"/>
      <c r="C460" s="61"/>
      <c r="D460" s="61"/>
      <c r="E460" s="61"/>
    </row>
    <row r="461" spans="1:5">
      <c r="A461" s="61"/>
      <c r="B461" s="61"/>
      <c r="C461" s="61"/>
      <c r="D461" s="61"/>
      <c r="E461" s="61"/>
    </row>
    <row r="462" spans="1:5">
      <c r="A462" s="61"/>
      <c r="B462" s="61"/>
      <c r="C462" s="61"/>
      <c r="D462" s="61"/>
      <c r="E462" s="61"/>
    </row>
    <row r="463" spans="1:5">
      <c r="A463" s="61"/>
      <c r="B463" s="61"/>
      <c r="C463" s="61"/>
      <c r="D463" s="61"/>
      <c r="E463" s="61"/>
    </row>
    <row r="464" spans="1:5">
      <c r="A464" s="61"/>
      <c r="B464" s="61"/>
      <c r="C464" s="61"/>
      <c r="D464" s="61"/>
      <c r="E464" s="61"/>
    </row>
    <row r="465" spans="1:5">
      <c r="A465" s="61"/>
      <c r="B465" s="61"/>
      <c r="C465" s="61"/>
      <c r="D465" s="61"/>
      <c r="E465" s="61"/>
    </row>
    <row r="466" spans="1:5">
      <c r="A466" s="61"/>
      <c r="B466" s="61"/>
      <c r="C466" s="61"/>
      <c r="D466" s="61"/>
      <c r="E466" s="61"/>
    </row>
    <row r="467" spans="1:5">
      <c r="A467" s="61"/>
      <c r="B467" s="61"/>
      <c r="C467" s="61"/>
      <c r="D467" s="61"/>
      <c r="E467" s="61"/>
    </row>
    <row r="468" spans="1:5">
      <c r="A468" s="61"/>
      <c r="B468" s="61"/>
      <c r="C468" s="61"/>
      <c r="D468" s="61"/>
      <c r="E468" s="61"/>
    </row>
    <row r="469" spans="1:5">
      <c r="A469" s="61"/>
      <c r="B469" s="61"/>
      <c r="C469" s="61"/>
      <c r="D469" s="61"/>
      <c r="E469" s="61"/>
    </row>
    <row r="470" spans="1:5">
      <c r="A470" s="61"/>
      <c r="B470" s="61"/>
      <c r="C470" s="61"/>
      <c r="D470" s="61"/>
      <c r="E470" s="61"/>
    </row>
    <row r="471" spans="1:5">
      <c r="A471" s="61"/>
      <c r="B471" s="61"/>
      <c r="C471" s="61"/>
      <c r="D471" s="61"/>
      <c r="E471" s="61"/>
    </row>
    <row r="472" spans="1:5">
      <c r="A472" s="61"/>
      <c r="B472" s="61"/>
      <c r="C472" s="61"/>
      <c r="D472" s="61"/>
      <c r="E472" s="61"/>
    </row>
    <row r="473" spans="1:5">
      <c r="A473" s="61"/>
      <c r="B473" s="61"/>
      <c r="C473" s="61"/>
      <c r="D473" s="61"/>
      <c r="E473" s="61"/>
    </row>
    <row r="474" spans="1:5">
      <c r="A474" s="61"/>
      <c r="B474" s="61"/>
      <c r="C474" s="61"/>
      <c r="D474" s="61"/>
      <c r="E474" s="61"/>
    </row>
    <row r="475" spans="1:5">
      <c r="A475" s="61"/>
      <c r="B475" s="61"/>
      <c r="C475" s="61"/>
      <c r="D475" s="61"/>
      <c r="E475" s="61"/>
    </row>
    <row r="476" spans="1:5">
      <c r="A476" s="61"/>
      <c r="B476" s="61"/>
      <c r="C476" s="61"/>
      <c r="D476" s="61"/>
      <c r="E476" s="61"/>
    </row>
    <row r="477" spans="1:5">
      <c r="A477" s="61"/>
      <c r="B477" s="61"/>
      <c r="C477" s="61"/>
      <c r="D477" s="61"/>
      <c r="E477" s="61"/>
    </row>
    <row r="478" spans="1:5">
      <c r="A478" s="61"/>
      <c r="B478" s="61"/>
      <c r="C478" s="61"/>
      <c r="D478" s="61"/>
      <c r="E478" s="61"/>
    </row>
    <row r="479" spans="1:5">
      <c r="A479" s="61"/>
      <c r="B479" s="61"/>
      <c r="C479" s="61"/>
      <c r="D479" s="61"/>
      <c r="E479" s="61"/>
    </row>
    <row r="480" spans="1:5">
      <c r="A480" s="61"/>
      <c r="B480" s="61"/>
      <c r="C480" s="61"/>
      <c r="D480" s="61"/>
      <c r="E480" s="61"/>
    </row>
    <row r="481" spans="1:5">
      <c r="A481" s="61"/>
      <c r="B481" s="61"/>
      <c r="C481" s="61"/>
      <c r="D481" s="61"/>
      <c r="E481" s="61"/>
    </row>
    <row r="482" spans="1:5">
      <c r="A482" s="61"/>
      <c r="B482" s="61"/>
      <c r="C482" s="61"/>
      <c r="D482" s="61"/>
      <c r="E482" s="61"/>
    </row>
    <row r="483" spans="1:5">
      <c r="A483" s="61"/>
      <c r="B483" s="61"/>
      <c r="C483" s="61"/>
      <c r="D483" s="61"/>
      <c r="E483" s="61"/>
    </row>
    <row r="484" spans="1:5">
      <c r="A484" s="61"/>
      <c r="B484" s="61"/>
      <c r="C484" s="61"/>
      <c r="D484" s="61"/>
      <c r="E484" s="61"/>
    </row>
    <row r="485" spans="1:5">
      <c r="A485" s="61"/>
      <c r="B485" s="61"/>
      <c r="C485" s="61"/>
      <c r="D485" s="61"/>
      <c r="E485" s="61"/>
    </row>
    <row r="486" spans="1:5">
      <c r="A486" s="61"/>
      <c r="B486" s="61"/>
      <c r="C486" s="61"/>
      <c r="D486" s="61"/>
      <c r="E486" s="61"/>
    </row>
    <row r="487" spans="1:5">
      <c r="A487" s="61"/>
      <c r="B487" s="61"/>
      <c r="C487" s="61"/>
      <c r="D487" s="61"/>
      <c r="E487" s="61"/>
    </row>
    <row r="488" spans="1:5">
      <c r="A488" s="61"/>
      <c r="B488" s="61"/>
      <c r="C488" s="61"/>
      <c r="D488" s="61"/>
      <c r="E488" s="61"/>
    </row>
    <row r="489" spans="1:5">
      <c r="A489" s="61"/>
      <c r="B489" s="61"/>
      <c r="C489" s="61"/>
      <c r="D489" s="61"/>
      <c r="E489" s="61"/>
    </row>
    <row r="490" spans="1:5">
      <c r="A490" s="61"/>
      <c r="B490" s="61"/>
      <c r="C490" s="61"/>
      <c r="D490" s="61"/>
      <c r="E490" s="61"/>
    </row>
    <row r="491" spans="1:5">
      <c r="A491" s="61"/>
      <c r="B491" s="61"/>
      <c r="C491" s="61"/>
      <c r="D491" s="61"/>
      <c r="E491" s="61"/>
    </row>
    <row r="492" spans="1:5">
      <c r="A492" s="61"/>
      <c r="B492" s="61"/>
      <c r="C492" s="61"/>
      <c r="D492" s="61"/>
      <c r="E492" s="61"/>
    </row>
    <row r="493" spans="1:5">
      <c r="A493" s="61"/>
      <c r="B493" s="61"/>
      <c r="C493" s="61"/>
      <c r="D493" s="61"/>
      <c r="E493" s="61"/>
    </row>
    <row r="494" spans="1:5">
      <c r="A494" s="61"/>
      <c r="B494" s="61"/>
      <c r="C494" s="61"/>
      <c r="D494" s="61"/>
      <c r="E494" s="61"/>
    </row>
    <row r="495" spans="1:5">
      <c r="A495" s="61"/>
      <c r="B495" s="61"/>
      <c r="C495" s="61"/>
      <c r="D495" s="61"/>
      <c r="E495" s="61"/>
    </row>
    <row r="496" spans="1:5">
      <c r="A496" s="61"/>
      <c r="B496" s="61"/>
      <c r="C496" s="61"/>
      <c r="D496" s="61"/>
      <c r="E496" s="61"/>
    </row>
    <row r="497" spans="1:5">
      <c r="A497" s="61"/>
      <c r="B497" s="61"/>
      <c r="C497" s="61"/>
      <c r="D497" s="61"/>
      <c r="E497" s="61"/>
    </row>
    <row r="498" spans="1:5">
      <c r="A498" s="61"/>
      <c r="B498" s="61"/>
      <c r="C498" s="61"/>
      <c r="D498" s="61"/>
      <c r="E498" s="61"/>
    </row>
    <row r="499" spans="1:5">
      <c r="A499" s="61"/>
      <c r="B499" s="61"/>
      <c r="C499" s="61"/>
      <c r="D499" s="61"/>
      <c r="E499" s="61"/>
    </row>
    <row r="500" spans="1:5">
      <c r="A500" s="61"/>
      <c r="B500" s="61"/>
      <c r="C500" s="61"/>
      <c r="D500" s="61"/>
      <c r="E500" s="61"/>
    </row>
    <row r="501" spans="1:5">
      <c r="A501" s="61"/>
      <c r="B501" s="61"/>
      <c r="C501" s="61"/>
      <c r="D501" s="61"/>
      <c r="E501" s="61"/>
    </row>
    <row r="502" spans="1:5">
      <c r="A502" s="61"/>
      <c r="B502" s="61"/>
      <c r="C502" s="61"/>
      <c r="D502" s="61"/>
      <c r="E502" s="61"/>
    </row>
    <row r="503" spans="1:5">
      <c r="A503" s="61"/>
      <c r="B503" s="61"/>
      <c r="C503" s="61"/>
      <c r="D503" s="61"/>
      <c r="E503" s="61"/>
    </row>
    <row r="504" spans="1:5">
      <c r="A504" s="61"/>
      <c r="B504" s="61"/>
      <c r="C504" s="61"/>
      <c r="D504" s="61"/>
      <c r="E504" s="61"/>
    </row>
    <row r="505" spans="1:5">
      <c r="A505" s="61"/>
      <c r="B505" s="61"/>
      <c r="C505" s="61"/>
      <c r="D505" s="61"/>
      <c r="E505" s="61"/>
    </row>
    <row r="506" spans="1:5">
      <c r="A506" s="61"/>
      <c r="B506" s="61"/>
      <c r="C506" s="61"/>
      <c r="D506" s="61"/>
      <c r="E506" s="61"/>
    </row>
    <row r="507" spans="1:5">
      <c r="A507" s="61"/>
      <c r="B507" s="61"/>
      <c r="C507" s="61"/>
      <c r="D507" s="61"/>
      <c r="E507" s="61"/>
    </row>
    <row r="508" spans="1:5">
      <c r="A508" s="61"/>
      <c r="B508" s="61"/>
      <c r="C508" s="61"/>
      <c r="D508" s="61"/>
      <c r="E508" s="61"/>
    </row>
    <row r="509" spans="1:5">
      <c r="A509" s="61"/>
      <c r="B509" s="61"/>
      <c r="C509" s="61"/>
      <c r="D509" s="61"/>
      <c r="E509" s="61"/>
    </row>
    <row r="510" spans="1:5">
      <c r="A510" s="61"/>
      <c r="B510" s="61"/>
      <c r="C510" s="61"/>
      <c r="D510" s="61"/>
      <c r="E510" s="61"/>
    </row>
    <row r="511" spans="1:5">
      <c r="A511" s="61"/>
      <c r="B511" s="61"/>
      <c r="C511" s="61"/>
      <c r="D511" s="61"/>
      <c r="E511" s="61"/>
    </row>
    <row r="512" spans="1:5">
      <c r="A512" s="61"/>
      <c r="B512" s="61"/>
      <c r="C512" s="61"/>
      <c r="D512" s="61"/>
      <c r="E512" s="61"/>
    </row>
    <row r="513" spans="1:5">
      <c r="A513" s="61"/>
      <c r="B513" s="61"/>
      <c r="C513" s="61"/>
      <c r="D513" s="61"/>
      <c r="E513" s="61"/>
    </row>
    <row r="514" spans="1:5">
      <c r="A514" s="61"/>
      <c r="B514" s="61"/>
      <c r="C514" s="61"/>
      <c r="D514" s="61"/>
      <c r="E514" s="61"/>
    </row>
    <row r="515" spans="1:5">
      <c r="A515" s="61"/>
      <c r="B515" s="61"/>
      <c r="C515" s="61"/>
      <c r="D515" s="61"/>
      <c r="E515" s="61"/>
    </row>
    <row r="516" spans="1:5">
      <c r="A516" s="61"/>
      <c r="B516" s="61"/>
      <c r="C516" s="61"/>
      <c r="D516" s="61"/>
      <c r="E516" s="61"/>
    </row>
    <row r="517" spans="1:5">
      <c r="A517" s="61"/>
      <c r="B517" s="61"/>
      <c r="C517" s="61"/>
      <c r="D517" s="61"/>
      <c r="E517" s="61"/>
    </row>
    <row r="518" spans="1:5">
      <c r="A518" s="61"/>
      <c r="B518" s="61"/>
      <c r="C518" s="61"/>
      <c r="D518" s="61"/>
      <c r="E518" s="61"/>
    </row>
    <row r="519" spans="1:5">
      <c r="A519" s="61"/>
      <c r="B519" s="61"/>
      <c r="C519" s="61"/>
      <c r="D519" s="61"/>
      <c r="E519" s="61"/>
    </row>
    <row r="520" spans="1:5">
      <c r="A520" s="61"/>
      <c r="B520" s="61"/>
      <c r="C520" s="61"/>
      <c r="D520" s="61"/>
      <c r="E520" s="61"/>
    </row>
    <row r="521" spans="1:5">
      <c r="A521" s="61"/>
      <c r="B521" s="61"/>
      <c r="C521" s="61"/>
      <c r="D521" s="61"/>
      <c r="E521" s="61"/>
    </row>
    <row r="522" spans="1:5">
      <c r="A522" s="61"/>
      <c r="B522" s="61"/>
      <c r="C522" s="61"/>
      <c r="D522" s="61"/>
      <c r="E522" s="61"/>
    </row>
    <row r="523" spans="1:5">
      <c r="A523" s="61"/>
      <c r="B523" s="61"/>
      <c r="C523" s="61"/>
      <c r="D523" s="61"/>
      <c r="E523" s="61"/>
    </row>
    <row r="524" spans="1:5">
      <c r="A524" s="61"/>
      <c r="B524" s="61"/>
      <c r="C524" s="61"/>
      <c r="D524" s="61"/>
      <c r="E524" s="61"/>
    </row>
    <row r="525" spans="1:5">
      <c r="A525" s="61"/>
      <c r="B525" s="61"/>
      <c r="C525" s="61"/>
      <c r="D525" s="61"/>
      <c r="E525" s="61"/>
    </row>
    <row r="526" spans="1:5">
      <c r="A526" s="61"/>
      <c r="B526" s="61"/>
      <c r="C526" s="61"/>
      <c r="D526" s="61"/>
      <c r="E526" s="61"/>
    </row>
    <row r="527" spans="1:5">
      <c r="A527" s="61"/>
      <c r="B527" s="61"/>
      <c r="C527" s="61"/>
      <c r="D527" s="61"/>
      <c r="E527" s="61"/>
    </row>
    <row r="528" spans="1:5">
      <c r="A528" s="61"/>
      <c r="B528" s="61"/>
      <c r="C528" s="61"/>
      <c r="D528" s="61"/>
      <c r="E528" s="61"/>
    </row>
    <row r="529" spans="1:5">
      <c r="A529" s="61"/>
      <c r="B529" s="61"/>
      <c r="C529" s="61"/>
      <c r="D529" s="61"/>
      <c r="E529" s="61"/>
    </row>
    <row r="530" spans="1:5">
      <c r="A530" s="61"/>
      <c r="B530" s="61"/>
      <c r="C530" s="61"/>
      <c r="D530" s="61"/>
      <c r="E530" s="61"/>
    </row>
    <row r="531" spans="1:5">
      <c r="A531" s="61"/>
      <c r="B531" s="61"/>
      <c r="C531" s="61"/>
      <c r="D531" s="61"/>
      <c r="E531" s="61"/>
    </row>
    <row r="532" spans="1:5">
      <c r="A532" s="61"/>
      <c r="B532" s="61"/>
      <c r="C532" s="61"/>
      <c r="D532" s="61"/>
      <c r="E532" s="61"/>
    </row>
    <row r="533" spans="1:5">
      <c r="A533" s="61"/>
      <c r="B533" s="61"/>
      <c r="C533" s="61"/>
      <c r="D533" s="61"/>
      <c r="E533" s="61"/>
    </row>
    <row r="534" spans="1:5">
      <c r="A534" s="61"/>
      <c r="B534" s="61"/>
      <c r="C534" s="61"/>
      <c r="D534" s="61"/>
      <c r="E534" s="61"/>
    </row>
    <row r="535" spans="1:5">
      <c r="A535" s="61"/>
      <c r="B535" s="61"/>
      <c r="C535" s="61"/>
      <c r="D535" s="61"/>
      <c r="E535" s="61"/>
    </row>
    <row r="536" spans="1:5">
      <c r="A536" s="61"/>
      <c r="B536" s="61"/>
      <c r="C536" s="61"/>
      <c r="D536" s="61"/>
      <c r="E536" s="61"/>
    </row>
    <row r="537" spans="1:5">
      <c r="A537" s="61"/>
      <c r="B537" s="61"/>
      <c r="C537" s="61"/>
      <c r="D537" s="61"/>
      <c r="E537" s="61"/>
    </row>
  </sheetData>
  <mergeCells count="1">
    <mergeCell ref="A301:C301"/>
  </mergeCells>
  <hyperlinks>
    <hyperlink ref="B170" r:id="rId1" display="https://nucore.northwestern.edu/facilities" xr:uid="{00000000-0004-0000-1000-000000000000}"/>
    <hyperlink ref="B171" r:id="rId2" display="https://nucore.northwestern.edu/facilities" xr:uid="{00000000-0004-0000-1000-000001000000}"/>
    <hyperlink ref="B172" r:id="rId3" display="https://nucore.northwestern.edu/facilities" xr:uid="{00000000-0004-0000-1000-000002000000}"/>
  </hyperlinks>
  <pageMargins left="0.75" right="0.75" top="1" bottom="1" header="0.5" footer="0.5"/>
  <pageSetup scale="70" fitToHeight="0" orientation="portrait" r:id="rId4"/>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25"/>
  <sheetViews>
    <sheetView workbookViewId="0">
      <selection activeCell="B31" sqref="B31"/>
    </sheetView>
  </sheetViews>
  <sheetFormatPr defaultRowHeight="12.75"/>
  <cols>
    <col min="1" max="1" width="11.140625" style="658" customWidth="1"/>
    <col min="2" max="2" width="150.5703125" bestFit="1" customWidth="1"/>
  </cols>
  <sheetData>
    <row r="1" spans="1:2">
      <c r="A1" s="658" t="s">
        <v>829</v>
      </c>
      <c r="B1" t="s">
        <v>830</v>
      </c>
    </row>
    <row r="2" spans="1:2">
      <c r="A2" s="658">
        <v>41706</v>
      </c>
      <c r="B2" t="s">
        <v>831</v>
      </c>
    </row>
    <row r="3" spans="1:2">
      <c r="A3" s="658">
        <v>41702</v>
      </c>
      <c r="B3" t="s">
        <v>872</v>
      </c>
    </row>
    <row r="4" spans="1:2">
      <c r="A4" s="658">
        <v>41758</v>
      </c>
      <c r="B4" t="s">
        <v>865</v>
      </c>
    </row>
    <row r="5" spans="1:2">
      <c r="A5" s="658">
        <v>41759</v>
      </c>
      <c r="B5" t="s">
        <v>876</v>
      </c>
    </row>
    <row r="6" spans="1:2">
      <c r="A6" s="658">
        <v>41767</v>
      </c>
      <c r="B6" t="s">
        <v>878</v>
      </c>
    </row>
    <row r="7" spans="1:2">
      <c r="A7" s="658">
        <v>41772</v>
      </c>
      <c r="B7" t="s">
        <v>880</v>
      </c>
    </row>
    <row r="8" spans="1:2">
      <c r="A8" s="658">
        <v>41850</v>
      </c>
      <c r="B8" t="s">
        <v>881</v>
      </c>
    </row>
    <row r="9" spans="1:2">
      <c r="A9" s="658">
        <v>41895</v>
      </c>
      <c r="B9" t="s">
        <v>882</v>
      </c>
    </row>
    <row r="10" spans="1:2">
      <c r="A10" s="658">
        <v>41915</v>
      </c>
      <c r="B10" t="s">
        <v>883</v>
      </c>
    </row>
    <row r="11" spans="1:2">
      <c r="A11" s="658">
        <v>42007</v>
      </c>
      <c r="B11" t="s">
        <v>885</v>
      </c>
    </row>
    <row r="12" spans="1:2">
      <c r="A12" s="658">
        <v>42007</v>
      </c>
      <c r="B12" t="s">
        <v>886</v>
      </c>
    </row>
    <row r="13" spans="1:2">
      <c r="A13" s="658">
        <v>42007</v>
      </c>
      <c r="B13" t="s">
        <v>897</v>
      </c>
    </row>
    <row r="14" spans="1:2">
      <c r="A14" s="658">
        <v>42025</v>
      </c>
      <c r="B14" t="s">
        <v>898</v>
      </c>
    </row>
    <row r="15" spans="1:2">
      <c r="A15" s="658">
        <v>42074</v>
      </c>
      <c r="B15" t="s">
        <v>909</v>
      </c>
    </row>
    <row r="16" spans="1:2">
      <c r="A16" s="658">
        <v>42111</v>
      </c>
      <c r="B16" t="s">
        <v>912</v>
      </c>
    </row>
    <row r="17" spans="1:2">
      <c r="A17" s="658">
        <v>42196</v>
      </c>
      <c r="B17" t="s">
        <v>917</v>
      </c>
    </row>
    <row r="18" spans="1:2">
      <c r="A18" s="658">
        <v>42266</v>
      </c>
      <c r="B18" t="s">
        <v>918</v>
      </c>
    </row>
    <row r="19" spans="1:2">
      <c r="A19" s="658">
        <v>42276</v>
      </c>
      <c r="B19" t="s">
        <v>919</v>
      </c>
    </row>
    <row r="20" spans="1:2">
      <c r="A20" s="658">
        <v>42286</v>
      </c>
      <c r="B20" t="s">
        <v>920</v>
      </c>
    </row>
    <row r="21" spans="1:2">
      <c r="A21" s="658">
        <v>42294</v>
      </c>
      <c r="B21" t="s">
        <v>921</v>
      </c>
    </row>
    <row r="22" spans="1:2">
      <c r="A22" s="658">
        <v>42299</v>
      </c>
      <c r="B22" t="s">
        <v>922</v>
      </c>
    </row>
    <row r="23" spans="1:2">
      <c r="A23" s="658">
        <v>42315</v>
      </c>
      <c r="B23" t="s">
        <v>924</v>
      </c>
    </row>
    <row r="24" spans="1:2">
      <c r="A24" s="658">
        <v>42328</v>
      </c>
      <c r="B24" t="s">
        <v>925</v>
      </c>
    </row>
    <row r="25" spans="1:2">
      <c r="A25" s="658">
        <v>42340</v>
      </c>
      <c r="B25" t="s">
        <v>926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7" tint="0.39997558519241921"/>
    <pageSetUpPr fitToPage="1"/>
  </sheetPr>
  <dimension ref="A1:AN101"/>
  <sheetViews>
    <sheetView zoomScaleNormal="100" workbookViewId="0">
      <selection activeCell="T1" sqref="T1"/>
    </sheetView>
  </sheetViews>
  <sheetFormatPr defaultRowHeight="15.75"/>
  <cols>
    <col min="1" max="1" width="47.42578125" style="73" bestFit="1" customWidth="1"/>
    <col min="2" max="3" width="11.85546875" style="73" customWidth="1"/>
    <col min="4" max="4" width="1.28515625" style="73" customWidth="1"/>
    <col min="5" max="6" width="11.85546875" style="73" customWidth="1"/>
    <col min="7" max="7" width="1.28515625" style="73" customWidth="1"/>
    <col min="8" max="9" width="11.85546875" style="73" customWidth="1"/>
    <col min="10" max="10" width="1.28515625" style="73" customWidth="1"/>
    <col min="11" max="12" width="11.85546875" style="73" customWidth="1"/>
    <col min="13" max="13" width="1.28515625" style="73" customWidth="1"/>
    <col min="14" max="15" width="11.85546875" style="73" customWidth="1"/>
    <col min="16" max="16" width="1.28515625" style="73" customWidth="1"/>
    <col min="17" max="18" width="11.85546875" style="73" customWidth="1"/>
    <col min="19" max="19" width="1.28515625" style="73" customWidth="1"/>
    <col min="20" max="20" width="35.7109375" style="4" bestFit="1" customWidth="1"/>
    <col min="21" max="21" width="3.85546875" style="73" customWidth="1"/>
    <col min="22" max="24" width="9.140625" style="73"/>
    <col min="25" max="25" width="9" style="73" customWidth="1"/>
    <col min="26" max="29" width="9.140625" style="73"/>
    <col min="30" max="30" width="17.42578125" style="73" bestFit="1" customWidth="1"/>
    <col min="31" max="31" width="3.85546875" style="73" customWidth="1"/>
    <col min="32" max="39" width="9.140625" style="73"/>
    <col min="40" max="40" width="10.28515625" style="73" bestFit="1" customWidth="1"/>
    <col min="41" max="16384" width="9.140625" style="73"/>
  </cols>
  <sheetData>
    <row r="1" spans="1:40" ht="31.5" customHeight="1" thickBot="1">
      <c r="A1" s="742" t="str">
        <f>'BP1'!A1</f>
        <v>Title</v>
      </c>
      <c r="B1" s="743"/>
      <c r="C1" s="743"/>
      <c r="D1" s="743"/>
      <c r="E1" s="743"/>
      <c r="F1" s="743"/>
      <c r="G1" s="743"/>
      <c r="H1" s="743"/>
      <c r="I1" s="743"/>
      <c r="J1" s="743"/>
      <c r="K1" s="743"/>
      <c r="L1" s="743"/>
      <c r="M1" s="743"/>
      <c r="N1" s="743"/>
      <c r="O1" s="743"/>
      <c r="P1" s="743"/>
      <c r="Q1" s="743"/>
      <c r="R1" s="744"/>
      <c r="T1" s="139" t="s">
        <v>194</v>
      </c>
      <c r="V1" s="747" t="s">
        <v>463</v>
      </c>
      <c r="W1" s="748"/>
      <c r="X1" s="748"/>
      <c r="Y1" s="748"/>
      <c r="Z1" s="748"/>
      <c r="AA1" s="748"/>
      <c r="AB1" s="748"/>
      <c r="AC1" s="748"/>
      <c r="AD1" s="748"/>
      <c r="AE1" s="748"/>
      <c r="AF1" s="748"/>
      <c r="AG1" s="748"/>
      <c r="AH1" s="748"/>
      <c r="AI1" s="748"/>
      <c r="AJ1" s="748"/>
      <c r="AK1" s="748"/>
      <c r="AL1" s="748"/>
      <c r="AM1" s="748"/>
      <c r="AN1" s="749"/>
    </row>
    <row r="2" spans="1:40" ht="31.5" customHeight="1">
      <c r="A2" s="766" t="str">
        <f>"Northwestern PI 
"&amp;'BP1'!A11</f>
        <v>Northwestern PI 
Professor McCormick</v>
      </c>
      <c r="B2" s="766"/>
      <c r="C2" s="766"/>
      <c r="D2" s="765" t="str">
        <f>CONCATENATE("Start Date: 
",TEXT('BP1'!K8,"mmmm d, yyyy"))</f>
        <v>Start Date: 
September 1, 2019</v>
      </c>
      <c r="E2" s="765"/>
      <c r="F2" s="765"/>
      <c r="G2" s="765"/>
      <c r="H2" s="765"/>
      <c r="I2" s="765" t="str">
        <f ca="1">CONCATENATE("End Date: 
",TEXT(INDIRECT("BP"&amp;'BP1'!K5&amp;"!K10"),"mmmm d, yyyy"))</f>
        <v>End Date: 
August 31, 2020</v>
      </c>
      <c r="J2" s="765"/>
      <c r="K2" s="765"/>
      <c r="L2" s="765"/>
      <c r="M2" s="765"/>
      <c r="N2" s="745" t="str">
        <f>CONCATENATE('BP1'!K5," ","Budget Period",IF('BP1'!K5&gt;1,"s",""))</f>
        <v>1 Budget Period</v>
      </c>
      <c r="O2" s="745"/>
      <c r="P2" s="745"/>
      <c r="Q2" s="745"/>
      <c r="R2" s="745"/>
      <c r="T2" s="136" t="s">
        <v>225</v>
      </c>
      <c r="V2" s="750"/>
      <c r="W2" s="751"/>
      <c r="X2" s="751"/>
      <c r="Y2" s="751"/>
      <c r="Z2" s="751"/>
      <c r="AA2" s="751"/>
      <c r="AB2" s="751"/>
      <c r="AC2" s="751"/>
      <c r="AD2" s="751"/>
      <c r="AE2" s="751"/>
      <c r="AF2" s="751"/>
      <c r="AG2" s="751"/>
      <c r="AH2" s="751"/>
      <c r="AI2" s="751"/>
      <c r="AJ2" s="751"/>
      <c r="AK2" s="751"/>
      <c r="AL2" s="751"/>
      <c r="AM2" s="751"/>
      <c r="AN2" s="752"/>
    </row>
    <row r="3" spans="1:40" ht="16.5" thickBot="1">
      <c r="A3" s="730" t="str">
        <f>IF('BP1'!L2="No F&amp;A","No Indirect Costs",CONCATENATE("Initial Fiscal Year ",'BP1'!K2," ",'BP1'!L2," F&amp;A Rate of ",IF('BP1'!L2="Custom",TEXT('BP1'!I77,"0.00%"),TEXT('BP1'!G77,"0.00%"))))</f>
        <v>Initial Fiscal Year Federal On Campus F&amp;A Rate of 58.00%</v>
      </c>
      <c r="B3" s="730"/>
      <c r="C3" s="730"/>
      <c r="D3" s="544"/>
      <c r="E3" s="544"/>
      <c r="F3" s="544"/>
      <c r="G3" s="545"/>
      <c r="H3" s="730" t="str">
        <f>'BP1'!K3</f>
        <v>MTDC</v>
      </c>
      <c r="I3" s="730"/>
      <c r="J3" s="544"/>
      <c r="K3" s="544"/>
      <c r="L3" s="544"/>
      <c r="M3" s="544"/>
      <c r="N3" s="730" t="str">
        <f>CONCATENATE(TEXT('BP1'!$K$7,"0.00%")," ","Annual Salary Increase")</f>
        <v>3.00% Annual Salary Increase</v>
      </c>
      <c r="O3" s="730"/>
      <c r="P3" s="730"/>
      <c r="Q3" s="730"/>
      <c r="R3" s="730"/>
      <c r="T3" s="136" t="s">
        <v>225</v>
      </c>
      <c r="V3" s="753"/>
      <c r="W3" s="754"/>
      <c r="X3" s="754"/>
      <c r="Y3" s="754"/>
      <c r="Z3" s="754"/>
      <c r="AA3" s="754"/>
      <c r="AB3" s="754"/>
      <c r="AC3" s="754"/>
      <c r="AD3" s="754"/>
      <c r="AE3" s="754"/>
      <c r="AF3" s="754"/>
      <c r="AG3" s="754"/>
      <c r="AH3" s="754"/>
      <c r="AI3" s="754"/>
      <c r="AJ3" s="754"/>
      <c r="AK3" s="754"/>
      <c r="AL3" s="754"/>
      <c r="AM3" s="754"/>
      <c r="AN3" s="755"/>
    </row>
    <row r="4" spans="1:40" ht="16.5" thickBot="1">
      <c r="A4" s="746" t="str">
        <f ca="1">IF('BP1'!N84=0,"Note: You have not budgeted Cost-Share funds. Please use the Sponsor-only Budget.","")</f>
        <v>Note: You have not budgeted Cost-Share funds. Please use the Sponsor-only Budget.</v>
      </c>
      <c r="B4" s="746"/>
      <c r="C4" s="746"/>
      <c r="D4" s="746"/>
      <c r="E4" s="746"/>
      <c r="F4" s="746"/>
      <c r="G4" s="746"/>
      <c r="H4" s="746"/>
      <c r="I4" s="746"/>
      <c r="J4" s="746"/>
      <c r="K4" s="746"/>
      <c r="L4" s="746"/>
      <c r="M4" s="746"/>
      <c r="N4" s="746"/>
      <c r="O4" s="746"/>
      <c r="P4" s="746"/>
      <c r="Q4" s="746"/>
      <c r="R4" s="746"/>
      <c r="T4" s="136" t="s">
        <v>225</v>
      </c>
      <c r="V4" s="234"/>
      <c r="W4" s="234"/>
      <c r="X4" s="234"/>
      <c r="Y4" s="234"/>
    </row>
    <row r="5" spans="1:40" ht="16.5" thickBot="1">
      <c r="A5" s="731"/>
      <c r="B5" s="756" t="s">
        <v>431</v>
      </c>
      <c r="C5" s="757"/>
      <c r="D5" s="289"/>
      <c r="E5" s="756" t="str">
        <f>IF('BP1'!$K$5&gt;1,"Budget Period 2","")</f>
        <v/>
      </c>
      <c r="F5" s="757"/>
      <c r="G5" s="289"/>
      <c r="H5" s="756" t="str">
        <f>IF('BP1'!$K$5&gt;2,"Budget Period 3","")</f>
        <v/>
      </c>
      <c r="I5" s="757"/>
      <c r="J5" s="289"/>
      <c r="K5" s="756" t="str">
        <f>IF('BP1'!$K$5&gt;3,"Budget Period 4","")</f>
        <v/>
      </c>
      <c r="L5" s="757"/>
      <c r="M5" s="289"/>
      <c r="N5" s="756" t="str">
        <f>IF('BP1'!$K$5&gt;4,"Budget Period 5","")</f>
        <v/>
      </c>
      <c r="O5" s="757"/>
      <c r="P5" s="289"/>
      <c r="Q5" s="756" t="s">
        <v>296</v>
      </c>
      <c r="R5" s="757"/>
      <c r="S5" s="289"/>
      <c r="T5" s="136" t="s">
        <v>225</v>
      </c>
    </row>
    <row r="6" spans="1:40" ht="16.5" thickBot="1">
      <c r="A6" s="731"/>
      <c r="B6" s="763" t="str">
        <f>IF('BP1'!$K$5&gt;0,CONCATENATE(TEXT('BP1'!$K$8,"m/d/yy")," - ",TEXT('BP1'!$K$10,"m/d/yy")),"")</f>
        <v>9/1/19 - 8/31/20</v>
      </c>
      <c r="C6" s="764"/>
      <c r="D6" s="289"/>
      <c r="E6" s="763" t="str">
        <f>IF('BP1'!$K$5&gt;1,CONCATENATE(TEXT('BP2'!$K$8,"m/d/yy")," - ",TEXT('BP2'!$K$10,"m/d/yy")),"")</f>
        <v/>
      </c>
      <c r="F6" s="764"/>
      <c r="G6" s="289"/>
      <c r="H6" s="763" t="str">
        <f>IF('BP1'!$K$5&gt;2,CONCATENATE(TEXT('BP3'!$K$8,"m/d/yy")," - ",TEXT('BP3'!$K$10,"m/d/yy")),"")</f>
        <v/>
      </c>
      <c r="I6" s="764"/>
      <c r="J6" s="289"/>
      <c r="K6" s="763" t="str">
        <f>IF('BP1'!$K$5&gt;3,CONCATENATE(TEXT('BP4'!$K$8,"m/d/yy")," - ",TEXT('BP4'!$K$10,"m/d/yy")),"")</f>
        <v/>
      </c>
      <c r="L6" s="764"/>
      <c r="M6" s="289"/>
      <c r="N6" s="763" t="str">
        <f>IF('BP1'!$K$5&gt;4,CONCATENATE(TEXT('BP5'!$K$8,"m/d/yy")," - ",TEXT('BP5'!$K$10,"m/d/yy")),"")</f>
        <v/>
      </c>
      <c r="O6" s="764"/>
      <c r="P6" s="289"/>
      <c r="Q6" s="763" t="str">
        <f ca="1">CONCATENATE(TEXT('BP1'!K8,"m/d/yy")," - ",TEXT(INDIRECT("BP"&amp;'BP1'!K5&amp;"!K10"),"m/d/yy"))</f>
        <v>9/1/19 - 8/31/20</v>
      </c>
      <c r="R6" s="764"/>
      <c r="S6" s="289"/>
      <c r="T6" s="136" t="s">
        <v>225</v>
      </c>
      <c r="V6" s="736" t="s">
        <v>207</v>
      </c>
      <c r="W6" s="737"/>
      <c r="X6" s="737"/>
      <c r="Y6" s="737"/>
      <c r="Z6" s="737"/>
      <c r="AA6" s="737"/>
      <c r="AB6" s="737"/>
      <c r="AC6" s="737"/>
      <c r="AD6" s="738"/>
      <c r="AF6" s="759" t="s">
        <v>517</v>
      </c>
      <c r="AG6" s="760"/>
      <c r="AH6" s="760"/>
      <c r="AI6" s="760"/>
      <c r="AJ6" s="760"/>
      <c r="AK6" s="760"/>
      <c r="AL6" s="760"/>
      <c r="AM6" s="760"/>
      <c r="AN6" s="761"/>
    </row>
    <row r="7" spans="1:40" ht="16.5" customHeight="1" thickBot="1">
      <c r="A7" s="732"/>
      <c r="B7" s="300" t="s">
        <v>207</v>
      </c>
      <c r="C7" s="301" t="s">
        <v>517</v>
      </c>
      <c r="D7" s="79"/>
      <c r="E7" s="300" t="s">
        <v>207</v>
      </c>
      <c r="F7" s="301" t="s">
        <v>517</v>
      </c>
      <c r="G7" s="79"/>
      <c r="H7" s="300" t="s">
        <v>207</v>
      </c>
      <c r="I7" s="301" t="s">
        <v>517</v>
      </c>
      <c r="J7" s="79"/>
      <c r="K7" s="300" t="s">
        <v>207</v>
      </c>
      <c r="L7" s="301" t="s">
        <v>517</v>
      </c>
      <c r="M7" s="79"/>
      <c r="N7" s="300" t="s">
        <v>207</v>
      </c>
      <c r="O7" s="301" t="s">
        <v>517</v>
      </c>
      <c r="P7" s="79"/>
      <c r="Q7" s="300" t="s">
        <v>207</v>
      </c>
      <c r="R7" s="301" t="s">
        <v>517</v>
      </c>
      <c r="S7" s="79"/>
      <c r="T7" s="136" t="s">
        <v>225</v>
      </c>
      <c r="V7" s="739" t="s">
        <v>233</v>
      </c>
      <c r="W7" s="740"/>
      <c r="X7" s="741"/>
      <c r="Y7" s="434" t="s">
        <v>458</v>
      </c>
      <c r="Z7" s="434" t="s">
        <v>459</v>
      </c>
      <c r="AA7" s="434" t="s">
        <v>460</v>
      </c>
      <c r="AB7" s="434" t="s">
        <v>461</v>
      </c>
      <c r="AC7" s="435" t="s">
        <v>462</v>
      </c>
      <c r="AD7" s="434" t="s">
        <v>99</v>
      </c>
      <c r="AF7" s="762" t="s">
        <v>233</v>
      </c>
      <c r="AG7" s="762"/>
      <c r="AH7" s="762"/>
      <c r="AI7" s="436" t="s">
        <v>458</v>
      </c>
      <c r="AJ7" s="436" t="s">
        <v>459</v>
      </c>
      <c r="AK7" s="436" t="s">
        <v>460</v>
      </c>
      <c r="AL7" s="436" t="s">
        <v>461</v>
      </c>
      <c r="AM7" s="437" t="s">
        <v>462</v>
      </c>
      <c r="AN7" s="436" t="s">
        <v>99</v>
      </c>
    </row>
    <row r="8" spans="1:40">
      <c r="A8" s="91" t="str">
        <f>IF('BP1'!$B$15="Professor McCormick","Senior Personnel 1 Salary",IF(ISBLANK('BP1'!$B$15),"Senior Personnel 1 Salary",""&amp;'BP1'!$B$15&amp;" Salary"))</f>
        <v>Senior Personnel 1 Salary</v>
      </c>
      <c r="B8" s="481">
        <f>'BP1'!$K$15</f>
        <v>0</v>
      </c>
      <c r="C8" s="482">
        <f>'BP1'!$N$15</f>
        <v>0</v>
      </c>
      <c r="D8" s="483"/>
      <c r="E8" s="481">
        <f ca="1">'BP2'!$K$15</f>
        <v>0</v>
      </c>
      <c r="F8" s="482">
        <f ca="1">'BP2'!$N$15</f>
        <v>0</v>
      </c>
      <c r="G8" s="483"/>
      <c r="H8" s="481">
        <f ca="1">'BP3'!$K$15</f>
        <v>0</v>
      </c>
      <c r="I8" s="482">
        <f ca="1">'BP3'!$N$15</f>
        <v>0</v>
      </c>
      <c r="J8" s="483"/>
      <c r="K8" s="481">
        <f ca="1">'BP4'!$K$15</f>
        <v>0</v>
      </c>
      <c r="L8" s="482">
        <f ca="1">'BP4'!$N$15</f>
        <v>0</v>
      </c>
      <c r="M8" s="483"/>
      <c r="N8" s="481">
        <f ca="1">'BP5'!$K$15</f>
        <v>0</v>
      </c>
      <c r="O8" s="482">
        <f ca="1">'BP5'!$N$15</f>
        <v>0</v>
      </c>
      <c r="P8" s="483"/>
      <c r="Q8" s="481">
        <f ca="1">B8+E8+H8+K8+N8</f>
        <v>0</v>
      </c>
      <c r="R8" s="482">
        <f ca="1">C8+F8+I8+L8+O8</f>
        <v>0</v>
      </c>
      <c r="S8" s="81"/>
      <c r="T8" s="136" t="s">
        <v>225</v>
      </c>
      <c r="V8" s="702" t="str">
        <f>IF('BP1'!$B$15="Professor McCormick","Senior Personnel 1",IF(ISBLANK('BP1'!$B$15),"Senior Personnel 1",'BP1'!$B$15))</f>
        <v>Senior Personnel 1</v>
      </c>
      <c r="W8" s="703"/>
      <c r="X8" s="704"/>
      <c r="Y8" s="728" t="str">
        <f>IF('BP1'!H15&gt;0,TEXT('BP1'!H15,"0.00")&amp;" CM",IF('BP1'!I15&gt;0,TEXT('BP1'!I15,"0.00")&amp;" AM"&amp;IF(AND('BP1'!I15&gt;0,'BP1'!J15&gt;0),"; ","")&amp;IF('BP1'!J15&gt;0,TEXT('BP1'!J15,"0.00")&amp;" SM",""),IF('BP1'!J15&gt;0,TEXT('BP1'!J15,"0.00")&amp;" SM","---")))</f>
        <v>---</v>
      </c>
      <c r="Z8" s="728" t="str">
        <f>IF('BP2'!H15&gt;0,TEXT('BP2'!H15,"0.00")&amp;" CM",IF('BP2'!I15&gt;0,TEXT('BP2'!I15,"0.00")&amp;" AM"&amp;IF(AND('BP2'!I15&gt;0,'BP2'!J15&gt;0),"; ","")&amp;IF('BP2'!J15&gt;0,TEXT('BP2'!J15,"0.00")&amp;" SM",""),IF('BP2'!J15&gt;0,TEXT('BP2'!J15,"0.00")&amp;" SM","---")))</f>
        <v>---</v>
      </c>
      <c r="AA8" s="728" t="str">
        <f>IF('BP3'!H15&gt;0,TEXT('BP3'!H15,"0.00")&amp;" CM",IF('BP3'!I15&gt;0,TEXT('BP3'!I15,"0.00")&amp;" AM"&amp;IF(AND('BP3'!I15&gt;0,'BP3'!J15&gt;0),"; ","")&amp;IF('BP3'!J15&gt;0,TEXT('BP3'!J15,"0.00")&amp;" SM",""),IF('BP3'!J15&gt;0,TEXT('BP3'!J15,"0.00")&amp;" SM","---")))</f>
        <v>---</v>
      </c>
      <c r="AB8" s="728" t="str">
        <f>IF('BP4'!H15&gt;0,TEXT('BP4'!H15,"0.00")&amp;" CM",IF('BP4'!I15&gt;0,TEXT('BP4'!I15,"0.00")&amp;" AM"&amp;IF(AND('BP4'!I15&gt;0,'BP4'!J15&gt;0),"; ","")&amp;IF('BP4'!J15&gt;0,TEXT('BP4'!J15,"0.00")&amp;" SM",""),IF('BP4'!J15&gt;0,TEXT('BP4'!J15,"0.00")&amp;" SM","---")))</f>
        <v>---</v>
      </c>
      <c r="AC8" s="728" t="str">
        <f>IF('BP5'!H15&gt;0,TEXT('BP5'!H15,"0.00")&amp;" CM",IF('BP5'!I15&gt;0,TEXT('BP5'!I15,"0.00")&amp;" AM"&amp;IF(AND('BP5'!I15&gt;0,'BP5'!J15&gt;0),"; ","")&amp;IF('BP5'!J15&gt;0,TEXT('BP5'!J15,"0.00")&amp;" SM",""),IF('BP5'!J15&gt;0,TEXT('BP5'!J15,"0.00")&amp;" SM","---")))</f>
        <v>---</v>
      </c>
      <c r="AD8" s="728" t="str">
        <f>IF('Cumulative Budget'!H15&gt;0,TEXT('Cumulative Budget'!H15,"0.00")&amp;" CM",IF('Cumulative Budget'!I15&gt;0,TEXT('Cumulative Budget'!I15,"0.00")&amp;" AM"&amp;IF(AND('Cumulative Budget'!I15&gt;0,'Cumulative Budget'!J15&gt;0),"; ","")&amp;IF('Cumulative Budget'!J15&gt;0,TEXT('Cumulative Budget'!J15,"0.00")&amp;" SM",""),IF('Cumulative Budget'!J15&gt;0,TEXT('Cumulative Budget'!J15,"0.00")&amp;" SM","---")))</f>
        <v>---</v>
      </c>
      <c r="AF8" s="758" t="str">
        <f>IF('BP1'!$B$15="Professor McCormick","Senior Personnel 1",IF(ISBLANK('BP1'!$B$15),"Senior Personnel 1",'BP1'!$B$15))</f>
        <v>Senior Personnel 1</v>
      </c>
      <c r="AG8" s="758"/>
      <c r="AH8" s="758"/>
      <c r="AI8" s="721" t="str">
        <f>IF('BP1'!G15&gt;9,TEXT('BP1'!M15,"0.00")&amp;" CM",IF('BP1'!G15=9,TEXT('BP1'!M15,"0.00")&amp;" AM","---"))</f>
        <v>0.00 AM</v>
      </c>
      <c r="AJ8" s="721" t="str">
        <f>IF('BP2'!G15&gt;9,TEXT('BP2'!M15,"0.00")&amp;" CM",IF('BP2'!G15=9,TEXT('BP2'!M15,"0.00")&amp;" AM","---"))</f>
        <v>---</v>
      </c>
      <c r="AK8" s="721" t="str">
        <f>IF('BP3'!G15&gt;9,TEXT('BP3'!M15,"0.00")&amp;" CM",IF('BP3'!G15=9,TEXT('BP3'!M15,"0.00")&amp;" AM","---"))</f>
        <v>---</v>
      </c>
      <c r="AL8" s="721" t="str">
        <f>IF('BP4'!G15&gt;9,TEXT('BP4'!M15,"0.00")&amp;" CM",IF('BP4'!G15=9,TEXT('BP4'!M15,"0.00")&amp;" AM","---"))</f>
        <v>---</v>
      </c>
      <c r="AM8" s="721" t="str">
        <f>IF('BP5'!G15&gt;9,TEXT('BP5'!M15,"0.00")&amp;" CM",IF('BP5'!G15=9,TEXT('BP5'!M15,"0.00")&amp;" AM","---"))</f>
        <v>---</v>
      </c>
      <c r="AN8" s="721" t="str">
        <f>IF('BP1'!G15&gt;9,TEXT('Cumulative Budget'!M15,"0.00")&amp;" CM",IF('BP1'!G15=9,TEXT('Cumulative Budget'!M15,"0.00")&amp;" AM","---"))</f>
        <v>0.00 AM</v>
      </c>
    </row>
    <row r="9" spans="1:40" ht="15.75" customHeight="1">
      <c r="A9" s="91" t="str">
        <f>IF('BP1'!$B$15="Professor McCormick","Senior Personnel 1 Fringe",IF(ISBLANK('BP1'!$B$15),"Senior Personnel 1 Fringe",""&amp;'BP1'!$B$15&amp;" Fringe"))</f>
        <v>Senior Personnel 1 Fringe</v>
      </c>
      <c r="B9" s="484">
        <f>'BP1'!$L$15</f>
        <v>0</v>
      </c>
      <c r="C9" s="485">
        <f>'BP1'!$O$15</f>
        <v>0</v>
      </c>
      <c r="D9" s="483"/>
      <c r="E9" s="484">
        <f ca="1">'BP2'!$L$15</f>
        <v>0</v>
      </c>
      <c r="F9" s="485">
        <f ca="1">'BP2'!$O$15</f>
        <v>0</v>
      </c>
      <c r="G9" s="483"/>
      <c r="H9" s="484">
        <f ca="1">'BP3'!$L$15</f>
        <v>0</v>
      </c>
      <c r="I9" s="485">
        <f ca="1">'BP3'!$O$15</f>
        <v>0</v>
      </c>
      <c r="J9" s="483"/>
      <c r="K9" s="484">
        <f ca="1">'BP4'!$L$15</f>
        <v>0</v>
      </c>
      <c r="L9" s="485">
        <f ca="1">'BP4'!$O$15</f>
        <v>0</v>
      </c>
      <c r="M9" s="483"/>
      <c r="N9" s="484">
        <f ca="1">'BP5'!$L$15</f>
        <v>0</v>
      </c>
      <c r="O9" s="485">
        <f ca="1">'BP5'!$O$15</f>
        <v>0</v>
      </c>
      <c r="P9" s="483"/>
      <c r="Q9" s="484">
        <f t="shared" ref="Q9:Q79" ca="1" si="0">B9+E9+H9+K9+N9</f>
        <v>0</v>
      </c>
      <c r="R9" s="485">
        <f t="shared" ref="R9:R79" ca="1" si="1">C9+F9+I9+L9+O9</f>
        <v>0</v>
      </c>
      <c r="S9" s="81"/>
      <c r="T9" s="136" t="s">
        <v>225</v>
      </c>
      <c r="V9" s="705"/>
      <c r="W9" s="706"/>
      <c r="X9" s="707"/>
      <c r="Y9" s="729"/>
      <c r="Z9" s="729"/>
      <c r="AA9" s="729"/>
      <c r="AB9" s="729"/>
      <c r="AC9" s="729"/>
      <c r="AD9" s="729"/>
      <c r="AF9" s="758"/>
      <c r="AG9" s="758"/>
      <c r="AH9" s="758"/>
      <c r="AI9" s="721"/>
      <c r="AJ9" s="721"/>
      <c r="AK9" s="721"/>
      <c r="AL9" s="721"/>
      <c r="AM9" s="721"/>
      <c r="AN9" s="721"/>
    </row>
    <row r="10" spans="1:40">
      <c r="A10" s="91" t="str">
        <f>CONCATENATE(V10," Salary")</f>
        <v>Senior Personnel 2 Salary</v>
      </c>
      <c r="B10" s="481">
        <f>'BP1'!$K$16</f>
        <v>0</v>
      </c>
      <c r="C10" s="482">
        <f>'BP1'!$N$16</f>
        <v>0</v>
      </c>
      <c r="D10" s="483"/>
      <c r="E10" s="481">
        <f ca="1">'BP2'!$K$16</f>
        <v>0</v>
      </c>
      <c r="F10" s="482">
        <f ca="1">'BP2'!$N$16</f>
        <v>0</v>
      </c>
      <c r="G10" s="483"/>
      <c r="H10" s="481">
        <f ca="1">'BP3'!$K$16</f>
        <v>0</v>
      </c>
      <c r="I10" s="482">
        <f ca="1">'BP3'!$N$16</f>
        <v>0</v>
      </c>
      <c r="J10" s="483"/>
      <c r="K10" s="481">
        <f ca="1">'BP4'!$K$16</f>
        <v>0</v>
      </c>
      <c r="L10" s="482">
        <f ca="1">'BP4'!$N$16</f>
        <v>0</v>
      </c>
      <c r="M10" s="483"/>
      <c r="N10" s="481">
        <f ca="1">'BP5'!$K$16</f>
        <v>0</v>
      </c>
      <c r="O10" s="482">
        <f ca="1">'BP5'!$N$16</f>
        <v>0</v>
      </c>
      <c r="P10" s="483"/>
      <c r="Q10" s="481">
        <f t="shared" ca="1" si="0"/>
        <v>0</v>
      </c>
      <c r="R10" s="482">
        <f t="shared" ca="1" si="1"/>
        <v>0</v>
      </c>
      <c r="S10" s="81"/>
      <c r="T10" s="136" t="s">
        <v>225</v>
      </c>
      <c r="V10" s="702" t="str">
        <f>IF(ISBLANK('BP1'!$B$16),"Senior Personnel 2",""&amp;'BP1'!$B$16)</f>
        <v>Senior Personnel 2</v>
      </c>
      <c r="W10" s="703"/>
      <c r="X10" s="704"/>
      <c r="Y10" s="728" t="str">
        <f>IF('BP1'!$H$16&gt;0,TEXT('BP1'!$H$16,"0.00")&amp;" CM",IF('BP1'!$I$16&gt;0,TEXT('BP1'!$I$16,"0.00")&amp;" AM"&amp;IF(AND('BP1'!$I$16&gt;0,'BP1'!$J$16&gt;0),"; ","")&amp;IF('BP1'!$J$16&gt;0,TEXT('BP1'!$J$16,"0.00")&amp;" SM",""),IF('BP1'!$J$16&gt;0,TEXT('BP1'!$J$16,"0.00")&amp;" SM","---")))</f>
        <v>---</v>
      </c>
      <c r="Z10" s="728" t="str">
        <f>IF('BP2'!$H$16&gt;0,TEXT('BP2'!$H$16,"0.00")&amp;" CM",IF('BP2'!$I$16&gt;0,TEXT('BP2'!$I$16,"0.00")&amp;" AM"&amp;IF(AND('BP2'!$I$16&gt;0,'BP2'!$J$16&gt;0),"; ","")&amp;IF('BP2'!$J$16&gt;0,TEXT('BP2'!$J$16,"0.00")&amp;" SM",""),IF('BP2'!$J$16&gt;0,TEXT('BP2'!$J$16,"0.00")&amp;" SM","---")))</f>
        <v>---</v>
      </c>
      <c r="AA10" s="728" t="str">
        <f>IF('BP3'!$H$16&gt;0,TEXT('BP3'!$H$16,"0.00")&amp;" CM",IF('BP3'!$I$16&gt;0,TEXT('BP3'!$I$16,"0.00")&amp;" AM"&amp;IF(AND('BP3'!$I$16&gt;0,'BP3'!$J$16&gt;0),"; ","")&amp;IF('BP3'!$J$16&gt;0,TEXT('BP3'!$J$16,"0.00")&amp;" SM",""),IF('BP3'!$J$16&gt;0,TEXT('BP3'!$J$16,"0.00")&amp;" SM","---")))</f>
        <v>---</v>
      </c>
      <c r="AB10" s="728" t="str">
        <f>IF('BP4'!$H$16&gt;0,TEXT('BP4'!$H$16,"0.00")&amp;" CM",IF('BP4'!$I$16&gt;0,TEXT('BP4'!$I$16,"0.00")&amp;" AM"&amp;IF(AND('BP4'!$I$16&gt;0,'BP4'!$J$16&gt;0),"; ","")&amp;IF('BP4'!$J$16&gt;0,TEXT('BP4'!$J$16,"0.00")&amp;" SM",""),IF('BP4'!$J$16&gt;0,TEXT('BP4'!$J$16,"0.00")&amp;" SM","---")))</f>
        <v>---</v>
      </c>
      <c r="AC10" s="728" t="str">
        <f>IF('BP5'!$H$16&gt;0,TEXT('BP5'!$H$16,"0.00")&amp;" CM",IF('BP5'!$I$16&gt;0,TEXT('BP5'!$I$16,"0.00")&amp;" AM"&amp;IF(AND('BP5'!$I$16&gt;0,'BP5'!$J$16&gt;0),"; ","")&amp;IF('BP5'!$J$16&gt;0,TEXT('BP5'!$J$16,"0.00")&amp;" SM",""),IF('BP5'!$J$16&gt;0,TEXT('BP5'!$J$16,"0.00")&amp;" SM","---")))</f>
        <v>---</v>
      </c>
      <c r="AD10" s="728" t="str">
        <f>IF('Cumulative Budget'!$H$16&gt;0,TEXT('Cumulative Budget'!$H$16,"0.00")&amp;" CM",IF('Cumulative Budget'!$I$16&gt;0,TEXT('Cumulative Budget'!$I$16,"0.00")&amp;" AM"&amp;IF(AND('Cumulative Budget'!$I$16&gt;0,'Cumulative Budget'!$J$16&gt;0),"; ","")&amp;IF('Cumulative Budget'!$J$16&gt;0,TEXT('Cumulative Budget'!$J$16,"0.00")&amp;" SM",""),IF('Cumulative Budget'!$J$16&gt;0,TEXT('Cumulative Budget'!$J$16,"0.00")&amp;" SM","---")))</f>
        <v>---</v>
      </c>
      <c r="AF10" s="758" t="str">
        <f>IF(ISBLANK('BP1'!$B$16),"Senior Personnel 2",""&amp;'BP1'!$B$16)</f>
        <v>Senior Personnel 2</v>
      </c>
      <c r="AG10" s="758"/>
      <c r="AH10" s="758"/>
      <c r="AI10" s="721" t="str">
        <f>IF('BP1'!$G$16&gt;9,TEXT('BP1'!$M$16,"0.00")&amp;" CM",IF('BP1'!$G$16=9,TEXT('BP1'!$M$16,"0.00")&amp;" AM","---"))</f>
        <v>---</v>
      </c>
      <c r="AJ10" s="721" t="str">
        <f>IF('BP2'!$G$16&gt;9,TEXT('BP2'!$M$16,"0.00")&amp;" CM",IF('BP2'!$G$16=9,TEXT('BP2'!$M$16,"0.00")&amp;" AM","---"))</f>
        <v>---</v>
      </c>
      <c r="AK10" s="721" t="str">
        <f>IF('BP3'!$G$16&gt;9,TEXT('BP3'!$M$16,"0.00")&amp;" CM",IF('BP3'!$G$16=9,TEXT('BP3'!$M$16,"0.00")&amp;" AM","---"))</f>
        <v>---</v>
      </c>
      <c r="AL10" s="721" t="str">
        <f>IF('BP4'!$G$16&gt;9,TEXT('BP4'!$M$16,"0.00")&amp;" CM",IF('BP4'!$G$16=9,TEXT('BP4'!$M$16,"0.00")&amp;" AM","---"))</f>
        <v>---</v>
      </c>
      <c r="AM10" s="721" t="str">
        <f>IF('BP5'!$G$16&gt;9,TEXT('BP5'!$M$16,"0.00")&amp;" CM",IF('BP5'!$G$16=9,TEXT('BP5'!$M$16,"0.00")&amp;" AM","---"))</f>
        <v>---</v>
      </c>
      <c r="AN10" s="721" t="str">
        <f>IF('BP1'!$G$16&gt;9,TEXT('Cumulative Budget'!$M$16,"0.00")&amp;" CM",IF('BP1'!$G$16=9,TEXT('Cumulative Budget'!$M$16,"0.00")&amp;" AM","---"))</f>
        <v>---</v>
      </c>
    </row>
    <row r="11" spans="1:40" ht="15.75" customHeight="1">
      <c r="A11" s="91" t="str">
        <f>CONCATENATE(V10," Fringe")</f>
        <v>Senior Personnel 2 Fringe</v>
      </c>
      <c r="B11" s="484">
        <f>'BP1'!$L$16</f>
        <v>0</v>
      </c>
      <c r="C11" s="485">
        <f>'BP1'!$O$16</f>
        <v>0</v>
      </c>
      <c r="D11" s="483"/>
      <c r="E11" s="484">
        <f ca="1">'BP2'!$L$16</f>
        <v>0</v>
      </c>
      <c r="F11" s="485">
        <f ca="1">'BP2'!$O$16</f>
        <v>0</v>
      </c>
      <c r="G11" s="483"/>
      <c r="H11" s="484">
        <f ca="1">'BP3'!$L$16</f>
        <v>0</v>
      </c>
      <c r="I11" s="485">
        <f ca="1">'BP3'!$O$16</f>
        <v>0</v>
      </c>
      <c r="J11" s="483"/>
      <c r="K11" s="484">
        <f ca="1">'BP4'!$L$16</f>
        <v>0</v>
      </c>
      <c r="L11" s="485">
        <f ca="1">'BP4'!$O$16</f>
        <v>0</v>
      </c>
      <c r="M11" s="483"/>
      <c r="N11" s="484">
        <f ca="1">'BP5'!$L$16</f>
        <v>0</v>
      </c>
      <c r="O11" s="485">
        <f ca="1">'BP5'!$O$16</f>
        <v>0</v>
      </c>
      <c r="P11" s="483"/>
      <c r="Q11" s="484">
        <f t="shared" ca="1" si="0"/>
        <v>0</v>
      </c>
      <c r="R11" s="485">
        <f t="shared" ca="1" si="1"/>
        <v>0</v>
      </c>
      <c r="S11" s="81"/>
      <c r="T11" s="136" t="s">
        <v>225</v>
      </c>
      <c r="V11" s="705"/>
      <c r="W11" s="706"/>
      <c r="X11" s="707"/>
      <c r="Y11" s="729"/>
      <c r="Z11" s="729"/>
      <c r="AA11" s="729"/>
      <c r="AB11" s="729"/>
      <c r="AC11" s="729"/>
      <c r="AD11" s="729"/>
      <c r="AF11" s="758"/>
      <c r="AG11" s="758"/>
      <c r="AH11" s="758"/>
      <c r="AI11" s="721"/>
      <c r="AJ11" s="721"/>
      <c r="AK11" s="721"/>
      <c r="AL11" s="721"/>
      <c r="AM11" s="721"/>
      <c r="AN11" s="721"/>
    </row>
    <row r="12" spans="1:40">
      <c r="A12" s="91" t="str">
        <f>CONCATENATE(V12," Salary")</f>
        <v>Senior Personnel 3 Salary</v>
      </c>
      <c r="B12" s="481">
        <f>'BP1'!$K$17</f>
        <v>0</v>
      </c>
      <c r="C12" s="482">
        <f>'BP1'!$N$17</f>
        <v>0</v>
      </c>
      <c r="D12" s="483"/>
      <c r="E12" s="481">
        <f ca="1">'BP2'!$K$17</f>
        <v>0</v>
      </c>
      <c r="F12" s="482">
        <f ca="1">'BP2'!$N$17</f>
        <v>0</v>
      </c>
      <c r="G12" s="483"/>
      <c r="H12" s="481">
        <f ca="1">'BP3'!$K$17</f>
        <v>0</v>
      </c>
      <c r="I12" s="482">
        <f ca="1">'BP3'!$N$17</f>
        <v>0</v>
      </c>
      <c r="J12" s="483"/>
      <c r="K12" s="481">
        <f ca="1">'BP4'!$K$17</f>
        <v>0</v>
      </c>
      <c r="L12" s="482">
        <f ca="1">'BP4'!$N$17</f>
        <v>0</v>
      </c>
      <c r="M12" s="483"/>
      <c r="N12" s="481">
        <f ca="1">'BP5'!$K$17</f>
        <v>0</v>
      </c>
      <c r="O12" s="482">
        <f ca="1">'BP5'!$N$17</f>
        <v>0</v>
      </c>
      <c r="P12" s="483"/>
      <c r="Q12" s="481">
        <f t="shared" ca="1" si="0"/>
        <v>0</v>
      </c>
      <c r="R12" s="482">
        <f t="shared" ca="1" si="1"/>
        <v>0</v>
      </c>
      <c r="S12" s="81"/>
      <c r="T12" s="136" t="s">
        <v>225</v>
      </c>
      <c r="V12" s="702" t="str">
        <f>IF(ISBLANK('BP1'!$B$17),"Senior Personnel 3",""&amp;'BP1'!$B$17)</f>
        <v>Senior Personnel 3</v>
      </c>
      <c r="W12" s="703"/>
      <c r="X12" s="704"/>
      <c r="Y12" s="728" t="str">
        <f>IF('BP1'!$H$17&gt;0,TEXT('BP1'!$H$17,"0.00")&amp;" CM",IF('BP1'!$I$17&gt;0,TEXT('BP1'!$I$17,"0.00")&amp;" AM"&amp;IF(AND('BP1'!$I$17&gt;0,'BP1'!$J$17&gt;0),"; ","")&amp;IF('BP1'!$J$17&gt;0,TEXT('BP1'!$J$17,"0.00")&amp;" SM",""),IF('BP1'!$J$17&gt;0,TEXT('BP1'!$J$17,"0.00")&amp;" SM","---")))</f>
        <v>---</v>
      </c>
      <c r="Z12" s="728" t="str">
        <f>IF('BP2'!$H$17&gt;0,TEXT('BP2'!$H$17,"0.00")&amp;" CM",IF('BP2'!$I$17&gt;0,TEXT('BP2'!$I$17,"0.00")&amp;" AM"&amp;IF(AND('BP2'!$I$17&gt;0,'BP2'!$J$17&gt;0),"; ","")&amp;IF('BP2'!$J$17&gt;0,TEXT('BP2'!$J$17,"0.00")&amp;" SM",""),IF('BP2'!$J$17&gt;0,TEXT('BP2'!$J$17,"0.00")&amp;" SM","---")))</f>
        <v>---</v>
      </c>
      <c r="AA12" s="728" t="str">
        <f>IF('BP3'!$H$17&gt;0,TEXT('BP3'!$H$17,"0.00")&amp;" CM",IF('BP3'!$I$17&gt;0,TEXT('BP3'!$I$17,"0.00")&amp;" AM"&amp;IF(AND('BP3'!$I$17&gt;0,'BP3'!$J$17&gt;0),"; ","")&amp;IF('BP3'!$J$17&gt;0,TEXT('BP3'!$J$17,"0.00")&amp;" SM",""),IF('BP3'!$J$17&gt;0,TEXT('BP3'!$J$17,"0.00")&amp;" SM","---")))</f>
        <v>---</v>
      </c>
      <c r="AB12" s="728" t="str">
        <f>IF('BP4'!$H$17&gt;0,TEXT('BP4'!$H$17,"0.00")&amp;" CM",IF('BP4'!$I$17&gt;0,TEXT('BP4'!$I$17,"0.00")&amp;" AM"&amp;IF(AND('BP4'!$I$17&gt;0,'BP4'!$J$17&gt;0),"; ","")&amp;IF('BP4'!$J$17&gt;0,TEXT('BP4'!$J$17,"0.00")&amp;" SM",""),IF('BP4'!$J$17&gt;0,TEXT('BP4'!$J$17,"0.00")&amp;" SM","---")))</f>
        <v>---</v>
      </c>
      <c r="AC12" s="728" t="str">
        <f>IF('BP5'!$H$17&gt;0,TEXT('BP5'!$H$17,"0.00")&amp;" CM",IF('BP5'!$I$17&gt;0,TEXT('BP5'!$I$17,"0.00")&amp;" AM"&amp;IF(AND('BP5'!$I$17&gt;0,'BP5'!$J$17&gt;0),"; ","")&amp;IF('BP5'!$J$17&gt;0,TEXT('BP5'!$J$17,"0.00")&amp;" SM",""),IF('BP5'!$J$17&gt;0,TEXT('BP5'!$J$17,"0.00")&amp;" SM","---")))</f>
        <v>---</v>
      </c>
      <c r="AD12" s="728" t="str">
        <f>IF('Cumulative Budget'!$H$17&gt;0,TEXT('Cumulative Budget'!$H$17,"0.00")&amp;" CM",IF('Cumulative Budget'!$I$17&gt;0,TEXT('Cumulative Budget'!$I$17,"0.00")&amp;" AM"&amp;IF(AND('Cumulative Budget'!$I$17&gt;0,'Cumulative Budget'!$J$17&gt;0),"; ","")&amp;IF('Cumulative Budget'!$J$17&gt;0,TEXT('Cumulative Budget'!$J$17,"0.00")&amp;" SM",""),IF('Cumulative Budget'!$J$17&gt;0,TEXT('Cumulative Budget'!$J$17,"0.00")&amp;" SM","---")))</f>
        <v>---</v>
      </c>
      <c r="AF12" s="758" t="str">
        <f>IF(ISBLANK('BP1'!$B$17),"Senior Personnel 3",""&amp;'BP1'!$B$17)</f>
        <v>Senior Personnel 3</v>
      </c>
      <c r="AG12" s="758"/>
      <c r="AH12" s="758"/>
      <c r="AI12" s="721" t="str">
        <f>IF('BP1'!$G$17&gt;9,TEXT('BP1'!$M$17,"0.00")&amp;" CM",IF('BP1'!$G$17=9,TEXT('BP1'!$M$17,"0.00")&amp;" AM","---"))</f>
        <v>---</v>
      </c>
      <c r="AJ12" s="721" t="str">
        <f>IF('BP2'!$G$17&gt;9,TEXT('BP2'!$M$17,"0.00")&amp;" CM",IF('BP2'!$G$17=9,TEXT('BP2'!$M$17,"0.00")&amp;" AM","---"))</f>
        <v>---</v>
      </c>
      <c r="AK12" s="721" t="str">
        <f>IF('BP3'!$G$17&gt;9,TEXT('BP3'!$M$17,"0.00")&amp;" CM",IF('BP3'!$G$17=9,TEXT('BP3'!$M$17,"0.00")&amp;" AM","---"))</f>
        <v>---</v>
      </c>
      <c r="AL12" s="721" t="str">
        <f>IF('BP4'!$G$17&gt;9,TEXT('BP4'!$M$17,"0.00")&amp;" CM",IF('BP4'!$G$17=9,TEXT('BP4'!$M$17,"0.00")&amp;" AM","---"))</f>
        <v>---</v>
      </c>
      <c r="AM12" s="721" t="str">
        <f>IF('BP5'!$G$17&gt;9,TEXT('BP5'!$M$17,"0.00")&amp;" CM",IF('BP5'!$G$17=9,TEXT('BP5'!$M$17,"0.00")&amp;" AM","---"))</f>
        <v>---</v>
      </c>
      <c r="AN12" s="721" t="str">
        <f>IF('BP1'!$G$17&gt;9,TEXT('Cumulative Budget'!$M$17,"0.00")&amp;" CM",IF('BP1'!$G$17=9,TEXT('Cumulative Budget'!$M$17,"0.00")&amp;" AM","---"))</f>
        <v>---</v>
      </c>
    </row>
    <row r="13" spans="1:40" ht="15.75" customHeight="1">
      <c r="A13" s="91" t="str">
        <f>CONCATENATE(V12," Fringe")</f>
        <v>Senior Personnel 3 Fringe</v>
      </c>
      <c r="B13" s="484">
        <f>'BP1'!$L$17</f>
        <v>0</v>
      </c>
      <c r="C13" s="485">
        <f>'BP1'!$O$17</f>
        <v>0</v>
      </c>
      <c r="D13" s="483"/>
      <c r="E13" s="484">
        <f ca="1">'BP2'!$L$17</f>
        <v>0</v>
      </c>
      <c r="F13" s="485">
        <f ca="1">'BP2'!$O$17</f>
        <v>0</v>
      </c>
      <c r="G13" s="483"/>
      <c r="H13" s="484">
        <f ca="1">'BP3'!$L$17</f>
        <v>0</v>
      </c>
      <c r="I13" s="485">
        <f ca="1">'BP3'!$O$17</f>
        <v>0</v>
      </c>
      <c r="J13" s="483"/>
      <c r="K13" s="484">
        <f ca="1">'BP4'!$L$17</f>
        <v>0</v>
      </c>
      <c r="L13" s="485">
        <f ca="1">'BP4'!$O$17</f>
        <v>0</v>
      </c>
      <c r="M13" s="483"/>
      <c r="N13" s="484">
        <f ca="1">'BP5'!$L$17</f>
        <v>0</v>
      </c>
      <c r="O13" s="485">
        <f ca="1">'BP5'!$O$17</f>
        <v>0</v>
      </c>
      <c r="P13" s="483"/>
      <c r="Q13" s="484">
        <f t="shared" ca="1" si="0"/>
        <v>0</v>
      </c>
      <c r="R13" s="485">
        <f t="shared" ca="1" si="1"/>
        <v>0</v>
      </c>
      <c r="S13" s="81"/>
      <c r="T13" s="136" t="s">
        <v>225</v>
      </c>
      <c r="V13" s="705"/>
      <c r="W13" s="706"/>
      <c r="X13" s="707"/>
      <c r="Y13" s="729"/>
      <c r="Z13" s="729"/>
      <c r="AA13" s="729"/>
      <c r="AB13" s="729"/>
      <c r="AC13" s="729"/>
      <c r="AD13" s="729"/>
      <c r="AF13" s="758"/>
      <c r="AG13" s="758"/>
      <c r="AH13" s="758"/>
      <c r="AI13" s="721"/>
      <c r="AJ13" s="721"/>
      <c r="AK13" s="721"/>
      <c r="AL13" s="721"/>
      <c r="AM13" s="721"/>
      <c r="AN13" s="721"/>
    </row>
    <row r="14" spans="1:40">
      <c r="A14" s="91" t="str">
        <f>CONCATENATE(V14," Salary")</f>
        <v>Senior Personnel 4 Salary</v>
      </c>
      <c r="B14" s="481">
        <f>'BP1'!$K$18</f>
        <v>0</v>
      </c>
      <c r="C14" s="482">
        <f>'BP1'!$N$18</f>
        <v>0</v>
      </c>
      <c r="D14" s="483"/>
      <c r="E14" s="481">
        <f ca="1">'BP2'!$K$18</f>
        <v>0</v>
      </c>
      <c r="F14" s="482">
        <f ca="1">'BP2'!$N$18</f>
        <v>0</v>
      </c>
      <c r="G14" s="483"/>
      <c r="H14" s="481">
        <f ca="1">'BP3'!$K$18</f>
        <v>0</v>
      </c>
      <c r="I14" s="482">
        <f ca="1">'BP3'!$N$18</f>
        <v>0</v>
      </c>
      <c r="J14" s="483"/>
      <c r="K14" s="481">
        <f ca="1">'BP4'!$K$18</f>
        <v>0</v>
      </c>
      <c r="L14" s="482">
        <f ca="1">'BP4'!$N$18</f>
        <v>0</v>
      </c>
      <c r="M14" s="483"/>
      <c r="N14" s="481">
        <f ca="1">'BP5'!$K$18</f>
        <v>0</v>
      </c>
      <c r="O14" s="482">
        <f ca="1">'BP5'!$N$18</f>
        <v>0</v>
      </c>
      <c r="P14" s="483"/>
      <c r="Q14" s="481">
        <f t="shared" ca="1" si="0"/>
        <v>0</v>
      </c>
      <c r="R14" s="482">
        <f t="shared" ca="1" si="1"/>
        <v>0</v>
      </c>
      <c r="S14" s="81"/>
      <c r="T14" s="136" t="s">
        <v>225</v>
      </c>
      <c r="V14" s="702" t="str">
        <f>IF(ISBLANK('BP1'!$B$18),"Senior Personnel 4",""&amp;'BP1'!$B$18)</f>
        <v>Senior Personnel 4</v>
      </c>
      <c r="W14" s="703"/>
      <c r="X14" s="704"/>
      <c r="Y14" s="728" t="str">
        <f>IF('BP1'!$H$18&gt;0,TEXT('BP1'!$H$18,"0.00")&amp;" CM",IF('BP1'!$I$18&gt;0,TEXT('BP1'!$I$18,"0.00")&amp;" AM"&amp;IF(AND('BP1'!$I$18&gt;0,'BP1'!$J$18&gt;0),"; ","")&amp;IF('BP1'!$J$18&gt;0,TEXT('BP1'!$J$18,"0.00")&amp;" SM",""),IF('BP1'!$J$18&gt;0,TEXT('BP1'!$J$18,"0.00")&amp;" SM","---")))</f>
        <v>---</v>
      </c>
      <c r="Z14" s="728" t="str">
        <f>IF('BP2'!$H$18&gt;0,TEXT('BP2'!$H$18,"0.00")&amp;" CM",IF('BP2'!$I$18&gt;0,TEXT('BP2'!$I$18,"0.00")&amp;" AM"&amp;IF(AND('BP2'!$I$18&gt;0,'BP2'!$J$18&gt;0),"; ","")&amp;IF('BP2'!$J$18&gt;0,TEXT('BP2'!$J$18,"0.00")&amp;" SM",""),IF('BP2'!$J$18&gt;0,TEXT('BP2'!$J$18,"0.00")&amp;" SM","---")))</f>
        <v>---</v>
      </c>
      <c r="AA14" s="728" t="str">
        <f>IF('BP3'!$H$18&gt;0,TEXT('BP3'!$H$18,"0.00")&amp;" CM",IF('BP3'!$I$18&gt;0,TEXT('BP3'!$I$18,"0.00")&amp;" AM"&amp;IF(AND('BP3'!$I$18&gt;0,'BP3'!$J$18&gt;0),"; ","")&amp;IF('BP3'!$J$18&gt;0,TEXT('BP3'!$J$18,"0.00")&amp;" SM",""),IF('BP3'!$J$18&gt;0,TEXT('BP3'!$J$18,"0.00")&amp;" SM","---")))</f>
        <v>---</v>
      </c>
      <c r="AB14" s="728" t="str">
        <f>IF('BP4'!$H$18&gt;0,TEXT('BP4'!$H$18,"0.00")&amp;" CM",IF('BP4'!$I$18&gt;0,TEXT('BP4'!$I$18,"0.00")&amp;" AM"&amp;IF(AND('BP4'!$I$18&gt;0,'BP4'!$J$18&gt;0),"; ","")&amp;IF('BP4'!$J$18&gt;0,TEXT('BP4'!$J$18,"0.00")&amp;" SM",""),IF('BP4'!$J$18&gt;0,TEXT('BP4'!$J$18,"0.00")&amp;" SM","---")))</f>
        <v>---</v>
      </c>
      <c r="AC14" s="728" t="str">
        <f>IF('BP5'!$H$18&gt;0,TEXT('BP5'!$H$18,"0.00")&amp;" CM",IF('BP5'!$I$18&gt;0,TEXT('BP5'!$I$18,"0.00")&amp;" AM"&amp;IF(AND('BP5'!$I$18&gt;0,'BP5'!$J$18&gt;0),"; ","")&amp;IF('BP5'!$J$18&gt;0,TEXT('BP5'!$J$18,"0.00")&amp;" SM",""),IF('BP5'!$J$18&gt;0,TEXT('BP5'!$J$18,"0.00")&amp;" SM","---")))</f>
        <v>---</v>
      </c>
      <c r="AD14" s="728" t="str">
        <f>IF('Cumulative Budget'!$H$18&gt;0,TEXT('Cumulative Budget'!$H$18,"0.00")&amp;" CM",IF('Cumulative Budget'!$I$18&gt;0,TEXT('Cumulative Budget'!$I$18,"0.00")&amp;" AM"&amp;IF(AND('Cumulative Budget'!$I$18&gt;0,'Cumulative Budget'!$J$18&gt;0),"; ","")&amp;IF('Cumulative Budget'!$J$18&gt;0,TEXT('Cumulative Budget'!$J$18,"0.00")&amp;" SM",""),IF('Cumulative Budget'!$J$18&gt;0,TEXT('Cumulative Budget'!$J$18,"0.00")&amp;" SM","---")))</f>
        <v>---</v>
      </c>
      <c r="AF14" s="758" t="str">
        <f>IF(ISBLANK('BP1'!$B$18),"Senior Personnel 4",""&amp;'BP1'!$B$18)</f>
        <v>Senior Personnel 4</v>
      </c>
      <c r="AG14" s="758"/>
      <c r="AH14" s="758"/>
      <c r="AI14" s="721" t="str">
        <f>IF('BP1'!$G$18&gt;9,TEXT('BP1'!$M$18,"0.00")&amp;" CM",IF('BP1'!$G$18=9,TEXT('BP1'!$M$18,"0.00")&amp;" AM","---"))</f>
        <v>---</v>
      </c>
      <c r="AJ14" s="721" t="str">
        <f>IF('BP2'!$G$18&gt;9,TEXT('BP2'!$M$18,"0.00")&amp;" CM",IF('BP2'!$G$18=9,TEXT('BP2'!$M$18,"0.00")&amp;" AM","---"))</f>
        <v>---</v>
      </c>
      <c r="AK14" s="721" t="str">
        <f>IF('BP3'!$G$18&gt;9,TEXT('BP3'!$M$18,"0.00")&amp;" CM",IF('BP3'!$G$18=9,TEXT('BP3'!$M$18,"0.00")&amp;" AM","---"))</f>
        <v>---</v>
      </c>
      <c r="AL14" s="721" t="str">
        <f>IF('BP4'!$G$18&gt;9,TEXT('BP4'!$M$18,"0.00")&amp;" CM",IF('BP4'!$G$18=9,TEXT('BP4'!$M$18,"0.00")&amp;" AM","---"))</f>
        <v>---</v>
      </c>
      <c r="AM14" s="721" t="str">
        <f>IF('BP5'!$G$18&gt;9,TEXT('BP5'!$M$18,"0.00")&amp;" CM",IF('BP5'!$G$18=9,TEXT('BP5'!$M$18,"0.00")&amp;" AM","---"))</f>
        <v>---</v>
      </c>
      <c r="AN14" s="721" t="str">
        <f>IF('BP1'!$G$18&gt;9,TEXT('Cumulative Budget'!$M$18,"0.00")&amp;" CM",IF('BP1'!$G$18=9,TEXT('Cumulative Budget'!$M$18,"0.00")&amp;" AM","---"))</f>
        <v>---</v>
      </c>
    </row>
    <row r="15" spans="1:40" ht="15.75" customHeight="1">
      <c r="A15" s="91" t="str">
        <f>CONCATENATE(V14," Fringe")</f>
        <v>Senior Personnel 4 Fringe</v>
      </c>
      <c r="B15" s="484">
        <f>'BP1'!$L$18</f>
        <v>0</v>
      </c>
      <c r="C15" s="485">
        <f>'BP1'!$O$18</f>
        <v>0</v>
      </c>
      <c r="D15" s="483"/>
      <c r="E15" s="484">
        <f ca="1">'BP2'!$L$18</f>
        <v>0</v>
      </c>
      <c r="F15" s="485">
        <f ca="1">'BP2'!$O$18</f>
        <v>0</v>
      </c>
      <c r="G15" s="483"/>
      <c r="H15" s="484">
        <f ca="1">'BP3'!$L$18</f>
        <v>0</v>
      </c>
      <c r="I15" s="485">
        <f ca="1">'BP3'!$O$18</f>
        <v>0</v>
      </c>
      <c r="J15" s="483"/>
      <c r="K15" s="484">
        <f ca="1">'BP4'!$L$18</f>
        <v>0</v>
      </c>
      <c r="L15" s="485">
        <f ca="1">'BP4'!$O$18</f>
        <v>0</v>
      </c>
      <c r="M15" s="483"/>
      <c r="N15" s="484">
        <f ca="1">'BP5'!$L$18</f>
        <v>0</v>
      </c>
      <c r="O15" s="485">
        <f ca="1">'BP5'!$O$18</f>
        <v>0</v>
      </c>
      <c r="P15" s="483"/>
      <c r="Q15" s="484">
        <f t="shared" ca="1" si="0"/>
        <v>0</v>
      </c>
      <c r="R15" s="485">
        <f t="shared" ca="1" si="1"/>
        <v>0</v>
      </c>
      <c r="S15" s="81"/>
      <c r="T15" s="136" t="s">
        <v>225</v>
      </c>
      <c r="V15" s="705"/>
      <c r="W15" s="706"/>
      <c r="X15" s="707"/>
      <c r="Y15" s="729"/>
      <c r="Z15" s="729"/>
      <c r="AA15" s="729"/>
      <c r="AB15" s="729"/>
      <c r="AC15" s="729"/>
      <c r="AD15" s="729"/>
      <c r="AF15" s="758"/>
      <c r="AG15" s="758"/>
      <c r="AH15" s="758"/>
      <c r="AI15" s="721"/>
      <c r="AJ15" s="721"/>
      <c r="AK15" s="721"/>
      <c r="AL15" s="721"/>
      <c r="AM15" s="721"/>
      <c r="AN15" s="721"/>
    </row>
    <row r="16" spans="1:40">
      <c r="A16" s="91" t="str">
        <f>CONCATENATE(V16," Salary")</f>
        <v>Senior Personnel 5 Salary</v>
      </c>
      <c r="B16" s="481">
        <f>'BP1'!$K$19</f>
        <v>0</v>
      </c>
      <c r="C16" s="482">
        <f>'BP1'!$N$19</f>
        <v>0</v>
      </c>
      <c r="D16" s="483"/>
      <c r="E16" s="481">
        <f ca="1">'BP2'!$K$19</f>
        <v>0</v>
      </c>
      <c r="F16" s="482">
        <f ca="1">'BP2'!$N$19</f>
        <v>0</v>
      </c>
      <c r="G16" s="483"/>
      <c r="H16" s="481">
        <f ca="1">'BP3'!$K$19</f>
        <v>0</v>
      </c>
      <c r="I16" s="482">
        <f ca="1">'BP3'!$N$19</f>
        <v>0</v>
      </c>
      <c r="J16" s="483"/>
      <c r="K16" s="481">
        <f ca="1">'BP4'!$K$19</f>
        <v>0</v>
      </c>
      <c r="L16" s="482">
        <f ca="1">'BP4'!$N$19</f>
        <v>0</v>
      </c>
      <c r="M16" s="483"/>
      <c r="N16" s="481">
        <f ca="1">'BP5'!$K$19</f>
        <v>0</v>
      </c>
      <c r="O16" s="482">
        <f ca="1">'BP5'!$N$19</f>
        <v>0</v>
      </c>
      <c r="P16" s="483"/>
      <c r="Q16" s="481">
        <f t="shared" ca="1" si="0"/>
        <v>0</v>
      </c>
      <c r="R16" s="482">
        <f t="shared" ca="1" si="1"/>
        <v>0</v>
      </c>
      <c r="S16" s="81"/>
      <c r="T16" s="136" t="s">
        <v>225</v>
      </c>
      <c r="V16" s="702" t="str">
        <f>IF(ISBLANK('BP1'!$B$19),"Senior Personnel 5",""&amp;'BP1'!$B$19)</f>
        <v>Senior Personnel 5</v>
      </c>
      <c r="W16" s="703"/>
      <c r="X16" s="704"/>
      <c r="Y16" s="728" t="str">
        <f>IF('BP1'!$H$19&gt;0,TEXT('BP1'!$H$19,"0.00")&amp;" CM",IF('BP1'!$I$19&gt;0,TEXT('BP1'!$I$19,"0.00")&amp;" AM"&amp;IF(AND('BP1'!$I$19&gt;0,'BP1'!$J$19&gt;0),"; ","")&amp;IF('BP1'!$J$19&gt;0,TEXT('BP1'!$J$19,"0.00")&amp;" SM",""),IF('BP1'!$J$19&gt;0,TEXT('BP1'!$J$19,"0.00")&amp;" SM","---")))</f>
        <v>---</v>
      </c>
      <c r="Z16" s="728" t="str">
        <f>IF('BP2'!$H$19&gt;0,TEXT('BP2'!$H$19,"0.00")&amp;" CM",IF('BP2'!$I$19&gt;0,TEXT('BP2'!$I$19,"0.00")&amp;" AM"&amp;IF(AND('BP2'!$I$19&gt;0,'BP2'!$J$19&gt;0),"; ","")&amp;IF('BP2'!$J$19&gt;0,TEXT('BP2'!$J$19,"0.00")&amp;" SM",""),IF('BP2'!$J$19&gt;0,TEXT('BP2'!$J$19,"0.00")&amp;" SM","---")))</f>
        <v>---</v>
      </c>
      <c r="AA16" s="728" t="str">
        <f>IF('BP3'!$H$19&gt;0,TEXT('BP3'!$H$19,"0.00")&amp;" CM",IF('BP3'!$I$19&gt;0,TEXT('BP3'!$I$19,"0.00")&amp;" AM"&amp;IF(AND('BP3'!$I$19&gt;0,'BP3'!$J$19&gt;0),"; ","")&amp;IF('BP3'!$J$19&gt;0,TEXT('BP3'!$J$19,"0.00")&amp;" SM",""),IF('BP3'!$J$19&gt;0,TEXT('BP3'!$J$19,"0.00")&amp;" SM","---")))</f>
        <v>---</v>
      </c>
      <c r="AB16" s="728" t="str">
        <f>IF('BP4'!$H$19&gt;0,TEXT('BP4'!$H$19,"0.00")&amp;" CM",IF('BP4'!$I$19&gt;0,TEXT('BP4'!$I$19,"0.00")&amp;" AM"&amp;IF(AND('BP4'!$I$19&gt;0,'BP4'!$J$19&gt;0),"; ","")&amp;IF('BP4'!$J$19&gt;0,TEXT('BP4'!$J$19,"0.00")&amp;" SM",""),IF('BP4'!$J$19&gt;0,TEXT('BP4'!$J$19,"0.00")&amp;" SM","---")))</f>
        <v>---</v>
      </c>
      <c r="AC16" s="728" t="str">
        <f>IF('BP5'!$H$19&gt;0,TEXT('BP5'!$H$19,"0.00")&amp;" CM",IF('BP5'!$I$19&gt;0,TEXT('BP5'!$I$19,"0.00")&amp;" AM"&amp;IF(AND('BP5'!$I$19&gt;0,'BP5'!$J$19&gt;0),"; ","")&amp;IF('BP5'!$J$19&gt;0,TEXT('BP5'!$J$19,"0.00")&amp;" SM",""),IF('BP5'!$J$19&gt;0,TEXT('BP5'!$J$19,"0.00")&amp;" SM","---")))</f>
        <v>---</v>
      </c>
      <c r="AD16" s="728" t="str">
        <f>IF('Cumulative Budget'!$H$19&gt;0,TEXT('Cumulative Budget'!$H$19,"0.00")&amp;" CM",IF('Cumulative Budget'!$I$19&gt;0,TEXT('Cumulative Budget'!$I$19,"0.00")&amp;" AM"&amp;IF(AND('Cumulative Budget'!$I$19&gt;0,'Cumulative Budget'!$J$19&gt;0),"; ","")&amp;IF('Cumulative Budget'!$J$19&gt;0,TEXT('Cumulative Budget'!$J$19,"0.00")&amp;" SM",""),IF('Cumulative Budget'!$J$19&gt;0,TEXT('Cumulative Budget'!$J$19,"0.00")&amp;" SM","---")))</f>
        <v>---</v>
      </c>
      <c r="AF16" s="758" t="str">
        <f>IF(ISBLANK('BP1'!$B$19),"Senior Personnel 5",""&amp;'BP1'!$B$19)</f>
        <v>Senior Personnel 5</v>
      </c>
      <c r="AG16" s="758"/>
      <c r="AH16" s="758"/>
      <c r="AI16" s="721" t="str">
        <f>IF('BP1'!$G$19&gt;9,TEXT('BP1'!$M$19,"0.00")&amp;" CM",IF('BP1'!$G$19=9,TEXT('BP1'!$M$19,"0.00")&amp;" AM","---"))</f>
        <v>---</v>
      </c>
      <c r="AJ16" s="721" t="str">
        <f>IF('BP2'!$G$19&gt;9,TEXT('BP2'!$M$19,"0.00")&amp;" CM",IF('BP2'!$G$19=9,TEXT('BP2'!$M$19,"0.00")&amp;" AM","---"))</f>
        <v>---</v>
      </c>
      <c r="AK16" s="721" t="str">
        <f>IF('BP3'!$G$19&gt;9,TEXT('BP3'!$M$19,"0.00")&amp;" CM",IF('BP3'!$G$19=9,TEXT('BP3'!$M$19,"0.00")&amp;" AM","---"))</f>
        <v>---</v>
      </c>
      <c r="AL16" s="721" t="str">
        <f>IF('BP4'!$G$19&gt;9,TEXT('BP4'!$M$19,"0.00")&amp;" CM",IF('BP4'!$G$19=9,TEXT('BP4'!$M$19,"0.00")&amp;" AM","---"))</f>
        <v>---</v>
      </c>
      <c r="AM16" s="721" t="str">
        <f>IF('BP5'!$G$19&gt;9,TEXT('BP5'!$M$19,"0.00")&amp;" CM",IF('BP5'!$G$19=9,TEXT('BP5'!$M$19,"0.00")&amp;" AM","---"))</f>
        <v>---</v>
      </c>
      <c r="AN16" s="721" t="str">
        <f>IF('BP1'!$G$19&gt;9,TEXT('Cumulative Budget'!$M$19,"0.00")&amp;" CM",IF('BP1'!$G$19=9,TEXT('Cumulative Budget'!$M$19,"0.00")&amp;" AM","---"))</f>
        <v>---</v>
      </c>
    </row>
    <row r="17" spans="1:40" ht="15.75" customHeight="1">
      <c r="A17" s="91" t="str">
        <f>CONCATENATE(V16," Fringe")</f>
        <v>Senior Personnel 5 Fringe</v>
      </c>
      <c r="B17" s="484">
        <f>'BP1'!$L$19</f>
        <v>0</v>
      </c>
      <c r="C17" s="485">
        <f>'BP1'!$O$19</f>
        <v>0</v>
      </c>
      <c r="D17" s="483"/>
      <c r="E17" s="484">
        <f ca="1">'BP2'!$L$19</f>
        <v>0</v>
      </c>
      <c r="F17" s="485">
        <f ca="1">'BP2'!$O$19</f>
        <v>0</v>
      </c>
      <c r="G17" s="483"/>
      <c r="H17" s="484">
        <f ca="1">'BP3'!$L$19</f>
        <v>0</v>
      </c>
      <c r="I17" s="485">
        <f ca="1">'BP3'!$O$19</f>
        <v>0</v>
      </c>
      <c r="J17" s="483"/>
      <c r="K17" s="484">
        <f ca="1">'BP4'!$L$19</f>
        <v>0</v>
      </c>
      <c r="L17" s="485">
        <f ca="1">'BP4'!$O$19</f>
        <v>0</v>
      </c>
      <c r="M17" s="483"/>
      <c r="N17" s="484">
        <f ca="1">'BP5'!$L$19</f>
        <v>0</v>
      </c>
      <c r="O17" s="485">
        <f ca="1">'BP5'!$O$19</f>
        <v>0</v>
      </c>
      <c r="P17" s="483"/>
      <c r="Q17" s="484">
        <f t="shared" ca="1" si="0"/>
        <v>0</v>
      </c>
      <c r="R17" s="485">
        <f t="shared" ca="1" si="1"/>
        <v>0</v>
      </c>
      <c r="S17" s="81"/>
      <c r="T17" s="136" t="s">
        <v>225</v>
      </c>
      <c r="V17" s="705"/>
      <c r="W17" s="706"/>
      <c r="X17" s="707"/>
      <c r="Y17" s="729"/>
      <c r="Z17" s="729"/>
      <c r="AA17" s="729"/>
      <c r="AB17" s="729"/>
      <c r="AC17" s="729"/>
      <c r="AD17" s="729"/>
      <c r="AF17" s="758"/>
      <c r="AG17" s="758"/>
      <c r="AH17" s="758"/>
      <c r="AI17" s="721"/>
      <c r="AJ17" s="721"/>
      <c r="AK17" s="721"/>
      <c r="AL17" s="721"/>
      <c r="AM17" s="721"/>
      <c r="AN17" s="721"/>
    </row>
    <row r="18" spans="1:40" ht="15.75" hidden="1" customHeight="1">
      <c r="A18" s="91" t="str">
        <f>CONCATENATE(V18," Salary")</f>
        <v>Senior Personnel 6 Salary</v>
      </c>
      <c r="B18" s="481">
        <f>'BP1'!$K$20</f>
        <v>0</v>
      </c>
      <c r="C18" s="482">
        <f>'BP1'!$N$20</f>
        <v>0</v>
      </c>
      <c r="D18" s="483"/>
      <c r="E18" s="481">
        <f ca="1">'BP2'!$K$20</f>
        <v>0</v>
      </c>
      <c r="F18" s="482">
        <f ca="1">'BP2'!$N$20</f>
        <v>0</v>
      </c>
      <c r="G18" s="483"/>
      <c r="H18" s="481">
        <f ca="1">'BP3'!$K$20</f>
        <v>0</v>
      </c>
      <c r="I18" s="482">
        <f ca="1">'BP3'!$N$20</f>
        <v>0</v>
      </c>
      <c r="J18" s="483"/>
      <c r="K18" s="481">
        <f ca="1">'BP4'!$K$20</f>
        <v>0</v>
      </c>
      <c r="L18" s="482">
        <f ca="1">'BP4'!$N$20</f>
        <v>0</v>
      </c>
      <c r="M18" s="483"/>
      <c r="N18" s="481">
        <f ca="1">'BP5'!$K$20</f>
        <v>0</v>
      </c>
      <c r="O18" s="482">
        <f ca="1">'BP5'!$N$20</f>
        <v>0</v>
      </c>
      <c r="P18" s="483"/>
      <c r="Q18" s="481">
        <f t="shared" ca="1" si="0"/>
        <v>0</v>
      </c>
      <c r="R18" s="482">
        <f t="shared" ca="1" si="1"/>
        <v>0</v>
      </c>
      <c r="S18" s="81"/>
      <c r="T18" s="136" t="s">
        <v>492</v>
      </c>
      <c r="V18" s="702" t="str">
        <f>IF(ISBLANK('BP1'!$B$20),"Senior Personnel 6",""&amp;'BP1'!$B$20)</f>
        <v>Senior Personnel 6</v>
      </c>
      <c r="W18" s="703"/>
      <c r="X18" s="704"/>
      <c r="Y18" s="728" t="str">
        <f>IF('BP1'!$H$20&gt;0,TEXT('BP1'!$H$20,"0.00")&amp;" CM",IF('BP1'!$I$20&gt;0,TEXT('BP1'!$I$20,"0.00")&amp;" AM"&amp;IF(AND('BP1'!$I$20&gt;0,'BP1'!$J$20&gt;0),"; ","")&amp;IF('BP1'!$J$20&gt;0,TEXT('BP1'!$J$20,"0.00")&amp;" SM",""),IF('BP1'!$J$20&gt;0,TEXT('BP1'!$J$20,"0.00")&amp;" SM","---")))</f>
        <v>---</v>
      </c>
      <c r="Z18" s="728" t="str">
        <f>IF('BP2'!$H$20&gt;0,TEXT('BP2'!$H$20,"0.00")&amp;" CM",IF('BP2'!$I$20&gt;0,TEXT('BP2'!$I$20,"0.00")&amp;" AM"&amp;IF(AND('BP2'!$I$20&gt;0,'BP2'!$J$20&gt;0),"; ","")&amp;IF('BP2'!$J$20&gt;0,TEXT('BP2'!$J$20,"0.00")&amp;" SM",""),IF('BP2'!$J$20&gt;0,TEXT('BP2'!$J$20,"0.00")&amp;" SM","---")))</f>
        <v>---</v>
      </c>
      <c r="AA18" s="728" t="str">
        <f>IF('BP3'!$H$20&gt;0,TEXT('BP3'!$H$20,"0.00")&amp;" CM",IF('BP3'!$I$20&gt;0,TEXT('BP3'!$I$20,"0.00")&amp;" AM"&amp;IF(AND('BP3'!$I$20&gt;0,'BP3'!$J$20&gt;0),"; ","")&amp;IF('BP3'!$J$20&gt;0,TEXT('BP3'!$J$20,"0.00")&amp;" SM",""),IF('BP3'!$J$20&gt;0,TEXT('BP3'!$J$20,"0.00")&amp;" SM","---")))</f>
        <v>---</v>
      </c>
      <c r="AB18" s="728" t="str">
        <f>IF('BP4'!$H$20&gt;0,TEXT('BP4'!$H$20,"0.00")&amp;" CM",IF('BP4'!$I$20&gt;0,TEXT('BP4'!$I$20,"0.00")&amp;" AM"&amp;IF(AND('BP4'!$I$20&gt;0,'BP4'!$J$20&gt;0),"; ","")&amp;IF('BP4'!$J$20&gt;0,TEXT('BP4'!$J$20,"0.00")&amp;" SM",""),IF('BP4'!$J$20&gt;0,TEXT('BP4'!$J$20,"0.00")&amp;" SM","---")))</f>
        <v>---</v>
      </c>
      <c r="AC18" s="728" t="str">
        <f>IF('BP5'!$H$20&gt;0,TEXT('BP5'!$H$20,"0.00")&amp;" CM",IF('BP5'!$I$20&gt;0,TEXT('BP5'!$I$20,"0.00")&amp;" AM"&amp;IF(AND('BP5'!$I$20&gt;0,'BP5'!$J$20&gt;0),"; ","")&amp;IF('BP5'!$J$20&gt;0,TEXT('BP5'!$J$20,"0.00")&amp;" SM",""),IF('BP5'!$J$20&gt;0,TEXT('BP5'!$J$20,"0.00")&amp;" SM","---")))</f>
        <v>---</v>
      </c>
      <c r="AD18" s="728" t="str">
        <f>IF('Cumulative Budget'!$H$20&gt;0,TEXT('Cumulative Budget'!$H$20,"0.00")&amp;" CM",IF('Cumulative Budget'!$I$20&gt;0,TEXT('Cumulative Budget'!$I$20,"0.00")&amp;" AM"&amp;IF(AND('Cumulative Budget'!$I$20&gt;0,'Cumulative Budget'!$J$20&gt;0),"; ","")&amp;IF('Cumulative Budget'!$J$20&gt;0,TEXT('Cumulative Budget'!$J$20,"0.00")&amp;" SM",""),IF('Cumulative Budget'!$J$20&gt;0,TEXT('Cumulative Budget'!$J$20,"0.00")&amp;" SM","---")))</f>
        <v>---</v>
      </c>
      <c r="AF18" s="758" t="str">
        <f>IF(ISBLANK('BP1'!$B$20),"Senior Personnel 6",""&amp;'BP1'!$B$20)</f>
        <v>Senior Personnel 6</v>
      </c>
      <c r="AG18" s="758"/>
      <c r="AH18" s="758"/>
      <c r="AI18" s="721" t="str">
        <f>IF('BP1'!$G$20&gt;9,TEXT('BP1'!$M$20,"0.00")&amp;" CM",IF('BP1'!$G$20=9,TEXT('BP1'!$M$20,"0.00")&amp;" AM","---"))</f>
        <v>---</v>
      </c>
      <c r="AJ18" s="721" t="str">
        <f>IF('BP2'!$G$20&gt;9,TEXT('BP2'!$M$20,"0.00")&amp;" CM",IF('BP2'!$G$20=9,TEXT('BP2'!$M$20,"0.00")&amp;" AM","---"))</f>
        <v>---</v>
      </c>
      <c r="AK18" s="721" t="str">
        <f>IF('BP3'!$G$20&gt;9,TEXT('BP3'!$M$20,"0.00")&amp;" CM",IF('BP3'!$G$20=9,TEXT('BP3'!$M$20,"0.00")&amp;" AM","---"))</f>
        <v>---</v>
      </c>
      <c r="AL18" s="721" t="str">
        <f>IF('BP4'!$G$20&gt;9,TEXT('BP4'!$M$20,"0.00")&amp;" CM",IF('BP4'!$G$20=9,TEXT('BP4'!$M$20,"0.00")&amp;" AM","---"))</f>
        <v>---</v>
      </c>
      <c r="AM18" s="721" t="str">
        <f>IF('BP5'!$G$20&gt;9,TEXT('BP5'!$M$20,"0.00")&amp;" CM",IF('BP5'!$G$20=9,TEXT('BP5'!$M$20,"0.00")&amp;" AM","---"))</f>
        <v>---</v>
      </c>
      <c r="AN18" s="721" t="str">
        <f>IF('BP1'!$G$20&gt;9,TEXT('Cumulative Budget'!$M$20,"0.00")&amp;" CM",IF('BP1'!$G$20=9,TEXT('Cumulative Budget'!$M$20,"0.00")&amp;" AM","---"))</f>
        <v>---</v>
      </c>
    </row>
    <row r="19" spans="1:40" ht="15.75" hidden="1" customHeight="1">
      <c r="A19" s="91" t="str">
        <f>CONCATENATE(V18," Fringe")</f>
        <v>Senior Personnel 6 Fringe</v>
      </c>
      <c r="B19" s="484">
        <f>'BP1'!$L$20</f>
        <v>0</v>
      </c>
      <c r="C19" s="485">
        <f>'BP1'!$O$20</f>
        <v>0</v>
      </c>
      <c r="D19" s="483"/>
      <c r="E19" s="484">
        <f ca="1">'BP2'!$L$20</f>
        <v>0</v>
      </c>
      <c r="F19" s="485">
        <f ca="1">'BP2'!$O$20</f>
        <v>0</v>
      </c>
      <c r="G19" s="483"/>
      <c r="H19" s="484">
        <f ca="1">'BP3'!$L$20</f>
        <v>0</v>
      </c>
      <c r="I19" s="485">
        <f ca="1">'BP3'!$O$20</f>
        <v>0</v>
      </c>
      <c r="J19" s="483"/>
      <c r="K19" s="484">
        <f ca="1">'BP4'!$L$20</f>
        <v>0</v>
      </c>
      <c r="L19" s="485">
        <f ca="1">'BP4'!$O$20</f>
        <v>0</v>
      </c>
      <c r="M19" s="483"/>
      <c r="N19" s="484">
        <f ca="1">'BP5'!$L$20</f>
        <v>0</v>
      </c>
      <c r="O19" s="485">
        <f ca="1">'BP5'!$O$20</f>
        <v>0</v>
      </c>
      <c r="P19" s="483"/>
      <c r="Q19" s="484">
        <f t="shared" ca="1" si="0"/>
        <v>0</v>
      </c>
      <c r="R19" s="485">
        <f t="shared" ca="1" si="1"/>
        <v>0</v>
      </c>
      <c r="S19" s="81"/>
      <c r="T19" s="136" t="s">
        <v>492</v>
      </c>
      <c r="V19" s="705"/>
      <c r="W19" s="706"/>
      <c r="X19" s="707"/>
      <c r="Y19" s="729"/>
      <c r="Z19" s="729"/>
      <c r="AA19" s="729"/>
      <c r="AB19" s="729"/>
      <c r="AC19" s="729"/>
      <c r="AD19" s="729"/>
      <c r="AF19" s="758"/>
      <c r="AG19" s="758"/>
      <c r="AH19" s="758"/>
      <c r="AI19" s="721"/>
      <c r="AJ19" s="721"/>
      <c r="AK19" s="721"/>
      <c r="AL19" s="721"/>
      <c r="AM19" s="721"/>
      <c r="AN19" s="721"/>
    </row>
    <row r="20" spans="1:40" ht="15.75" hidden="1" customHeight="1">
      <c r="A20" s="91" t="str">
        <f>CONCATENATE(V20," Salary")</f>
        <v>Senior Personnel 7 Salary</v>
      </c>
      <c r="B20" s="481">
        <f>'BP1'!$K$21</f>
        <v>0</v>
      </c>
      <c r="C20" s="482">
        <f>'BP1'!$N$21</f>
        <v>0</v>
      </c>
      <c r="D20" s="483"/>
      <c r="E20" s="481">
        <f ca="1">'BP2'!$K$21</f>
        <v>0</v>
      </c>
      <c r="F20" s="482">
        <f ca="1">'BP2'!$N$21</f>
        <v>0</v>
      </c>
      <c r="G20" s="483"/>
      <c r="H20" s="481">
        <f ca="1">'BP3'!$K$21</f>
        <v>0</v>
      </c>
      <c r="I20" s="482">
        <f ca="1">'BP3'!$N$21</f>
        <v>0</v>
      </c>
      <c r="J20" s="483"/>
      <c r="K20" s="481">
        <f ca="1">'BP4'!$K$21</f>
        <v>0</v>
      </c>
      <c r="L20" s="482">
        <f ca="1">'BP4'!$N$21</f>
        <v>0</v>
      </c>
      <c r="M20" s="483"/>
      <c r="N20" s="481">
        <f ca="1">'BP5'!$K$21</f>
        <v>0</v>
      </c>
      <c r="O20" s="482">
        <f ca="1">'BP5'!$N$21</f>
        <v>0</v>
      </c>
      <c r="P20" s="483"/>
      <c r="Q20" s="481">
        <f t="shared" ca="1" si="0"/>
        <v>0</v>
      </c>
      <c r="R20" s="482">
        <f t="shared" ca="1" si="1"/>
        <v>0</v>
      </c>
      <c r="S20" s="81"/>
      <c r="T20" s="136" t="s">
        <v>492</v>
      </c>
      <c r="V20" s="702" t="str">
        <f>IF(ISBLANK('BP1'!$B$21),"Senior Personnel 7",""&amp;'BP1'!$B$21)</f>
        <v>Senior Personnel 7</v>
      </c>
      <c r="W20" s="703"/>
      <c r="X20" s="704"/>
      <c r="Y20" s="728" t="str">
        <f>IF('BP1'!$H$21&gt;0,TEXT('BP1'!$H$21,"0.00")&amp;" CM",IF('BP1'!$I$21&gt;0,TEXT('BP1'!$I$21,"0.00")&amp;" AM"&amp;IF(AND('BP1'!$I$21&gt;0,'BP1'!$J$21&gt;0),"; ","")&amp;IF('BP1'!$J$21&gt;0,TEXT('BP1'!$J$21,"0.00")&amp;" SM",""),IF('BP1'!$J$21&gt;0,TEXT('BP1'!$J$21,"0.00")&amp;" SM","---")))</f>
        <v>---</v>
      </c>
      <c r="Z20" s="728" t="str">
        <f>IF('BP2'!$H$21&gt;0,TEXT('BP2'!$H$21,"0.00")&amp;" CM",IF('BP2'!$I$21&gt;0,TEXT('BP2'!$I$21,"0.00")&amp;" AM"&amp;IF(AND('BP2'!$I$21&gt;0,'BP2'!$J$21&gt;0),"; ","")&amp;IF('BP2'!$J$21&gt;0,TEXT('BP2'!$J$21,"0.00")&amp;" SM",""),IF('BP2'!$J$21&gt;0,TEXT('BP2'!$J$21,"0.00")&amp;" SM","---")))</f>
        <v>---</v>
      </c>
      <c r="AA20" s="728" t="str">
        <f>IF('BP3'!$H$21&gt;0,TEXT('BP3'!$H$21,"0.00")&amp;" CM",IF('BP3'!$I$21&gt;0,TEXT('BP3'!$I$21,"0.00")&amp;" AM"&amp;IF(AND('BP3'!$I$21&gt;0,'BP3'!$J$21&gt;0),"; ","")&amp;IF('BP3'!$J$21&gt;0,TEXT('BP3'!$J$21,"0.00")&amp;" SM",""),IF('BP3'!$J$21&gt;0,TEXT('BP3'!$J$21,"0.00")&amp;" SM","---")))</f>
        <v>---</v>
      </c>
      <c r="AB20" s="728" t="str">
        <f>IF('BP4'!$H$21&gt;0,TEXT('BP4'!$H$21,"0.00")&amp;" CM",IF('BP4'!$I$21&gt;0,TEXT('BP4'!$I$21,"0.00")&amp;" AM"&amp;IF(AND('BP4'!$I$21&gt;0,'BP4'!$J$21&gt;0),"; ","")&amp;IF('BP4'!$J$21&gt;0,TEXT('BP4'!$J$21,"0.00")&amp;" SM",""),IF('BP4'!$J$21&gt;0,TEXT('BP4'!$J$21,"0.00")&amp;" SM","---")))</f>
        <v>---</v>
      </c>
      <c r="AC20" s="728" t="str">
        <f>IF('BP5'!$H$21&gt;0,TEXT('BP5'!$H$21,"0.00")&amp;" CM",IF('BP5'!$I$21&gt;0,TEXT('BP5'!$I$21,"0.00")&amp;" AM"&amp;IF(AND('BP5'!$I$21&gt;0,'BP5'!$J$21&gt;0),"; ","")&amp;IF('BP5'!$J$21&gt;0,TEXT('BP5'!$J$21,"0.00")&amp;" SM",""),IF('BP5'!$J$21&gt;0,TEXT('BP5'!$J$21,"0.00")&amp;" SM","---")))</f>
        <v>---</v>
      </c>
      <c r="AD20" s="728" t="str">
        <f>IF('Cumulative Budget'!$H$21&gt;0,TEXT('Cumulative Budget'!$H$21,"0.00")&amp;" CM",IF('Cumulative Budget'!$I$21&gt;0,TEXT('Cumulative Budget'!$I$21,"0.00")&amp;" AM"&amp;IF(AND('Cumulative Budget'!$I$21&gt;0,'Cumulative Budget'!$J$21&gt;0),"; ","")&amp;IF('Cumulative Budget'!$J$21&gt;0,TEXT('Cumulative Budget'!$J$21,"0.00")&amp;" SM",""),IF('Cumulative Budget'!$J$21&gt;0,TEXT('Cumulative Budget'!$J$21,"0.00")&amp;" SM","---")))</f>
        <v>---</v>
      </c>
      <c r="AF20" s="758" t="str">
        <f>IF(ISBLANK('BP1'!$B$21),"Senior Personnel 7",""&amp;'BP1'!$B$21)</f>
        <v>Senior Personnel 7</v>
      </c>
      <c r="AG20" s="758"/>
      <c r="AH20" s="758"/>
      <c r="AI20" s="721" t="str">
        <f>IF('BP1'!$G$21&gt;9,TEXT('BP1'!$M$21,"0.00")&amp;" CM",IF('BP1'!$G$21=9,TEXT('BP1'!$M$21,"0.00")&amp;" AM","---"))</f>
        <v>---</v>
      </c>
      <c r="AJ20" s="721" t="str">
        <f>IF('BP2'!$G$21&gt;9,TEXT('BP2'!$M$21,"0.00")&amp;" CM",IF('BP2'!$G$21=9,TEXT('BP2'!$M$21,"0.00")&amp;" AM","---"))</f>
        <v>---</v>
      </c>
      <c r="AK20" s="721" t="str">
        <f>IF('BP3'!$G$21&gt;9,TEXT('BP3'!$M$21,"0.00")&amp;" CM",IF('BP3'!$G$21=9,TEXT('BP3'!$M$21,"0.00")&amp;" AM","---"))</f>
        <v>---</v>
      </c>
      <c r="AL20" s="721" t="str">
        <f>IF('BP4'!$G$21&gt;9,TEXT('BP4'!$M$21,"0.00")&amp;" CM",IF('BP4'!$G$21=9,TEXT('BP4'!$M$21,"0.00")&amp;" AM","---"))</f>
        <v>---</v>
      </c>
      <c r="AM20" s="721" t="str">
        <f>IF('BP5'!$G$21&gt;9,TEXT('BP5'!$M$21,"0.00")&amp;" CM",IF('BP5'!$G$21=9,TEXT('BP5'!$M$21,"0.00")&amp;" AM","---"))</f>
        <v>---</v>
      </c>
      <c r="AN20" s="721" t="str">
        <f>IF('BP1'!$G$21&gt;9,TEXT('Cumulative Budget'!$M$21,"0.00")&amp;" CM",IF('BP1'!$G$21=9,TEXT('Cumulative Budget'!$M$21,"0.00")&amp;" AM","---"))</f>
        <v>---</v>
      </c>
    </row>
    <row r="21" spans="1:40" ht="15.75" hidden="1" customHeight="1">
      <c r="A21" s="91" t="str">
        <f>CONCATENATE(V20," Fringe")</f>
        <v>Senior Personnel 7 Fringe</v>
      </c>
      <c r="B21" s="484">
        <f>'BP1'!$L$21</f>
        <v>0</v>
      </c>
      <c r="C21" s="485">
        <f>'BP1'!$O$21</f>
        <v>0</v>
      </c>
      <c r="D21" s="483"/>
      <c r="E21" s="484">
        <f ca="1">'BP2'!$L$21</f>
        <v>0</v>
      </c>
      <c r="F21" s="485">
        <f ca="1">'BP2'!$O$21</f>
        <v>0</v>
      </c>
      <c r="G21" s="483"/>
      <c r="H21" s="484">
        <f ca="1">'BP3'!$L$21</f>
        <v>0</v>
      </c>
      <c r="I21" s="485">
        <f ca="1">'BP3'!$O$21</f>
        <v>0</v>
      </c>
      <c r="J21" s="483"/>
      <c r="K21" s="484">
        <f ca="1">'BP4'!$L$21</f>
        <v>0</v>
      </c>
      <c r="L21" s="485">
        <f ca="1">'BP4'!$O$21</f>
        <v>0</v>
      </c>
      <c r="M21" s="483"/>
      <c r="N21" s="484">
        <f ca="1">'BP5'!$L$21</f>
        <v>0</v>
      </c>
      <c r="O21" s="485">
        <f ca="1">'BP5'!$O$21</f>
        <v>0</v>
      </c>
      <c r="P21" s="483"/>
      <c r="Q21" s="484">
        <f t="shared" ca="1" si="0"/>
        <v>0</v>
      </c>
      <c r="R21" s="485">
        <f t="shared" ca="1" si="1"/>
        <v>0</v>
      </c>
      <c r="S21" s="81"/>
      <c r="T21" s="136" t="s">
        <v>492</v>
      </c>
      <c r="V21" s="705"/>
      <c r="W21" s="706"/>
      <c r="X21" s="707"/>
      <c r="Y21" s="729"/>
      <c r="Z21" s="729"/>
      <c r="AA21" s="729"/>
      <c r="AB21" s="729"/>
      <c r="AC21" s="729"/>
      <c r="AD21" s="729"/>
      <c r="AF21" s="758"/>
      <c r="AG21" s="758"/>
      <c r="AH21" s="758"/>
      <c r="AI21" s="721"/>
      <c r="AJ21" s="721"/>
      <c r="AK21" s="721"/>
      <c r="AL21" s="721"/>
      <c r="AM21" s="721"/>
      <c r="AN21" s="721"/>
    </row>
    <row r="22" spans="1:40" ht="15.75" hidden="1" customHeight="1">
      <c r="A22" s="91" t="str">
        <f>CONCATENATE(V22," Salary")</f>
        <v>Senior Personnel 8 Salary</v>
      </c>
      <c r="B22" s="481">
        <f>'BP1'!$K$22</f>
        <v>0</v>
      </c>
      <c r="C22" s="482">
        <f>'BP1'!$N$22</f>
        <v>0</v>
      </c>
      <c r="D22" s="483"/>
      <c r="E22" s="481">
        <f ca="1">'BP2'!$K$22</f>
        <v>0</v>
      </c>
      <c r="F22" s="482">
        <f ca="1">'BP2'!$N$22</f>
        <v>0</v>
      </c>
      <c r="G22" s="483"/>
      <c r="H22" s="481">
        <f ca="1">'BP3'!$K$22</f>
        <v>0</v>
      </c>
      <c r="I22" s="482">
        <f ca="1">'BP3'!$N$22</f>
        <v>0</v>
      </c>
      <c r="J22" s="483"/>
      <c r="K22" s="481">
        <f ca="1">'BP4'!$K$22</f>
        <v>0</v>
      </c>
      <c r="L22" s="482">
        <f ca="1">'BP4'!$N$22</f>
        <v>0</v>
      </c>
      <c r="M22" s="483"/>
      <c r="N22" s="481">
        <f ca="1">'BP5'!$K$22</f>
        <v>0</v>
      </c>
      <c r="O22" s="482">
        <f ca="1">'BP5'!$N$22</f>
        <v>0</v>
      </c>
      <c r="P22" s="483"/>
      <c r="Q22" s="481">
        <f t="shared" ca="1" si="0"/>
        <v>0</v>
      </c>
      <c r="R22" s="482">
        <f t="shared" ca="1" si="1"/>
        <v>0</v>
      </c>
      <c r="S22" s="81"/>
      <c r="T22" s="136" t="s">
        <v>492</v>
      </c>
      <c r="V22" s="702" t="str">
        <f>IF(ISBLANK('BP1'!$B$22),"Senior Personnel 8",""&amp;'BP1'!$B$22)</f>
        <v>Senior Personnel 8</v>
      </c>
      <c r="W22" s="703"/>
      <c r="X22" s="704"/>
      <c r="Y22" s="728" t="str">
        <f>IF('BP1'!$H$22&gt;0,TEXT('BP1'!$H$22,"0.00")&amp;" CM",IF('BP1'!$I$22&gt;0,TEXT('BP1'!$I$22,"0.00")&amp;" AM"&amp;IF(AND('BP1'!$I$22&gt;0,'BP1'!$J$22&gt;0),"; ","")&amp;IF('BP1'!$J$22&gt;0,TEXT('BP1'!$J$22,"0.00")&amp;" SM",""),IF('BP1'!$J$22&gt;0,TEXT('BP1'!$J$22,"0.00")&amp;" SM","---")))</f>
        <v>---</v>
      </c>
      <c r="Z22" s="728" t="str">
        <f>IF('BP2'!$H$22&gt;0,TEXT('BP2'!$H$22,"0.00")&amp;" CM",IF('BP2'!$I$22&gt;0,TEXT('BP2'!$I$22,"0.00")&amp;" AM"&amp;IF(AND('BP2'!$I$22&gt;0,'BP2'!$J$22&gt;0),"; ","")&amp;IF('BP2'!$J$22&gt;0,TEXT('BP2'!$J$22,"0.00")&amp;" SM",""),IF('BP2'!$J$22&gt;0,TEXT('BP2'!$J$22,"0.00")&amp;" SM","---")))</f>
        <v>---</v>
      </c>
      <c r="AA22" s="728" t="str">
        <f>IF('BP3'!$H$22&gt;0,TEXT('BP3'!$H$22,"0.00")&amp;" CM",IF('BP3'!$I$22&gt;0,TEXT('BP3'!$I$22,"0.00")&amp;" AM"&amp;IF(AND('BP3'!$I$22&gt;0,'BP3'!$J$22&gt;0),"; ","")&amp;IF('BP3'!$J$22&gt;0,TEXT('BP3'!$J$22,"0.00")&amp;" SM",""),IF('BP3'!$J$22&gt;0,TEXT('BP3'!$J$22,"0.00")&amp;" SM","---")))</f>
        <v>---</v>
      </c>
      <c r="AB22" s="728" t="str">
        <f>IF('BP4'!$H$22&gt;0,TEXT('BP4'!$H$22,"0.00")&amp;" CM",IF('BP4'!$I$22&gt;0,TEXT('BP4'!$I$22,"0.00")&amp;" AM"&amp;IF(AND('BP4'!$I$22&gt;0,'BP4'!$J$22&gt;0),"; ","")&amp;IF('BP4'!$J$22&gt;0,TEXT('BP4'!$J$22,"0.00")&amp;" SM",""),IF('BP4'!$J$22&gt;0,TEXT('BP4'!$J$22,"0.00")&amp;" SM","---")))</f>
        <v>---</v>
      </c>
      <c r="AC22" s="728" t="str">
        <f>IF('BP5'!$H$22&gt;0,TEXT('BP5'!$H$22,"0.00")&amp;" CM",IF('BP5'!$I$22&gt;0,TEXT('BP5'!$I$22,"0.00")&amp;" AM"&amp;IF(AND('BP5'!$I$22&gt;0,'BP5'!$J$22&gt;0),"; ","")&amp;IF('BP5'!$J$22&gt;0,TEXT('BP5'!$J$22,"0.00")&amp;" SM",""),IF('BP5'!$J$22&gt;0,TEXT('BP5'!$J$22,"0.00")&amp;" SM","---")))</f>
        <v>---</v>
      </c>
      <c r="AD22" s="728" t="str">
        <f>IF('Cumulative Budget'!$H$22&gt;0,TEXT('Cumulative Budget'!$H$22,"0.00")&amp;" CM",IF('Cumulative Budget'!$I$22&gt;0,TEXT('Cumulative Budget'!$I$22,"0.00")&amp;" AM"&amp;IF(AND('Cumulative Budget'!$I$22&gt;0,'Cumulative Budget'!$J$22&gt;0),"; ","")&amp;IF('Cumulative Budget'!$J$22&gt;0,TEXT('Cumulative Budget'!$J$22,"0.00")&amp;" SM",""),IF('Cumulative Budget'!$J$22&gt;0,TEXT('Cumulative Budget'!$J$22,"0.00")&amp;" SM","---")))</f>
        <v>---</v>
      </c>
      <c r="AF22" s="758" t="str">
        <f>IF(ISBLANK('BP1'!$B$22),"Senior Personnel 8",""&amp;'BP1'!$B$22)</f>
        <v>Senior Personnel 8</v>
      </c>
      <c r="AG22" s="758"/>
      <c r="AH22" s="758"/>
      <c r="AI22" s="721" t="str">
        <f>IF('BP1'!$G$22&gt;9,TEXT('BP1'!$M$22,"0.00")&amp;" CM",IF('BP1'!$G$22=9,TEXT('BP1'!$M$22,"0.00")&amp;" AM","---"))</f>
        <v>---</v>
      </c>
      <c r="AJ22" s="721" t="str">
        <f>IF('BP2'!$G$22&gt;9,TEXT('BP2'!$M$22,"0.00")&amp;" CM",IF('BP2'!$G$22=9,TEXT('BP2'!$M$22,"0.00")&amp;" AM","---"))</f>
        <v>---</v>
      </c>
      <c r="AK22" s="721" t="str">
        <f>IF('BP3'!$G$22&gt;9,TEXT('BP3'!$M$22,"0.00")&amp;" CM",IF('BP3'!$G$22=9,TEXT('BP3'!$M$22,"0.00")&amp;" AM","---"))</f>
        <v>---</v>
      </c>
      <c r="AL22" s="721" t="str">
        <f>IF('BP4'!$G$22&gt;9,TEXT('BP4'!$M$22,"0.00")&amp;" CM",IF('BP4'!$G$22=9,TEXT('BP4'!$M$22,"0.00")&amp;" AM","---"))</f>
        <v>---</v>
      </c>
      <c r="AM22" s="721" t="str">
        <f>IF('BP5'!$G$22&gt;9,TEXT('BP5'!$M$22,"0.00")&amp;" CM",IF('BP5'!$G$22=9,TEXT('BP5'!$M$22,"0.00")&amp;" AM","---"))</f>
        <v>---</v>
      </c>
      <c r="AN22" s="721" t="str">
        <f>IF('BP1'!$G$22&gt;9,TEXT('Cumulative Budget'!$M$22,"0.00")&amp;" CM",IF('BP1'!$G$22=9,TEXT('Cumulative Budget'!$M$22,"0.00")&amp;" AM","---"))</f>
        <v>---</v>
      </c>
    </row>
    <row r="23" spans="1:40" ht="15.75" hidden="1" customHeight="1">
      <c r="A23" s="91" t="str">
        <f>CONCATENATE(V22," Fringe")</f>
        <v>Senior Personnel 8 Fringe</v>
      </c>
      <c r="B23" s="484">
        <f>'BP1'!$L$22</f>
        <v>0</v>
      </c>
      <c r="C23" s="485">
        <f>'BP1'!$O$22</f>
        <v>0</v>
      </c>
      <c r="D23" s="483"/>
      <c r="E23" s="484">
        <f ca="1">'BP2'!$L$22</f>
        <v>0</v>
      </c>
      <c r="F23" s="485">
        <f ca="1">'BP2'!$O$22</f>
        <v>0</v>
      </c>
      <c r="G23" s="483"/>
      <c r="H23" s="484">
        <f ca="1">'BP3'!$L$22</f>
        <v>0</v>
      </c>
      <c r="I23" s="485">
        <f ca="1">'BP3'!$O$22</f>
        <v>0</v>
      </c>
      <c r="J23" s="483"/>
      <c r="K23" s="484">
        <f ca="1">'BP4'!$L$22</f>
        <v>0</v>
      </c>
      <c r="L23" s="485">
        <f ca="1">'BP4'!$O$22</f>
        <v>0</v>
      </c>
      <c r="M23" s="483"/>
      <c r="N23" s="484">
        <f ca="1">'BP5'!$L$22</f>
        <v>0</v>
      </c>
      <c r="O23" s="485">
        <f ca="1">'BP5'!$O$22</f>
        <v>0</v>
      </c>
      <c r="P23" s="483"/>
      <c r="Q23" s="484">
        <f t="shared" ca="1" si="0"/>
        <v>0</v>
      </c>
      <c r="R23" s="485">
        <f t="shared" ca="1" si="1"/>
        <v>0</v>
      </c>
      <c r="S23" s="81"/>
      <c r="T23" s="136" t="s">
        <v>492</v>
      </c>
      <c r="V23" s="705"/>
      <c r="W23" s="706"/>
      <c r="X23" s="707"/>
      <c r="Y23" s="729"/>
      <c r="Z23" s="729"/>
      <c r="AA23" s="729"/>
      <c r="AB23" s="729"/>
      <c r="AC23" s="729"/>
      <c r="AD23" s="729"/>
      <c r="AF23" s="758"/>
      <c r="AG23" s="758"/>
      <c r="AH23" s="758"/>
      <c r="AI23" s="721"/>
      <c r="AJ23" s="721"/>
      <c r="AK23" s="721"/>
      <c r="AL23" s="721"/>
      <c r="AM23" s="721"/>
      <c r="AN23" s="721"/>
    </row>
    <row r="24" spans="1:40" ht="15.75" hidden="1" customHeight="1">
      <c r="A24" s="91" t="str">
        <f>CONCATENATE(V24," Salary")</f>
        <v>Senior Personnel 9 Salary</v>
      </c>
      <c r="B24" s="481">
        <f>'BP1'!$K$23</f>
        <v>0</v>
      </c>
      <c r="C24" s="482">
        <f>'BP1'!$N$23</f>
        <v>0</v>
      </c>
      <c r="D24" s="483"/>
      <c r="E24" s="481">
        <f ca="1">'BP2'!$K$23</f>
        <v>0</v>
      </c>
      <c r="F24" s="482">
        <f ca="1">'BP2'!$N$23</f>
        <v>0</v>
      </c>
      <c r="G24" s="483"/>
      <c r="H24" s="481">
        <f ca="1">'BP3'!$K$23</f>
        <v>0</v>
      </c>
      <c r="I24" s="482">
        <f ca="1">'BP3'!$N$23</f>
        <v>0</v>
      </c>
      <c r="J24" s="483"/>
      <c r="K24" s="481">
        <f ca="1">'BP4'!$K$23</f>
        <v>0</v>
      </c>
      <c r="L24" s="482">
        <f ca="1">'BP4'!$N$23</f>
        <v>0</v>
      </c>
      <c r="M24" s="483"/>
      <c r="N24" s="481">
        <f ca="1">'BP5'!$K$23</f>
        <v>0</v>
      </c>
      <c r="O24" s="482">
        <f ca="1">'BP5'!$N$23</f>
        <v>0</v>
      </c>
      <c r="P24" s="483"/>
      <c r="Q24" s="481">
        <f t="shared" ca="1" si="0"/>
        <v>0</v>
      </c>
      <c r="R24" s="482">
        <f t="shared" ca="1" si="1"/>
        <v>0</v>
      </c>
      <c r="S24" s="81"/>
      <c r="T24" s="136" t="s">
        <v>492</v>
      </c>
      <c r="V24" s="702" t="str">
        <f>IF(ISBLANK('BP1'!$B$23),"Senior Personnel 9",""&amp;'BP1'!$B$23)</f>
        <v>Senior Personnel 9</v>
      </c>
      <c r="W24" s="703"/>
      <c r="X24" s="704"/>
      <c r="Y24" s="728" t="str">
        <f>IF('BP1'!$H$23&gt;0,TEXT('BP1'!$H$23,"0.00")&amp;" CM",IF('BP1'!$I$23&gt;0,TEXT('BP1'!$I$23,"0.00")&amp;" AM"&amp;IF(AND('BP1'!$I$23&gt;0,'BP1'!$J$23&gt;0),"; ","")&amp;IF('BP1'!$J$23&gt;0,TEXT('BP1'!$J$23,"0.00")&amp;" SM",""),IF('BP1'!$J$23&gt;0,TEXT('BP1'!$J$23,"0.00")&amp;" SM","---")))</f>
        <v>---</v>
      </c>
      <c r="Z24" s="728" t="str">
        <f>IF('BP2'!$H$23&gt;0,TEXT('BP2'!$H$23,"0.00")&amp;" CM",IF('BP2'!$I$23&gt;0,TEXT('BP2'!$I$23,"0.00")&amp;" AM"&amp;IF(AND('BP2'!$I$23&gt;0,'BP2'!$J$23&gt;0),"; ","")&amp;IF('BP2'!$J$23&gt;0,TEXT('BP2'!$J$23,"0.00")&amp;" SM",""),IF('BP2'!$J$23&gt;0,TEXT('BP2'!$J$23,"0.00")&amp;" SM","---")))</f>
        <v>---</v>
      </c>
      <c r="AA24" s="728" t="str">
        <f>IF('BP3'!$H$23&gt;0,TEXT('BP3'!$H$23,"0.00")&amp;" CM",IF('BP3'!$I$23&gt;0,TEXT('BP3'!$I$23,"0.00")&amp;" AM"&amp;IF(AND('BP3'!$I$23&gt;0,'BP3'!$J$23&gt;0),"; ","")&amp;IF('BP3'!$J$23&gt;0,TEXT('BP3'!$J$23,"0.00")&amp;" SM",""),IF('BP3'!$J$23&gt;0,TEXT('BP3'!$J$23,"0.00")&amp;" SM","---")))</f>
        <v>---</v>
      </c>
      <c r="AB24" s="728" t="str">
        <f>IF('BP4'!$H$23&gt;0,TEXT('BP4'!$H$23,"0.00")&amp;" CM",IF('BP4'!$I$23&gt;0,TEXT('BP4'!$I$23,"0.00")&amp;" AM"&amp;IF(AND('BP4'!$I$23&gt;0,'BP4'!$J$23&gt;0),"; ","")&amp;IF('BP4'!$J$23&gt;0,TEXT('BP4'!$J$23,"0.00")&amp;" SM",""),IF('BP4'!$J$23&gt;0,TEXT('BP4'!$J$23,"0.00")&amp;" SM","---")))</f>
        <v>---</v>
      </c>
      <c r="AC24" s="728" t="str">
        <f>IF('BP5'!$H$23&gt;0,TEXT('BP5'!$H$23,"0.00")&amp;" CM",IF('BP5'!$I$23&gt;0,TEXT('BP5'!$I$23,"0.00")&amp;" AM"&amp;IF(AND('BP5'!$I$23&gt;0,'BP5'!$J$23&gt;0),"; ","")&amp;IF('BP5'!$J$23&gt;0,TEXT('BP5'!$J$23,"0.00")&amp;" SM",""),IF('BP5'!$J$23&gt;0,TEXT('BP5'!$J$23,"0.00")&amp;" SM","---")))</f>
        <v>---</v>
      </c>
      <c r="AD24" s="728" t="str">
        <f>IF('Cumulative Budget'!$H$23&gt;0,TEXT('Cumulative Budget'!$H$23,"0.00")&amp;" CM",IF('Cumulative Budget'!$I$23&gt;0,TEXT('Cumulative Budget'!$I$23,"0.00")&amp;" AM"&amp;IF(AND('Cumulative Budget'!$I$23&gt;0,'Cumulative Budget'!$J$23&gt;0),"; ","")&amp;IF('Cumulative Budget'!$J$23&gt;0,TEXT('Cumulative Budget'!$J$23,"0.00")&amp;" SM",""),IF('Cumulative Budget'!$J$23&gt;0,TEXT('Cumulative Budget'!$J$23,"0.00")&amp;" SM","---")))</f>
        <v>---</v>
      </c>
      <c r="AF24" s="758" t="str">
        <f>IF(ISBLANK('BP1'!$B$23),"Senior Personnel 9",""&amp;'BP1'!$B$23)</f>
        <v>Senior Personnel 9</v>
      </c>
      <c r="AG24" s="758"/>
      <c r="AH24" s="758"/>
      <c r="AI24" s="721" t="str">
        <f>IF('BP1'!$G$23&gt;9,TEXT('BP1'!$M$23,"0.00")&amp;" CM",IF('BP1'!$G$23=9,TEXT('BP1'!$M$23,"0.00")&amp;" AM","---"))</f>
        <v>---</v>
      </c>
      <c r="AJ24" s="721" t="str">
        <f>IF('BP2'!$G$23&gt;9,TEXT('BP2'!$M$23,"0.00")&amp;" CM",IF('BP2'!$G$23=9,TEXT('BP2'!$M$23,"0.00")&amp;" AM","---"))</f>
        <v>---</v>
      </c>
      <c r="AK24" s="721" t="str">
        <f>IF('BP3'!$G$23&gt;9,TEXT('BP3'!$M$23,"0.00")&amp;" CM",IF('BP3'!$G$23=9,TEXT('BP3'!$M$23,"0.00")&amp;" AM","---"))</f>
        <v>---</v>
      </c>
      <c r="AL24" s="721" t="str">
        <f>IF('BP4'!$G$23&gt;9,TEXT('BP4'!$M$23,"0.00")&amp;" CM",IF('BP4'!$G$23=9,TEXT('BP4'!$M$23,"0.00")&amp;" AM","---"))</f>
        <v>---</v>
      </c>
      <c r="AM24" s="721" t="str">
        <f>IF('BP5'!$G$23&gt;9,TEXT('BP5'!$M$23,"0.00")&amp;" CM",IF('BP5'!$G$23=9,TEXT('BP5'!$M$23,"0.00")&amp;" AM","---"))</f>
        <v>---</v>
      </c>
      <c r="AN24" s="721" t="str">
        <f>IF('BP1'!$G$23&gt;9,TEXT('Cumulative Budget'!$M$23,"0.00")&amp;" CM",IF('BP1'!$G$23=9,TEXT('Cumulative Budget'!$M$23,"0.00")&amp;" AM","---"))</f>
        <v>---</v>
      </c>
    </row>
    <row r="25" spans="1:40" ht="15.75" hidden="1" customHeight="1">
      <c r="A25" s="91" t="str">
        <f>CONCATENATE(V24," Fringe")</f>
        <v>Senior Personnel 9 Fringe</v>
      </c>
      <c r="B25" s="484">
        <f>'BP1'!$L$23</f>
        <v>0</v>
      </c>
      <c r="C25" s="485">
        <f>'BP1'!$O$23</f>
        <v>0</v>
      </c>
      <c r="D25" s="483"/>
      <c r="E25" s="484">
        <f ca="1">'BP2'!$L$23</f>
        <v>0</v>
      </c>
      <c r="F25" s="485">
        <f ca="1">'BP2'!$O$23</f>
        <v>0</v>
      </c>
      <c r="G25" s="483"/>
      <c r="H25" s="484">
        <f ca="1">'BP3'!$L$23</f>
        <v>0</v>
      </c>
      <c r="I25" s="485">
        <f ca="1">'BP3'!$O$23</f>
        <v>0</v>
      </c>
      <c r="J25" s="483"/>
      <c r="K25" s="484">
        <f ca="1">'BP4'!$L$23</f>
        <v>0</v>
      </c>
      <c r="L25" s="485">
        <f ca="1">'BP4'!$O$23</f>
        <v>0</v>
      </c>
      <c r="M25" s="483"/>
      <c r="N25" s="484">
        <f ca="1">'BP5'!$L$23</f>
        <v>0</v>
      </c>
      <c r="O25" s="485">
        <f ca="1">'BP5'!$O$23</f>
        <v>0</v>
      </c>
      <c r="P25" s="483"/>
      <c r="Q25" s="484">
        <f t="shared" ca="1" si="0"/>
        <v>0</v>
      </c>
      <c r="R25" s="485">
        <f t="shared" ca="1" si="1"/>
        <v>0</v>
      </c>
      <c r="S25" s="81"/>
      <c r="T25" s="136" t="s">
        <v>492</v>
      </c>
      <c r="V25" s="705"/>
      <c r="W25" s="706"/>
      <c r="X25" s="707"/>
      <c r="Y25" s="729"/>
      <c r="Z25" s="729"/>
      <c r="AA25" s="729"/>
      <c r="AB25" s="729"/>
      <c r="AC25" s="729"/>
      <c r="AD25" s="729"/>
      <c r="AF25" s="758"/>
      <c r="AG25" s="758"/>
      <c r="AH25" s="758"/>
      <c r="AI25" s="721"/>
      <c r="AJ25" s="721"/>
      <c r="AK25" s="721"/>
      <c r="AL25" s="721"/>
      <c r="AM25" s="721"/>
      <c r="AN25" s="721"/>
    </row>
    <row r="26" spans="1:40" ht="15.75" hidden="1" customHeight="1">
      <c r="A26" s="91" t="str">
        <f>CONCATENATE(V26," Salary")</f>
        <v>Senior Personnel 10 Salary</v>
      </c>
      <c r="B26" s="481">
        <f>'BP1'!$K$24</f>
        <v>0</v>
      </c>
      <c r="C26" s="482">
        <f>'BP1'!$N$24</f>
        <v>0</v>
      </c>
      <c r="D26" s="483"/>
      <c r="E26" s="481">
        <f ca="1">'BP2'!$K$24</f>
        <v>0</v>
      </c>
      <c r="F26" s="482">
        <f ca="1">'BP2'!$N$24</f>
        <v>0</v>
      </c>
      <c r="G26" s="483"/>
      <c r="H26" s="481">
        <f ca="1">'BP3'!$K$24</f>
        <v>0</v>
      </c>
      <c r="I26" s="482">
        <f ca="1">'BP3'!$N$24</f>
        <v>0</v>
      </c>
      <c r="J26" s="483"/>
      <c r="K26" s="481">
        <f ca="1">'BP4'!$K$24</f>
        <v>0</v>
      </c>
      <c r="L26" s="482">
        <f ca="1">'BP4'!$N$24</f>
        <v>0</v>
      </c>
      <c r="M26" s="483"/>
      <c r="N26" s="481">
        <f ca="1">'BP5'!$K$24</f>
        <v>0</v>
      </c>
      <c r="O26" s="482">
        <f ca="1">'BP5'!$N$24</f>
        <v>0</v>
      </c>
      <c r="P26" s="483"/>
      <c r="Q26" s="481">
        <f t="shared" ca="1" si="0"/>
        <v>0</v>
      </c>
      <c r="R26" s="482">
        <f t="shared" ca="1" si="1"/>
        <v>0</v>
      </c>
      <c r="S26" s="81"/>
      <c r="T26" s="136" t="s">
        <v>492</v>
      </c>
      <c r="V26" s="702" t="str">
        <f>IF(ISBLANK('BP1'!$B$24),"Senior Personnel 10",""&amp;'BP1'!$B$24)</f>
        <v>Senior Personnel 10</v>
      </c>
      <c r="W26" s="703"/>
      <c r="X26" s="704"/>
      <c r="Y26" s="728" t="str">
        <f>IF('BP1'!$H$24&gt;0,TEXT('BP1'!$H$24,"0.00")&amp;" CM",IF('BP1'!$I$24&gt;0,TEXT('BP1'!$I$24,"0.00")&amp;" AM"&amp;IF(AND('BP1'!$I$24&gt;0,'BP1'!$J$24&gt;0),"; ","")&amp;IF('BP1'!$J$24&gt;0,TEXT('BP1'!$J$24,"0.00")&amp;" SM",""),IF('BP1'!$J$24&gt;0,TEXT('BP1'!$J$24,"0.00")&amp;" SM","---")))</f>
        <v>---</v>
      </c>
      <c r="Z26" s="728" t="str">
        <f>IF('BP2'!$H$24&gt;0,TEXT('BP2'!$H$24,"0.00")&amp;" CM",IF('BP2'!$I$24&gt;0,TEXT('BP2'!$I$24,"0.00")&amp;" AM"&amp;IF(AND('BP2'!$I$24&gt;0,'BP2'!$J$24&gt;0),"; ","")&amp;IF('BP2'!$J$24&gt;0,TEXT('BP2'!$J$24,"0.00")&amp;" SM",""),IF('BP2'!$J$24&gt;0,TEXT('BP2'!$J$24,"0.00")&amp;" SM","---")))</f>
        <v>---</v>
      </c>
      <c r="AA26" s="728" t="str">
        <f>IF('BP3'!$H$24&gt;0,TEXT('BP3'!$H$24,"0.00")&amp;" CM",IF('BP3'!$I$24&gt;0,TEXT('BP3'!$I$24,"0.00")&amp;" AM"&amp;IF(AND('BP3'!$I$24&gt;0,'BP3'!$J$24&gt;0),"; ","")&amp;IF('BP3'!$J$24&gt;0,TEXT('BP3'!$J$24,"0.00")&amp;" SM",""),IF('BP3'!$J$24&gt;0,TEXT('BP3'!$J$24,"0.00")&amp;" SM","---")))</f>
        <v>---</v>
      </c>
      <c r="AB26" s="728" t="str">
        <f>IF('BP4'!$H$24&gt;0,TEXT('BP4'!$H$24,"0.00")&amp;" CM",IF('BP4'!$I$24&gt;0,TEXT('BP4'!$I$24,"0.00")&amp;" AM"&amp;IF(AND('BP4'!$I$24&gt;0,'BP4'!$J$24&gt;0),"; ","")&amp;IF('BP4'!$J$24&gt;0,TEXT('BP4'!$J$24,"0.00")&amp;" SM",""),IF('BP4'!$J$24&gt;0,TEXT('BP4'!$J$24,"0.00")&amp;" SM","---")))</f>
        <v>---</v>
      </c>
      <c r="AC26" s="728" t="str">
        <f>IF('BP5'!$H$24&gt;0,TEXT('BP5'!$H$24,"0.00")&amp;" CM",IF('BP5'!$I$24&gt;0,TEXT('BP5'!$I$24,"0.00")&amp;" AM"&amp;IF(AND('BP5'!$I$24&gt;0,'BP5'!$J$24&gt;0),"; ","")&amp;IF('BP5'!$J$24&gt;0,TEXT('BP5'!$J$24,"0.00")&amp;" SM",""),IF('BP5'!$J$24&gt;0,TEXT('BP5'!$J$24,"0.00")&amp;" SM","---")))</f>
        <v>---</v>
      </c>
      <c r="AD26" s="728" t="str">
        <f>IF('Cumulative Budget'!$H$24&gt;0,TEXT('Cumulative Budget'!$H$24,"0.00")&amp;" CM",IF('Cumulative Budget'!$I$24&gt;0,TEXT('Cumulative Budget'!$I$24,"0.00")&amp;" AM"&amp;IF(AND('Cumulative Budget'!$I$24&gt;0,'Cumulative Budget'!$J$24&gt;0),"; ","")&amp;IF('Cumulative Budget'!$J$24&gt;0,TEXT('Cumulative Budget'!$J$24,"0.00")&amp;" SM",""),IF('Cumulative Budget'!$J$24&gt;0,TEXT('Cumulative Budget'!$J$24,"0.00")&amp;" SM","---")))</f>
        <v>---</v>
      </c>
      <c r="AF26" s="758" t="str">
        <f>IF(ISBLANK('BP1'!$B$24),"Senior Personnel 10",""&amp;'BP1'!$B$24)</f>
        <v>Senior Personnel 10</v>
      </c>
      <c r="AG26" s="758"/>
      <c r="AH26" s="758"/>
      <c r="AI26" s="721" t="str">
        <f>IF('BP1'!$G$24&gt;9,TEXT('BP1'!$M$24,"0.00")&amp;" CM",IF('BP1'!$G$24=9,TEXT('BP1'!$M$24,"0.00")&amp;" AM","---"))</f>
        <v>---</v>
      </c>
      <c r="AJ26" s="721" t="str">
        <f>IF('BP2'!$G$24&gt;9,TEXT('BP2'!$M$24,"0.00")&amp;" CM",IF('BP2'!$G$24=9,TEXT('BP2'!$M$24,"0.00")&amp;" AM","---"))</f>
        <v>---</v>
      </c>
      <c r="AK26" s="721" t="str">
        <f>IF('BP3'!$G$24&gt;9,TEXT('BP3'!$M$24,"0.00")&amp;" CM",IF('BP3'!$G$24=9,TEXT('BP3'!$M$24,"0.00")&amp;" AM","---"))</f>
        <v>---</v>
      </c>
      <c r="AL26" s="721" t="str">
        <f>IF('BP4'!$G$24&gt;9,TEXT('BP4'!$M$24,"0.00")&amp;" CM",IF('BP4'!$G$24=9,TEXT('BP4'!$M$24,"0.00")&amp;" AM","---"))</f>
        <v>---</v>
      </c>
      <c r="AM26" s="721" t="str">
        <f>IF('BP5'!$G$24&gt;9,TEXT('BP5'!$M$24,"0.00")&amp;" CM",IF('BP5'!$G$24=9,TEXT('BP5'!$M$24,"0.00")&amp;" AM","---"))</f>
        <v>---</v>
      </c>
      <c r="AN26" s="721" t="str">
        <f>IF('BP1'!$G$24&gt;9,TEXT('Cumulative Budget'!$M$24,"0.00")&amp;" CM",IF('BP1'!$G$24=9,TEXT('Cumulative Budget'!$M$24,"0.00")&amp;" AM","---"))</f>
        <v>---</v>
      </c>
    </row>
    <row r="27" spans="1:40" ht="15.75" hidden="1" customHeight="1">
      <c r="A27" s="91" t="str">
        <f>CONCATENATE(V26," Fringe")</f>
        <v>Senior Personnel 10 Fringe</v>
      </c>
      <c r="B27" s="484">
        <f>'BP1'!$L$24</f>
        <v>0</v>
      </c>
      <c r="C27" s="485">
        <f>'BP1'!$O$24</f>
        <v>0</v>
      </c>
      <c r="D27" s="483"/>
      <c r="E27" s="484">
        <f ca="1">'BP2'!$L$24</f>
        <v>0</v>
      </c>
      <c r="F27" s="485">
        <f ca="1">'BP2'!$O$24</f>
        <v>0</v>
      </c>
      <c r="G27" s="483"/>
      <c r="H27" s="484">
        <f ca="1">'BP3'!$L$24</f>
        <v>0</v>
      </c>
      <c r="I27" s="485">
        <f ca="1">'BP3'!$O$24</f>
        <v>0</v>
      </c>
      <c r="J27" s="483"/>
      <c r="K27" s="484">
        <f ca="1">'BP4'!$L$24</f>
        <v>0</v>
      </c>
      <c r="L27" s="485">
        <f ca="1">'BP4'!$O$24</f>
        <v>0</v>
      </c>
      <c r="M27" s="483"/>
      <c r="N27" s="484">
        <f ca="1">'BP5'!$L$24</f>
        <v>0</v>
      </c>
      <c r="O27" s="485">
        <f ca="1">'BP5'!$O$24</f>
        <v>0</v>
      </c>
      <c r="P27" s="483"/>
      <c r="Q27" s="484">
        <f t="shared" ca="1" si="0"/>
        <v>0</v>
      </c>
      <c r="R27" s="485">
        <f t="shared" ca="1" si="1"/>
        <v>0</v>
      </c>
      <c r="S27" s="81"/>
      <c r="T27" s="136" t="s">
        <v>492</v>
      </c>
      <c r="V27" s="705"/>
      <c r="W27" s="706"/>
      <c r="X27" s="707"/>
      <c r="Y27" s="729"/>
      <c r="Z27" s="729"/>
      <c r="AA27" s="729"/>
      <c r="AB27" s="729"/>
      <c r="AC27" s="729"/>
      <c r="AD27" s="729"/>
      <c r="AF27" s="758"/>
      <c r="AG27" s="758"/>
      <c r="AH27" s="758"/>
      <c r="AI27" s="721"/>
      <c r="AJ27" s="721"/>
      <c r="AK27" s="721"/>
      <c r="AL27" s="721"/>
      <c r="AM27" s="721"/>
      <c r="AN27" s="721"/>
    </row>
    <row r="28" spans="1:40" ht="15.75" hidden="1" customHeight="1">
      <c r="A28" s="91" t="str">
        <f>CONCATENATE(V28," Salary")</f>
        <v>Senior Personnel 11 Salary</v>
      </c>
      <c r="B28" s="481">
        <f>'BP1'!$K$25</f>
        <v>0</v>
      </c>
      <c r="C28" s="482">
        <f>'BP1'!$N$25</f>
        <v>0</v>
      </c>
      <c r="D28" s="483"/>
      <c r="E28" s="481">
        <f ca="1">'BP2'!$K$25</f>
        <v>0</v>
      </c>
      <c r="F28" s="482">
        <f ca="1">'BP2'!$N$25</f>
        <v>0</v>
      </c>
      <c r="G28" s="483"/>
      <c r="H28" s="481">
        <f ca="1">'BP3'!$K$25</f>
        <v>0</v>
      </c>
      <c r="I28" s="482">
        <f ca="1">'BP3'!$N$25</f>
        <v>0</v>
      </c>
      <c r="J28" s="483"/>
      <c r="K28" s="481">
        <f ca="1">'BP4'!$K$25</f>
        <v>0</v>
      </c>
      <c r="L28" s="482">
        <f ca="1">'BP4'!$N$25</f>
        <v>0</v>
      </c>
      <c r="M28" s="483"/>
      <c r="N28" s="481">
        <f ca="1">'BP5'!$K$25</f>
        <v>0</v>
      </c>
      <c r="O28" s="482">
        <f ca="1">'BP5'!$N$25</f>
        <v>0</v>
      </c>
      <c r="P28" s="483"/>
      <c r="Q28" s="481">
        <f t="shared" ca="1" si="0"/>
        <v>0</v>
      </c>
      <c r="R28" s="482">
        <f t="shared" ca="1" si="1"/>
        <v>0</v>
      </c>
      <c r="S28" s="81"/>
      <c r="T28" s="136" t="s">
        <v>493</v>
      </c>
      <c r="V28" s="702" t="str">
        <f>IF(ISBLANK('BP1'!$B$25),"Senior Personnel 11",""&amp;'BP1'!$B$25)</f>
        <v>Senior Personnel 11</v>
      </c>
      <c r="W28" s="703"/>
      <c r="X28" s="704"/>
      <c r="Y28" s="728" t="str">
        <f>IF('BP1'!$H$25&gt;0,TEXT('BP1'!$H$25,"0.00")&amp;" CM",IF('BP1'!$I$25&gt;0,TEXT('BP1'!$I$25,"0.00")&amp;" AM"&amp;IF(AND('BP1'!$I$25&gt;0,'BP1'!$J$25&gt;0),"; ","")&amp;IF('BP1'!$J$25&gt;0,TEXT('BP1'!$J$25,"0.00")&amp;" SM",""),IF('BP1'!$J$25&gt;0,TEXT('BP1'!$J$25,"0.00")&amp;" SM","---")))</f>
        <v>---</v>
      </c>
      <c r="Z28" s="728" t="str">
        <f>IF('BP2'!$H$25&gt;0,TEXT('BP2'!$H$25,"0.00")&amp;" CM",IF('BP2'!$I$25&gt;0,TEXT('BP2'!$I$25,"0.00")&amp;" AM"&amp;IF(AND('BP2'!$I$25&gt;0,'BP2'!$J$25&gt;0),"; ","")&amp;IF('BP2'!$J$25&gt;0,TEXT('BP2'!$J$25,"0.00")&amp;" SM",""),IF('BP2'!$J$25&gt;0,TEXT('BP2'!$J$25,"0.00")&amp;" SM","---")))</f>
        <v>---</v>
      </c>
      <c r="AA28" s="728" t="str">
        <f>IF('BP3'!$H$25&gt;0,TEXT('BP3'!$H$25,"0.00")&amp;" CM",IF('BP3'!$I$25&gt;0,TEXT('BP3'!$I$25,"0.00")&amp;" AM"&amp;IF(AND('BP3'!$I$25&gt;0,'BP3'!$J$25&gt;0),"; ","")&amp;IF('BP3'!$J$25&gt;0,TEXT('BP3'!$J$25,"0.00")&amp;" SM",""),IF('BP3'!$J$25&gt;0,TEXT('BP3'!$J$25,"0.00")&amp;" SM","---")))</f>
        <v>---</v>
      </c>
      <c r="AB28" s="728" t="str">
        <f>IF('BP4'!$H$25&gt;0,TEXT('BP4'!$H$25,"0.00")&amp;" CM",IF('BP4'!$I$25&gt;0,TEXT('BP4'!$I$25,"0.00")&amp;" AM"&amp;IF(AND('BP4'!$I$25&gt;0,'BP4'!$J$25&gt;0),"; ","")&amp;IF('BP4'!$J$25&gt;0,TEXT('BP4'!$J$25,"0.00")&amp;" SM",""),IF('BP4'!$J$25&gt;0,TEXT('BP4'!$J$25,"0.00")&amp;" SM","---")))</f>
        <v>---</v>
      </c>
      <c r="AC28" s="728" t="str">
        <f>IF('BP5'!$H$25&gt;0,TEXT('BP5'!$H$25,"0.00")&amp;" CM",IF('BP5'!$I$25&gt;0,TEXT('BP5'!$I$25,"0.00")&amp;" AM"&amp;IF(AND('BP5'!$I$25&gt;0,'BP5'!$J$25&gt;0),"; ","")&amp;IF('BP5'!$J$25&gt;0,TEXT('BP5'!$J$25,"0.00")&amp;" SM",""),IF('BP5'!$J$25&gt;0,TEXT('BP5'!$J$25,"0.00")&amp;" SM","---")))</f>
        <v>---</v>
      </c>
      <c r="AD28" s="728" t="str">
        <f>IF('Cumulative Budget'!$H$25&gt;0,TEXT('Cumulative Budget'!$H$25,"0.00")&amp;" CM",IF('Cumulative Budget'!$I$25&gt;0,TEXT('Cumulative Budget'!$I$25,"0.00")&amp;" AM"&amp;IF(AND('Cumulative Budget'!$I$25&gt;0,'Cumulative Budget'!$J$25&gt;0),"; ","")&amp;IF('Cumulative Budget'!$J$25&gt;0,TEXT('Cumulative Budget'!$J$25,"0.00")&amp;" SM",""),IF('Cumulative Budget'!$J$25&gt;0,TEXT('Cumulative Budget'!$J$25,"0.00")&amp;" SM","---")))</f>
        <v>---</v>
      </c>
      <c r="AF28" s="758" t="str">
        <f>IF(ISBLANK('BP1'!$B$25),"Senior Personnel 11",""&amp;'BP1'!$B$25)</f>
        <v>Senior Personnel 11</v>
      </c>
      <c r="AG28" s="758"/>
      <c r="AH28" s="758"/>
      <c r="AI28" s="721" t="str">
        <f>IF('BP1'!$G$25&gt;9,TEXT('BP1'!$M$25,"0.00")&amp;" CM",IF('BP1'!$G$25=9,TEXT('BP1'!$M$25,"0.00")&amp;" AM","---"))</f>
        <v>---</v>
      </c>
      <c r="AJ28" s="721" t="str">
        <f>IF('BP2'!$G$25&gt;9,TEXT('BP2'!$M$25,"0.00")&amp;" CM",IF('BP2'!$G$25=9,TEXT('BP2'!$M$25,"0.00")&amp;" AM","---"))</f>
        <v>---</v>
      </c>
      <c r="AK28" s="721" t="str">
        <f>IF('BP3'!$G$25&gt;9,TEXT('BP3'!$M$25,"0.00")&amp;" CM",IF('BP3'!$G$25=9,TEXT('BP3'!$M$25,"0.00")&amp;" AM","---"))</f>
        <v>---</v>
      </c>
      <c r="AL28" s="721" t="str">
        <f>IF('BP4'!$G$25&gt;9,TEXT('BP4'!$M$25,"0.00")&amp;" CM",IF('BP4'!$G$25=9,TEXT('BP4'!$M$25,"0.00")&amp;" AM","---"))</f>
        <v>---</v>
      </c>
      <c r="AM28" s="721" t="str">
        <f>IF('BP5'!$G$25&gt;9,TEXT('BP5'!$M$25,"0.00")&amp;" CM",IF('BP5'!$G$25=9,TEXT('BP5'!$M$25,"0.00")&amp;" AM","---"))</f>
        <v>---</v>
      </c>
      <c r="AN28" s="721" t="str">
        <f>IF('BP1'!$G$25&gt;9,TEXT('Cumulative Budget'!$M$25,"0.00")&amp;" CM",IF('BP1'!$G$25=9,TEXT('Cumulative Budget'!$M$25,"0.00")&amp;" AM","---"))</f>
        <v>---</v>
      </c>
    </row>
    <row r="29" spans="1:40" ht="15.75" hidden="1" customHeight="1">
      <c r="A29" s="91" t="str">
        <f>CONCATENATE(V28," Fringe")</f>
        <v>Senior Personnel 11 Fringe</v>
      </c>
      <c r="B29" s="484">
        <f>'BP1'!$L$25</f>
        <v>0</v>
      </c>
      <c r="C29" s="485">
        <f>'BP1'!$O$25</f>
        <v>0</v>
      </c>
      <c r="D29" s="483"/>
      <c r="E29" s="484">
        <f ca="1">'BP2'!$L$25</f>
        <v>0</v>
      </c>
      <c r="F29" s="485">
        <f ca="1">'BP2'!$O$25</f>
        <v>0</v>
      </c>
      <c r="G29" s="483"/>
      <c r="H29" s="484">
        <f ca="1">'BP3'!$L$25</f>
        <v>0</v>
      </c>
      <c r="I29" s="485">
        <f ca="1">'BP3'!$O$25</f>
        <v>0</v>
      </c>
      <c r="J29" s="483"/>
      <c r="K29" s="484">
        <f ca="1">'BP4'!$L$25</f>
        <v>0</v>
      </c>
      <c r="L29" s="485">
        <f ca="1">'BP4'!$O$25</f>
        <v>0</v>
      </c>
      <c r="M29" s="483"/>
      <c r="N29" s="484">
        <f ca="1">'BP5'!$L$25</f>
        <v>0</v>
      </c>
      <c r="O29" s="485">
        <f ca="1">'BP5'!$O$25</f>
        <v>0</v>
      </c>
      <c r="P29" s="483"/>
      <c r="Q29" s="484">
        <f t="shared" ca="1" si="0"/>
        <v>0</v>
      </c>
      <c r="R29" s="485">
        <f t="shared" ca="1" si="1"/>
        <v>0</v>
      </c>
      <c r="S29" s="81"/>
      <c r="T29" s="136" t="s">
        <v>493</v>
      </c>
      <c r="V29" s="705"/>
      <c r="W29" s="706"/>
      <c r="X29" s="707"/>
      <c r="Y29" s="729"/>
      <c r="Z29" s="729"/>
      <c r="AA29" s="729"/>
      <c r="AB29" s="729"/>
      <c r="AC29" s="729"/>
      <c r="AD29" s="729"/>
      <c r="AF29" s="758"/>
      <c r="AG29" s="758"/>
      <c r="AH29" s="758"/>
      <c r="AI29" s="721"/>
      <c r="AJ29" s="721"/>
      <c r="AK29" s="721"/>
      <c r="AL29" s="721"/>
      <c r="AM29" s="721"/>
      <c r="AN29" s="721"/>
    </row>
    <row r="30" spans="1:40" ht="15.75" hidden="1" customHeight="1">
      <c r="A30" s="91" t="str">
        <f>CONCATENATE(V30," Salary")</f>
        <v>Senior Personnel 12 Salary</v>
      </c>
      <c r="B30" s="481">
        <f>'BP1'!$K$26</f>
        <v>0</v>
      </c>
      <c r="C30" s="482">
        <f>'BP1'!$N$26</f>
        <v>0</v>
      </c>
      <c r="D30" s="483"/>
      <c r="E30" s="481">
        <f ca="1">'BP2'!$K$26</f>
        <v>0</v>
      </c>
      <c r="F30" s="482">
        <f ca="1">'BP2'!$N$26</f>
        <v>0</v>
      </c>
      <c r="G30" s="483"/>
      <c r="H30" s="481">
        <f ca="1">'BP3'!$K$26</f>
        <v>0</v>
      </c>
      <c r="I30" s="482">
        <f ca="1">'BP3'!$N$26</f>
        <v>0</v>
      </c>
      <c r="J30" s="483"/>
      <c r="K30" s="481">
        <f ca="1">'BP4'!$K$26</f>
        <v>0</v>
      </c>
      <c r="L30" s="482">
        <f ca="1">'BP4'!$N$26</f>
        <v>0</v>
      </c>
      <c r="M30" s="483"/>
      <c r="N30" s="481">
        <f ca="1">'BP5'!$K$26</f>
        <v>0</v>
      </c>
      <c r="O30" s="482">
        <f ca="1">'BP5'!$N$26</f>
        <v>0</v>
      </c>
      <c r="P30" s="483"/>
      <c r="Q30" s="481">
        <f t="shared" ca="1" si="0"/>
        <v>0</v>
      </c>
      <c r="R30" s="482">
        <f t="shared" ca="1" si="1"/>
        <v>0</v>
      </c>
      <c r="S30" s="81"/>
      <c r="T30" s="136" t="s">
        <v>493</v>
      </c>
      <c r="V30" s="702" t="str">
        <f>IF(ISBLANK('BP1'!$B$26),"Senior Personnel 12",""&amp;'BP1'!$B$26)</f>
        <v>Senior Personnel 12</v>
      </c>
      <c r="W30" s="703"/>
      <c r="X30" s="704"/>
      <c r="Y30" s="728" t="str">
        <f>IF('BP1'!$H$26&gt;0,TEXT('BP1'!$H$26,"0.00")&amp;" CM",IF('BP1'!$I$26&gt;0,TEXT('BP1'!$I$26,"0.00")&amp;" AM"&amp;IF(AND('BP1'!$I$26&gt;0,'BP1'!$J$26&gt;0),"; ","")&amp;IF('BP1'!$J$26&gt;0,TEXT('BP1'!$J$26,"0.00")&amp;" SM",""),IF('BP1'!$J$26&gt;0,TEXT('BP1'!$J$26,"0.00")&amp;" SM","---")))</f>
        <v>---</v>
      </c>
      <c r="Z30" s="728" t="str">
        <f>IF('BP2'!$H$26&gt;0,TEXT('BP2'!$H$26,"0.00")&amp;" CM",IF('BP2'!$I$26&gt;0,TEXT('BP2'!$I$26,"0.00")&amp;" AM"&amp;IF(AND('BP2'!$I$26&gt;0,'BP2'!$J$26&gt;0),"; ","")&amp;IF('BP2'!$J$26&gt;0,TEXT('BP2'!$J$26,"0.00")&amp;" SM",""),IF('BP2'!$J$26&gt;0,TEXT('BP2'!$J$26,"0.00")&amp;" SM","---")))</f>
        <v>---</v>
      </c>
      <c r="AA30" s="728" t="str">
        <f>IF('BP3'!$H$26&gt;0,TEXT('BP3'!$H$26,"0.00")&amp;" CM",IF('BP3'!$I$26&gt;0,TEXT('BP3'!$I$26,"0.00")&amp;" AM"&amp;IF(AND('BP3'!$I$26&gt;0,'BP3'!$J$26&gt;0),"; ","")&amp;IF('BP3'!$J$26&gt;0,TEXT('BP3'!$J$26,"0.00")&amp;" SM",""),IF('BP3'!$J$26&gt;0,TEXT('BP3'!$J$26,"0.00")&amp;" SM","---")))</f>
        <v>---</v>
      </c>
      <c r="AB30" s="728" t="str">
        <f>IF('BP4'!$H$26&gt;0,TEXT('BP4'!$H$26,"0.00")&amp;" CM",IF('BP4'!$I$26&gt;0,TEXT('BP4'!$I$26,"0.00")&amp;" AM"&amp;IF(AND('BP4'!$I$26&gt;0,'BP4'!$J$26&gt;0),"; ","")&amp;IF('BP4'!$J$26&gt;0,TEXT('BP4'!$J$26,"0.00")&amp;" SM",""),IF('BP4'!$J$26&gt;0,TEXT('BP4'!$J$26,"0.00")&amp;" SM","---")))</f>
        <v>---</v>
      </c>
      <c r="AC30" s="728" t="str">
        <f>IF('BP5'!$H$26&gt;0,TEXT('BP5'!$H$26,"0.00")&amp;" CM",IF('BP5'!$I$26&gt;0,TEXT('BP5'!$I$26,"0.00")&amp;" AM"&amp;IF(AND('BP5'!$I$26&gt;0,'BP5'!$J$26&gt;0),"; ","")&amp;IF('BP5'!$J$26&gt;0,TEXT('BP5'!$J$26,"0.00")&amp;" SM",""),IF('BP5'!$J$26&gt;0,TEXT('BP5'!$J$26,"0.00")&amp;" SM","---")))</f>
        <v>---</v>
      </c>
      <c r="AD30" s="728" t="str">
        <f>IF('Cumulative Budget'!$H$26&gt;0,TEXT('Cumulative Budget'!$H$26,"0.00")&amp;" CM",IF('Cumulative Budget'!$I$26&gt;0,TEXT('Cumulative Budget'!$I$26,"0.00")&amp;" AM"&amp;IF(AND('Cumulative Budget'!$I$26&gt;0,'Cumulative Budget'!$J$26&gt;0),"; ","")&amp;IF('Cumulative Budget'!$J$26&gt;0,TEXT('Cumulative Budget'!$J$26,"0.00")&amp;" SM",""),IF('Cumulative Budget'!$J$26&gt;0,TEXT('Cumulative Budget'!$J$26,"0.00")&amp;" SM","---")))</f>
        <v>---</v>
      </c>
      <c r="AF30" s="758" t="str">
        <f>IF(ISBLANK('BP1'!$B$26),"Senior Personnel 12",""&amp;'BP1'!$B$26)</f>
        <v>Senior Personnel 12</v>
      </c>
      <c r="AG30" s="758"/>
      <c r="AH30" s="758"/>
      <c r="AI30" s="721" t="str">
        <f>IF('BP1'!$G$26&gt;9,TEXT('BP1'!$M$26,"0.00")&amp;" CM",IF('BP1'!$G$26=9,TEXT('BP1'!$M$26,"0.00")&amp;" AM","---"))</f>
        <v>---</v>
      </c>
      <c r="AJ30" s="721" t="str">
        <f>IF('BP2'!$G$26&gt;9,TEXT('BP2'!$M$26,"0.00")&amp;" CM",IF('BP2'!$G$26=9,TEXT('BP2'!$M$26,"0.00")&amp;" AM","---"))</f>
        <v>---</v>
      </c>
      <c r="AK30" s="721" t="str">
        <f>IF('BP3'!$G$26&gt;9,TEXT('BP3'!$M$26,"0.00")&amp;" CM",IF('BP3'!$G$26=9,TEXT('BP3'!$M$26,"0.00")&amp;" AM","---"))</f>
        <v>---</v>
      </c>
      <c r="AL30" s="721" t="str">
        <f>IF('BP4'!$G$26&gt;9,TEXT('BP4'!$M$26,"0.00")&amp;" CM",IF('BP4'!$G$26=9,TEXT('BP4'!$M$26,"0.00")&amp;" AM","---"))</f>
        <v>---</v>
      </c>
      <c r="AM30" s="721" t="str">
        <f>IF('BP5'!$G$26&gt;9,TEXT('BP5'!$M$26,"0.00")&amp;" CM",IF('BP5'!$G$26=9,TEXT('BP5'!$M$26,"0.00")&amp;" AM","---"))</f>
        <v>---</v>
      </c>
      <c r="AN30" s="721" t="str">
        <f>IF('BP1'!$G$26&gt;9,TEXT('Cumulative Budget'!$M$26,"0.00")&amp;" CM",IF('BP1'!$G$26=9,TEXT('Cumulative Budget'!$M$26,"0.00")&amp;" AM","---"))</f>
        <v>---</v>
      </c>
    </row>
    <row r="31" spans="1:40" ht="15.75" hidden="1" customHeight="1">
      <c r="A31" s="91" t="str">
        <f>CONCATENATE(V30," Fringe")</f>
        <v>Senior Personnel 12 Fringe</v>
      </c>
      <c r="B31" s="484">
        <f>'BP1'!$L$26</f>
        <v>0</v>
      </c>
      <c r="C31" s="485">
        <f>'BP1'!$O$26</f>
        <v>0</v>
      </c>
      <c r="D31" s="483"/>
      <c r="E31" s="484">
        <f ca="1">'BP2'!$L$26</f>
        <v>0</v>
      </c>
      <c r="F31" s="485">
        <f ca="1">'BP2'!$O$26</f>
        <v>0</v>
      </c>
      <c r="G31" s="483"/>
      <c r="H31" s="484">
        <f ca="1">'BP3'!$L$26</f>
        <v>0</v>
      </c>
      <c r="I31" s="485">
        <f ca="1">'BP3'!$O$26</f>
        <v>0</v>
      </c>
      <c r="J31" s="483"/>
      <c r="K31" s="484">
        <f ca="1">'BP4'!$L$26</f>
        <v>0</v>
      </c>
      <c r="L31" s="485">
        <f ca="1">'BP4'!$O$26</f>
        <v>0</v>
      </c>
      <c r="M31" s="483"/>
      <c r="N31" s="484">
        <f ca="1">'BP5'!$L$26</f>
        <v>0</v>
      </c>
      <c r="O31" s="485">
        <f ca="1">'BP5'!$O$26</f>
        <v>0</v>
      </c>
      <c r="P31" s="483"/>
      <c r="Q31" s="484">
        <f t="shared" ca="1" si="0"/>
        <v>0</v>
      </c>
      <c r="R31" s="485">
        <f t="shared" ca="1" si="1"/>
        <v>0</v>
      </c>
      <c r="S31" s="81"/>
      <c r="T31" s="136" t="s">
        <v>493</v>
      </c>
      <c r="V31" s="705"/>
      <c r="W31" s="706"/>
      <c r="X31" s="707"/>
      <c r="Y31" s="729"/>
      <c r="Z31" s="729"/>
      <c r="AA31" s="729"/>
      <c r="AB31" s="729"/>
      <c r="AC31" s="729"/>
      <c r="AD31" s="729"/>
      <c r="AF31" s="758"/>
      <c r="AG31" s="758"/>
      <c r="AH31" s="758"/>
      <c r="AI31" s="721"/>
      <c r="AJ31" s="721"/>
      <c r="AK31" s="721"/>
      <c r="AL31" s="721"/>
      <c r="AM31" s="721"/>
      <c r="AN31" s="721"/>
    </row>
    <row r="32" spans="1:40" ht="15.75" hidden="1" customHeight="1">
      <c r="A32" s="91" t="str">
        <f>CONCATENATE(V32," Salary")</f>
        <v>Senior Personnel 13 Salary</v>
      </c>
      <c r="B32" s="481">
        <f>'BP1'!$K$27</f>
        <v>0</v>
      </c>
      <c r="C32" s="482">
        <f>'BP1'!$N$27</f>
        <v>0</v>
      </c>
      <c r="D32" s="483"/>
      <c r="E32" s="481">
        <f ca="1">'BP2'!$K$27</f>
        <v>0</v>
      </c>
      <c r="F32" s="482">
        <f ca="1">'BP2'!$N$27</f>
        <v>0</v>
      </c>
      <c r="G32" s="483"/>
      <c r="H32" s="481">
        <f ca="1">'BP3'!$K$27</f>
        <v>0</v>
      </c>
      <c r="I32" s="482">
        <f ca="1">'BP3'!$N$27</f>
        <v>0</v>
      </c>
      <c r="J32" s="483"/>
      <c r="K32" s="481">
        <f ca="1">'BP4'!$K$27</f>
        <v>0</v>
      </c>
      <c r="L32" s="482">
        <f ca="1">'BP4'!$N$27</f>
        <v>0</v>
      </c>
      <c r="M32" s="483"/>
      <c r="N32" s="481">
        <f ca="1">'BP5'!$K$27</f>
        <v>0</v>
      </c>
      <c r="O32" s="482">
        <f ca="1">'BP5'!$N$27</f>
        <v>0</v>
      </c>
      <c r="P32" s="483"/>
      <c r="Q32" s="481">
        <f t="shared" ca="1" si="0"/>
        <v>0</v>
      </c>
      <c r="R32" s="482">
        <f t="shared" ca="1" si="1"/>
        <v>0</v>
      </c>
      <c r="S32" s="81"/>
      <c r="T32" s="136" t="s">
        <v>493</v>
      </c>
      <c r="V32" s="702" t="str">
        <f>IF(ISBLANK('BP1'!$B$27),"Senior Personnel 13",""&amp;'BP1'!$B$27)</f>
        <v>Senior Personnel 13</v>
      </c>
      <c r="W32" s="703"/>
      <c r="X32" s="704"/>
      <c r="Y32" s="728" t="str">
        <f>IF('BP1'!$H$27&gt;0,TEXT('BP1'!$H$27,"0.00")&amp;" CM",IF('BP1'!$I$27&gt;0,TEXT('BP1'!$I$27,"0.00")&amp;" AM"&amp;IF(AND('BP1'!$I$27&gt;0,'BP1'!$J$27&gt;0),"; ","")&amp;IF('BP1'!$J$27&gt;0,TEXT('BP1'!$J$27,"0.00")&amp;" SM",""),IF('BP1'!$J$27&gt;0,TEXT('BP1'!$J$27,"0.00")&amp;" SM","---")))</f>
        <v>---</v>
      </c>
      <c r="Z32" s="728" t="str">
        <f>IF('BP2'!$H$27&gt;0,TEXT('BP2'!$H$27,"0.00")&amp;" CM",IF('BP2'!$I$27&gt;0,TEXT('BP2'!$I$27,"0.00")&amp;" AM"&amp;IF(AND('BP2'!$I$27&gt;0,'BP2'!$J$27&gt;0),"; ","")&amp;IF('BP2'!$J$27&gt;0,TEXT('BP2'!$J$27,"0.00")&amp;" SM",""),IF('BP2'!$J$27&gt;0,TEXT('BP2'!$J$27,"0.00")&amp;" SM","---")))</f>
        <v>---</v>
      </c>
      <c r="AA32" s="728" t="str">
        <f>IF('BP3'!$H$27&gt;0,TEXT('BP3'!$H$27,"0.00")&amp;" CM",IF('BP3'!$I$27&gt;0,TEXT('BP3'!$I$27,"0.00")&amp;" AM"&amp;IF(AND('BP3'!$I$27&gt;0,'BP3'!$J$27&gt;0),"; ","")&amp;IF('BP3'!$J$27&gt;0,TEXT('BP3'!$J$27,"0.00")&amp;" SM",""),IF('BP3'!$J$27&gt;0,TEXT('BP3'!$J$27,"0.00")&amp;" SM","---")))</f>
        <v>---</v>
      </c>
      <c r="AB32" s="728" t="str">
        <f>IF('BP4'!$H$27&gt;0,TEXT('BP4'!$H$27,"0.00")&amp;" CM",IF('BP4'!$I$27&gt;0,TEXT('BP4'!$I$27,"0.00")&amp;" AM"&amp;IF(AND('BP4'!$I$27&gt;0,'BP4'!$J$27&gt;0),"; ","")&amp;IF('BP4'!$J$27&gt;0,TEXT('BP4'!$J$27,"0.00")&amp;" SM",""),IF('BP4'!$J$27&gt;0,TEXT('BP4'!$J$27,"0.00")&amp;" SM","---")))</f>
        <v>---</v>
      </c>
      <c r="AC32" s="728" t="str">
        <f>IF('BP5'!$H$27&gt;0,TEXT('BP5'!$H$27,"0.00")&amp;" CM",IF('BP5'!$I$27&gt;0,TEXT('BP5'!$I$27,"0.00")&amp;" AM"&amp;IF(AND('BP5'!$I$27&gt;0,'BP5'!$J$27&gt;0),"; ","")&amp;IF('BP5'!$J$27&gt;0,TEXT('BP5'!$J$27,"0.00")&amp;" SM",""),IF('BP5'!$J$27&gt;0,TEXT('BP5'!$J$27,"0.00")&amp;" SM","---")))</f>
        <v>---</v>
      </c>
      <c r="AD32" s="728" t="str">
        <f>IF('Cumulative Budget'!$H$27&gt;0,TEXT('Cumulative Budget'!$H$27,"0.00")&amp;" CM",IF('Cumulative Budget'!$I$27&gt;0,TEXT('Cumulative Budget'!$I$27,"0.00")&amp;" AM"&amp;IF(AND('Cumulative Budget'!$I$27&gt;0,'Cumulative Budget'!$J$27&gt;0),"; ","")&amp;IF('Cumulative Budget'!$J$27&gt;0,TEXT('Cumulative Budget'!$J$27,"0.00")&amp;" SM",""),IF('Cumulative Budget'!$J$27&gt;0,TEXT('Cumulative Budget'!$J$27,"0.00")&amp;" SM","---")))</f>
        <v>---</v>
      </c>
      <c r="AF32" s="758" t="str">
        <f>IF(ISBLANK('BP1'!$B$27),"Senior Personnel 13",""&amp;'BP1'!$B$27)</f>
        <v>Senior Personnel 13</v>
      </c>
      <c r="AG32" s="758"/>
      <c r="AH32" s="758"/>
      <c r="AI32" s="721" t="str">
        <f>IF('BP1'!$G$27&gt;9,TEXT('BP1'!$M$27,"0.00")&amp;" CM",IF('BP1'!$G$27=9,TEXT('BP1'!$M$27,"0.00")&amp;" AM","---"))</f>
        <v>---</v>
      </c>
      <c r="AJ32" s="721" t="str">
        <f>IF('BP2'!$G$27&gt;9,TEXT('BP2'!$M$27,"0.00")&amp;" CM",IF('BP2'!$G$27=9,TEXT('BP2'!$M$27,"0.00")&amp;" AM","---"))</f>
        <v>---</v>
      </c>
      <c r="AK32" s="721" t="str">
        <f>IF('BP3'!$G$27&gt;9,TEXT('BP3'!$M$27,"0.00")&amp;" CM",IF('BP3'!$G$27=9,TEXT('BP3'!$M$27,"0.00")&amp;" AM","---"))</f>
        <v>---</v>
      </c>
      <c r="AL32" s="721" t="str">
        <f>IF('BP4'!$G$27&gt;9,TEXT('BP4'!$M$27,"0.00")&amp;" CM",IF('BP4'!$G$27=9,TEXT('BP4'!$M$27,"0.00")&amp;" AM","---"))</f>
        <v>---</v>
      </c>
      <c r="AM32" s="721" t="str">
        <f>IF('BP5'!$G$27&gt;9,TEXT('BP5'!$M$27,"0.00")&amp;" CM",IF('BP5'!$G$27=9,TEXT('BP5'!$M$27,"0.00")&amp;" AM","---"))</f>
        <v>---</v>
      </c>
      <c r="AN32" s="721" t="str">
        <f>IF('BP1'!$G$27&gt;9,TEXT('Cumulative Budget'!$M$27,"0.00")&amp;" CM",IF('BP1'!$G$27=9,TEXT('Cumulative Budget'!$M$27,"0.00")&amp;" AM","---"))</f>
        <v>---</v>
      </c>
    </row>
    <row r="33" spans="1:40" ht="15.75" hidden="1" customHeight="1">
      <c r="A33" s="91" t="str">
        <f>CONCATENATE(V32," Fringe")</f>
        <v>Senior Personnel 13 Fringe</v>
      </c>
      <c r="B33" s="484">
        <f>'BP1'!$L$27</f>
        <v>0</v>
      </c>
      <c r="C33" s="485">
        <f>'BP1'!$O$27</f>
        <v>0</v>
      </c>
      <c r="D33" s="483"/>
      <c r="E33" s="484">
        <f ca="1">'BP2'!$L$27</f>
        <v>0</v>
      </c>
      <c r="F33" s="485">
        <f ca="1">'BP2'!$O$27</f>
        <v>0</v>
      </c>
      <c r="G33" s="483"/>
      <c r="H33" s="484">
        <f ca="1">'BP3'!$L$27</f>
        <v>0</v>
      </c>
      <c r="I33" s="485">
        <f ca="1">'BP3'!$O$27</f>
        <v>0</v>
      </c>
      <c r="J33" s="483"/>
      <c r="K33" s="484">
        <f ca="1">'BP4'!$L$27</f>
        <v>0</v>
      </c>
      <c r="L33" s="485">
        <f ca="1">'BP4'!$O$27</f>
        <v>0</v>
      </c>
      <c r="M33" s="483"/>
      <c r="N33" s="484">
        <f ca="1">'BP5'!$L$27</f>
        <v>0</v>
      </c>
      <c r="O33" s="485">
        <f ca="1">'BP5'!$O$27</f>
        <v>0</v>
      </c>
      <c r="P33" s="483"/>
      <c r="Q33" s="484">
        <f t="shared" ca="1" si="0"/>
        <v>0</v>
      </c>
      <c r="R33" s="485">
        <f t="shared" ca="1" si="1"/>
        <v>0</v>
      </c>
      <c r="S33" s="81"/>
      <c r="T33" s="136" t="s">
        <v>493</v>
      </c>
      <c r="V33" s="705"/>
      <c r="W33" s="706"/>
      <c r="X33" s="707"/>
      <c r="Y33" s="729"/>
      <c r="Z33" s="729"/>
      <c r="AA33" s="729"/>
      <c r="AB33" s="729"/>
      <c r="AC33" s="729"/>
      <c r="AD33" s="729"/>
      <c r="AF33" s="758"/>
      <c r="AG33" s="758"/>
      <c r="AH33" s="758"/>
      <c r="AI33" s="721"/>
      <c r="AJ33" s="721"/>
      <c r="AK33" s="721"/>
      <c r="AL33" s="721"/>
      <c r="AM33" s="721"/>
      <c r="AN33" s="721"/>
    </row>
    <row r="34" spans="1:40" ht="15.75" hidden="1" customHeight="1">
      <c r="A34" s="91" t="str">
        <f>CONCATENATE(V34," Salary")</f>
        <v>Senior Personnel 14 Salary</v>
      </c>
      <c r="B34" s="481">
        <f>'BP1'!$K$28</f>
        <v>0</v>
      </c>
      <c r="C34" s="482">
        <f>'BP1'!$N$28</f>
        <v>0</v>
      </c>
      <c r="D34" s="483"/>
      <c r="E34" s="481">
        <f ca="1">'BP2'!$K$28</f>
        <v>0</v>
      </c>
      <c r="F34" s="482">
        <f ca="1">'BP2'!$N$28</f>
        <v>0</v>
      </c>
      <c r="G34" s="483"/>
      <c r="H34" s="481">
        <f ca="1">'BP3'!$K$28</f>
        <v>0</v>
      </c>
      <c r="I34" s="482">
        <f ca="1">'BP3'!$N$28</f>
        <v>0</v>
      </c>
      <c r="J34" s="483"/>
      <c r="K34" s="481">
        <f ca="1">'BP4'!$K$28</f>
        <v>0</v>
      </c>
      <c r="L34" s="482">
        <f ca="1">'BP4'!$N$28</f>
        <v>0</v>
      </c>
      <c r="M34" s="483"/>
      <c r="N34" s="481">
        <f ca="1">'BP5'!$K$28</f>
        <v>0</v>
      </c>
      <c r="O34" s="482">
        <f ca="1">'BP5'!$N$28</f>
        <v>0</v>
      </c>
      <c r="P34" s="483"/>
      <c r="Q34" s="481">
        <f t="shared" ca="1" si="0"/>
        <v>0</v>
      </c>
      <c r="R34" s="482">
        <f t="shared" ca="1" si="1"/>
        <v>0</v>
      </c>
      <c r="S34" s="81"/>
      <c r="T34" s="136" t="s">
        <v>493</v>
      </c>
      <c r="V34" s="702" t="str">
        <f>IF(ISBLANK('BP1'!$B$28),"Senior Personnel 14",""&amp;'BP1'!$B$28)</f>
        <v>Senior Personnel 14</v>
      </c>
      <c r="W34" s="703"/>
      <c r="X34" s="704"/>
      <c r="Y34" s="728" t="str">
        <f>IF('BP1'!$H$28&gt;0,TEXT('BP1'!$H$28,"0.00")&amp;" CM",IF('BP1'!$I$28&gt;0,TEXT('BP1'!$I$28,"0.00")&amp;" AM"&amp;IF(AND('BP1'!$I$28&gt;0,'BP1'!$J$28&gt;0),"; ","")&amp;IF('BP1'!$J$28&gt;0,TEXT('BP1'!$J$28,"0.00")&amp;" SM",""),IF('BP1'!$J$28&gt;0,TEXT('BP1'!$J$28,"0.00")&amp;" SM","---")))</f>
        <v>---</v>
      </c>
      <c r="Z34" s="728" t="str">
        <f>IF('BP2'!$H$28&gt;0,TEXT('BP2'!$H$28,"0.00")&amp;" CM",IF('BP2'!$I$28&gt;0,TEXT('BP2'!$I$28,"0.00")&amp;" AM"&amp;IF(AND('BP2'!$I$28&gt;0,'BP2'!$J$28&gt;0),"; ","")&amp;IF('BP2'!$J$28&gt;0,TEXT('BP2'!$J$28,"0.00")&amp;" SM",""),IF('BP2'!$J$28&gt;0,TEXT('BP2'!$J$28,"0.00")&amp;" SM","---")))</f>
        <v>---</v>
      </c>
      <c r="AA34" s="728" t="str">
        <f>IF('BP3'!$H$28&gt;0,TEXT('BP3'!$H$28,"0.00")&amp;" CM",IF('BP3'!$I$28&gt;0,TEXT('BP3'!$I$28,"0.00")&amp;" AM"&amp;IF(AND('BP3'!$I$28&gt;0,'BP3'!$J$28&gt;0),"; ","")&amp;IF('BP3'!$J$28&gt;0,TEXT('BP3'!$J$28,"0.00")&amp;" SM",""),IF('BP3'!$J$28&gt;0,TEXT('BP3'!$J$28,"0.00")&amp;" SM","---")))</f>
        <v>---</v>
      </c>
      <c r="AB34" s="728" t="str">
        <f>IF('BP4'!$H$28&gt;0,TEXT('BP4'!$H$28,"0.00")&amp;" CM",IF('BP4'!$I$28&gt;0,TEXT('BP4'!$I$28,"0.00")&amp;" AM"&amp;IF(AND('BP4'!$I$28&gt;0,'BP4'!$J$28&gt;0),"; ","")&amp;IF('BP4'!$J$28&gt;0,TEXT('BP4'!$J$28,"0.00")&amp;" SM",""),IF('BP4'!$J$28&gt;0,TEXT('BP4'!$J$28,"0.00")&amp;" SM","---")))</f>
        <v>---</v>
      </c>
      <c r="AC34" s="728" t="str">
        <f>IF('BP5'!$H$28&gt;0,TEXT('BP5'!$H$28,"0.00")&amp;" CM",IF('BP5'!$I$28&gt;0,TEXT('BP5'!$I$28,"0.00")&amp;" AM"&amp;IF(AND('BP5'!$I$28&gt;0,'BP5'!$J$28&gt;0),"; ","")&amp;IF('BP5'!$J$28&gt;0,TEXT('BP5'!$J$28,"0.00")&amp;" SM",""),IF('BP5'!$J$28&gt;0,TEXT('BP5'!$J$28,"0.00")&amp;" SM","---")))</f>
        <v>---</v>
      </c>
      <c r="AD34" s="728" t="str">
        <f>IF('Cumulative Budget'!$H$28&gt;0,TEXT('Cumulative Budget'!$H$28,"0.00")&amp;" CM",IF('Cumulative Budget'!$I$28&gt;0,TEXT('Cumulative Budget'!$I$28,"0.00")&amp;" AM"&amp;IF(AND('Cumulative Budget'!$I$28&gt;0,'Cumulative Budget'!$J$28&gt;0),"; ","")&amp;IF('Cumulative Budget'!$J$28&gt;0,TEXT('Cumulative Budget'!$J$28,"0.00")&amp;" SM",""),IF('Cumulative Budget'!$J$28&gt;0,TEXT('Cumulative Budget'!$J$28,"0.00")&amp;" SM","---")))</f>
        <v>---</v>
      </c>
      <c r="AF34" s="758" t="str">
        <f>IF(ISBLANK('BP1'!$B$28),"Senior Personnel 14",""&amp;'BP1'!$B$28)</f>
        <v>Senior Personnel 14</v>
      </c>
      <c r="AG34" s="758"/>
      <c r="AH34" s="758"/>
      <c r="AI34" s="721" t="str">
        <f>IF('BP1'!$G$28&gt;9,TEXT('BP1'!$M$28,"0.00")&amp;" CM",IF('BP1'!$G$28=9,TEXT('BP1'!$M$28,"0.00")&amp;" AM","---"))</f>
        <v>---</v>
      </c>
      <c r="AJ34" s="721" t="str">
        <f>IF('BP2'!$G$28&gt;9,TEXT('BP2'!$M$28,"0.00")&amp;" CM",IF('BP2'!$G$28=9,TEXT('BP2'!$M$28,"0.00")&amp;" AM","---"))</f>
        <v>---</v>
      </c>
      <c r="AK34" s="721" t="str">
        <f>IF('BP3'!$G$28&gt;9,TEXT('BP3'!$M$28,"0.00")&amp;" CM",IF('BP3'!$G$28=9,TEXT('BP3'!$M$28,"0.00")&amp;" AM","---"))</f>
        <v>---</v>
      </c>
      <c r="AL34" s="721" t="str">
        <f>IF('BP4'!$G$28&gt;9,TEXT('BP4'!$M$28,"0.00")&amp;" CM",IF('BP4'!$G$28=9,TEXT('BP4'!$M$28,"0.00")&amp;" AM","---"))</f>
        <v>---</v>
      </c>
      <c r="AM34" s="721" t="str">
        <f>IF('BP5'!$G$28&gt;9,TEXT('BP5'!$M$28,"0.00")&amp;" CM",IF('BP5'!$G$28=9,TEXT('BP5'!$M$28,"0.00")&amp;" AM","---"))</f>
        <v>---</v>
      </c>
      <c r="AN34" s="721" t="str">
        <f>IF('BP1'!$G$28&gt;9,TEXT('Cumulative Budget'!$M$28,"0.00")&amp;" CM",IF('BP1'!$G$28=9,TEXT('Cumulative Budget'!$M$28,"0.00")&amp;" AM","---"))</f>
        <v>---</v>
      </c>
    </row>
    <row r="35" spans="1:40" ht="15.75" hidden="1" customHeight="1">
      <c r="A35" s="91" t="str">
        <f>CONCATENATE(V34," Fringe")</f>
        <v>Senior Personnel 14 Fringe</v>
      </c>
      <c r="B35" s="484">
        <f>'BP1'!$L$28</f>
        <v>0</v>
      </c>
      <c r="C35" s="485">
        <f>'BP1'!$O$28</f>
        <v>0</v>
      </c>
      <c r="D35" s="483"/>
      <c r="E35" s="484">
        <f ca="1">'BP2'!$L$28</f>
        <v>0</v>
      </c>
      <c r="F35" s="485">
        <f ca="1">'BP2'!$O$28</f>
        <v>0</v>
      </c>
      <c r="G35" s="483"/>
      <c r="H35" s="484">
        <f ca="1">'BP3'!$L$28</f>
        <v>0</v>
      </c>
      <c r="I35" s="485">
        <f ca="1">'BP3'!$O$28</f>
        <v>0</v>
      </c>
      <c r="J35" s="483"/>
      <c r="K35" s="484">
        <f ca="1">'BP4'!$L$28</f>
        <v>0</v>
      </c>
      <c r="L35" s="485">
        <f ca="1">'BP4'!$O$28</f>
        <v>0</v>
      </c>
      <c r="M35" s="483"/>
      <c r="N35" s="484">
        <f ca="1">'BP5'!$L$28</f>
        <v>0</v>
      </c>
      <c r="O35" s="485">
        <f ca="1">'BP5'!$O$28</f>
        <v>0</v>
      </c>
      <c r="P35" s="483"/>
      <c r="Q35" s="484">
        <f t="shared" ca="1" si="0"/>
        <v>0</v>
      </c>
      <c r="R35" s="485">
        <f t="shared" ca="1" si="1"/>
        <v>0</v>
      </c>
      <c r="S35" s="81"/>
      <c r="T35" s="136" t="s">
        <v>493</v>
      </c>
      <c r="V35" s="705"/>
      <c r="W35" s="706"/>
      <c r="X35" s="707"/>
      <c r="Y35" s="729"/>
      <c r="Z35" s="729"/>
      <c r="AA35" s="729"/>
      <c r="AB35" s="729"/>
      <c r="AC35" s="729"/>
      <c r="AD35" s="729"/>
      <c r="AF35" s="758"/>
      <c r="AG35" s="758"/>
      <c r="AH35" s="758"/>
      <c r="AI35" s="721"/>
      <c r="AJ35" s="721"/>
      <c r="AK35" s="721"/>
      <c r="AL35" s="721"/>
      <c r="AM35" s="721"/>
      <c r="AN35" s="721"/>
    </row>
    <row r="36" spans="1:40" ht="15.75" hidden="1" customHeight="1">
      <c r="A36" s="91" t="str">
        <f>CONCATENATE(V36," Salary")</f>
        <v>Senior Personnel 15 Salary</v>
      </c>
      <c r="B36" s="481">
        <f>'BP1'!$K$29</f>
        <v>0</v>
      </c>
      <c r="C36" s="482">
        <f>'BP1'!$N$29</f>
        <v>0</v>
      </c>
      <c r="D36" s="483"/>
      <c r="E36" s="481">
        <f ca="1">'BP2'!$K$29</f>
        <v>0</v>
      </c>
      <c r="F36" s="482">
        <f ca="1">'BP2'!$N$29</f>
        <v>0</v>
      </c>
      <c r="G36" s="483"/>
      <c r="H36" s="481">
        <f ca="1">'BP3'!$K$29</f>
        <v>0</v>
      </c>
      <c r="I36" s="482">
        <f ca="1">'BP3'!$N$29</f>
        <v>0</v>
      </c>
      <c r="J36" s="483"/>
      <c r="K36" s="481">
        <f ca="1">'BP4'!$K$29</f>
        <v>0</v>
      </c>
      <c r="L36" s="482">
        <f ca="1">'BP4'!$N$29</f>
        <v>0</v>
      </c>
      <c r="M36" s="483"/>
      <c r="N36" s="481">
        <f ca="1">'BP5'!$K$29</f>
        <v>0</v>
      </c>
      <c r="O36" s="482">
        <f ca="1">'BP5'!$N$29</f>
        <v>0</v>
      </c>
      <c r="P36" s="483"/>
      <c r="Q36" s="481">
        <f t="shared" ca="1" si="0"/>
        <v>0</v>
      </c>
      <c r="R36" s="482">
        <f t="shared" ca="1" si="1"/>
        <v>0</v>
      </c>
      <c r="S36" s="81"/>
      <c r="T36" s="136" t="s">
        <v>493</v>
      </c>
      <c r="V36" s="702" t="str">
        <f>IF(ISBLANK('BP1'!$B$29),"Senior Personnel 15",""&amp;'BP1'!$B$29)</f>
        <v>Senior Personnel 15</v>
      </c>
      <c r="W36" s="703"/>
      <c r="X36" s="704"/>
      <c r="Y36" s="728" t="str">
        <f>IF('BP1'!$H$29&gt;0,TEXT('BP1'!$H$29,"0.00")&amp;" CM",IF('BP1'!$I$29&gt;0,TEXT('BP1'!$I$29,"0.00")&amp;" AM"&amp;IF(AND('BP1'!$I$29&gt;0,'BP1'!$J$29&gt;0),"; ","")&amp;IF('BP1'!$J$29&gt;0,TEXT('BP1'!$J$29,"0.00")&amp;" SM",""),IF('BP1'!$J$29&gt;0,TEXT('BP1'!$J$29,"0.00")&amp;" SM","---")))</f>
        <v>---</v>
      </c>
      <c r="Z36" s="728" t="str">
        <f>IF('BP2'!$H$29&gt;0,TEXT('BP2'!$H$29,"0.00")&amp;" CM",IF('BP2'!$I$29&gt;0,TEXT('BP2'!$I$29,"0.00")&amp;" AM"&amp;IF(AND('BP2'!$I$29&gt;0,'BP2'!$J$29&gt;0),"; ","")&amp;IF('BP2'!$J$29&gt;0,TEXT('BP2'!$J$29,"0.00")&amp;" SM",""),IF('BP2'!$J$29&gt;0,TEXT('BP2'!$J$29,"0.00")&amp;" SM","---")))</f>
        <v>---</v>
      </c>
      <c r="AA36" s="728" t="str">
        <f>IF('BP3'!$H$29&gt;0,TEXT('BP3'!$H$29,"0.00")&amp;" CM",IF('BP3'!$I$29&gt;0,TEXT('BP3'!$I$29,"0.00")&amp;" AM"&amp;IF(AND('BP3'!$I$29&gt;0,'BP3'!$J$29&gt;0),"; ","")&amp;IF('BP3'!$J$29&gt;0,TEXT('BP3'!$J$29,"0.00")&amp;" SM",""),IF('BP3'!$J$29&gt;0,TEXT('BP3'!$J$29,"0.00")&amp;" SM","---")))</f>
        <v>---</v>
      </c>
      <c r="AB36" s="728" t="str">
        <f>IF('BP4'!$H$29&gt;0,TEXT('BP4'!$H$29,"0.00")&amp;" CM",IF('BP4'!$I$29&gt;0,TEXT('BP4'!$I$29,"0.00")&amp;" AM"&amp;IF(AND('BP4'!$I$29&gt;0,'BP4'!$J$29&gt;0),"; ","")&amp;IF('BP4'!$J$29&gt;0,TEXT('BP4'!$J$29,"0.00")&amp;" SM",""),IF('BP4'!$J$29&gt;0,TEXT('BP4'!$J$29,"0.00")&amp;" SM","---")))</f>
        <v>---</v>
      </c>
      <c r="AC36" s="728" t="str">
        <f>IF('BP5'!$H$29&gt;0,TEXT('BP5'!$H$29,"0.00")&amp;" CM",IF('BP5'!$I$29&gt;0,TEXT('BP5'!$I$29,"0.00")&amp;" AM"&amp;IF(AND('BP5'!$I$29&gt;0,'BP5'!$J$29&gt;0),"; ","")&amp;IF('BP5'!$J$29&gt;0,TEXT('BP5'!$J$29,"0.00")&amp;" SM",""),IF('BP5'!$J$29&gt;0,TEXT('BP5'!$J$29,"0.00")&amp;" SM","---")))</f>
        <v>---</v>
      </c>
      <c r="AD36" s="728" t="str">
        <f>IF('Cumulative Budget'!$H$29&gt;0,TEXT('Cumulative Budget'!$H$29,"0.00")&amp;" CM",IF('Cumulative Budget'!$I$29&gt;0,TEXT('Cumulative Budget'!$I$29,"0.00")&amp;" AM"&amp;IF(AND('Cumulative Budget'!$I$29&gt;0,'Cumulative Budget'!$J$29&gt;0),"; ","")&amp;IF('Cumulative Budget'!$J$29&gt;0,TEXT('Cumulative Budget'!$J$29,"0.00")&amp;" SM",""),IF('Cumulative Budget'!$J$29&gt;0,TEXT('Cumulative Budget'!$J$29,"0.00")&amp;" SM","---")))</f>
        <v>---</v>
      </c>
      <c r="AF36" s="758" t="str">
        <f>IF(ISBLANK('BP1'!$B$29),"Senior Personnel 15",""&amp;'BP1'!$B$29)</f>
        <v>Senior Personnel 15</v>
      </c>
      <c r="AG36" s="758"/>
      <c r="AH36" s="758"/>
      <c r="AI36" s="721" t="str">
        <f>IF('BP1'!$G$29&gt;9,TEXT('BP1'!$M$29,"0.00")&amp;" CM",IF('BP1'!$G$29=9,TEXT('BP1'!$M$29,"0.00")&amp;" AM","---"))</f>
        <v>---</v>
      </c>
      <c r="AJ36" s="721" t="str">
        <f>IF('BP2'!$G$29&gt;9,TEXT('BP2'!$M$29,"0.00")&amp;" CM",IF('BP2'!$G$29=9,TEXT('BP2'!$M$29,"0.00")&amp;" AM","---"))</f>
        <v>---</v>
      </c>
      <c r="AK36" s="721" t="str">
        <f>IF('BP3'!$G$29&gt;9,TEXT('BP3'!$M$29,"0.00")&amp;" CM",IF('BP3'!$G$29=9,TEXT('BP3'!$M$29,"0.00")&amp;" AM","---"))</f>
        <v>---</v>
      </c>
      <c r="AL36" s="721" t="str">
        <f>IF('BP4'!$G$29&gt;9,TEXT('BP4'!$M$29,"0.00")&amp;" CM",IF('BP4'!$G$29=9,TEXT('BP4'!$M$29,"0.00")&amp;" AM","---"))</f>
        <v>---</v>
      </c>
      <c r="AM36" s="721" t="str">
        <f>IF('BP5'!$G$29&gt;9,TEXT('BP5'!$M$29,"0.00")&amp;" CM",IF('BP5'!$G$29=9,TEXT('BP5'!$M$29,"0.00")&amp;" AM","---"))</f>
        <v>---</v>
      </c>
      <c r="AN36" s="721" t="str">
        <f>IF('BP1'!$G$29&gt;9,TEXT('Cumulative Budget'!$M$29,"0.00")&amp;" CM",IF('BP1'!$G$29=9,TEXT('Cumulative Budget'!$M$29,"0.00")&amp;" AM","---"))</f>
        <v>---</v>
      </c>
    </row>
    <row r="37" spans="1:40" ht="15.75" hidden="1" customHeight="1">
      <c r="A37" s="91" t="str">
        <f>CONCATENATE(V36," Fringe")</f>
        <v>Senior Personnel 15 Fringe</v>
      </c>
      <c r="B37" s="484">
        <f>'BP1'!$L$29</f>
        <v>0</v>
      </c>
      <c r="C37" s="485">
        <f>'BP1'!$O$29</f>
        <v>0</v>
      </c>
      <c r="D37" s="483"/>
      <c r="E37" s="484">
        <f ca="1">'BP2'!$L$29</f>
        <v>0</v>
      </c>
      <c r="F37" s="485">
        <f ca="1">'BP2'!$O$29</f>
        <v>0</v>
      </c>
      <c r="G37" s="483"/>
      <c r="H37" s="484">
        <f ca="1">'BP3'!$L$29</f>
        <v>0</v>
      </c>
      <c r="I37" s="485">
        <f ca="1">'BP3'!$O$29</f>
        <v>0</v>
      </c>
      <c r="J37" s="483"/>
      <c r="K37" s="484">
        <f ca="1">'BP4'!$L$29</f>
        <v>0</v>
      </c>
      <c r="L37" s="485">
        <f ca="1">'BP4'!$O$29</f>
        <v>0</v>
      </c>
      <c r="M37" s="483"/>
      <c r="N37" s="484">
        <f ca="1">'BP5'!$L$29</f>
        <v>0</v>
      </c>
      <c r="O37" s="485">
        <f ca="1">'BP5'!$O$29</f>
        <v>0</v>
      </c>
      <c r="P37" s="483"/>
      <c r="Q37" s="484">
        <f t="shared" ca="1" si="0"/>
        <v>0</v>
      </c>
      <c r="R37" s="485">
        <f t="shared" ca="1" si="1"/>
        <v>0</v>
      </c>
      <c r="S37" s="81"/>
      <c r="T37" s="136" t="s">
        <v>493</v>
      </c>
      <c r="V37" s="705"/>
      <c r="W37" s="706"/>
      <c r="X37" s="707"/>
      <c r="Y37" s="729"/>
      <c r="Z37" s="729"/>
      <c r="AA37" s="729"/>
      <c r="AB37" s="729"/>
      <c r="AC37" s="729"/>
      <c r="AD37" s="729"/>
      <c r="AF37" s="758"/>
      <c r="AG37" s="758"/>
      <c r="AH37" s="758"/>
      <c r="AI37" s="721"/>
      <c r="AJ37" s="721"/>
      <c r="AK37" s="721"/>
      <c r="AL37" s="721"/>
      <c r="AM37" s="721"/>
      <c r="AN37" s="721"/>
    </row>
    <row r="38" spans="1:40" ht="16.5" thickBot="1">
      <c r="A38" s="291" t="s">
        <v>90</v>
      </c>
      <c r="B38" s="486">
        <f>'BP1'!$K$30</f>
        <v>0</v>
      </c>
      <c r="C38" s="487">
        <f>'BP1'!$N$30</f>
        <v>0</v>
      </c>
      <c r="D38" s="483"/>
      <c r="E38" s="486">
        <f ca="1">'BP2'!$K$30</f>
        <v>0</v>
      </c>
      <c r="F38" s="487">
        <f ca="1">'BP2'!$N$30</f>
        <v>0</v>
      </c>
      <c r="G38" s="483"/>
      <c r="H38" s="486">
        <f ca="1">'BP3'!$K$30</f>
        <v>0</v>
      </c>
      <c r="I38" s="487">
        <f ca="1">'BP3'!$N$30</f>
        <v>0</v>
      </c>
      <c r="J38" s="483"/>
      <c r="K38" s="486">
        <f ca="1">'BP4'!$K$30</f>
        <v>0</v>
      </c>
      <c r="L38" s="487">
        <f ca="1">'BP4'!$N$30</f>
        <v>0</v>
      </c>
      <c r="M38" s="483"/>
      <c r="N38" s="486">
        <f ca="1">'BP5'!$K$30</f>
        <v>0</v>
      </c>
      <c r="O38" s="487">
        <f ca="1">'BP5'!$N$30</f>
        <v>0</v>
      </c>
      <c r="P38" s="483"/>
      <c r="Q38" s="486">
        <f t="shared" ca="1" si="0"/>
        <v>0</v>
      </c>
      <c r="R38" s="487">
        <f t="shared" ca="1" si="1"/>
        <v>0</v>
      </c>
      <c r="S38" s="80"/>
      <c r="T38" s="136" t="s">
        <v>225</v>
      </c>
    </row>
    <row r="39" spans="1:40" ht="16.5" thickBot="1">
      <c r="A39" s="292" t="s">
        <v>91</v>
      </c>
      <c r="B39" s="488">
        <f>'BP1'!$L$30</f>
        <v>0</v>
      </c>
      <c r="C39" s="489">
        <f>'BP1'!$O$30</f>
        <v>0</v>
      </c>
      <c r="D39" s="483"/>
      <c r="E39" s="488">
        <f ca="1">'BP2'!$L$30</f>
        <v>0</v>
      </c>
      <c r="F39" s="489">
        <f ca="1">'BP2'!$O$30</f>
        <v>0</v>
      </c>
      <c r="G39" s="483"/>
      <c r="H39" s="488">
        <f ca="1">'BP3'!$L$30</f>
        <v>0</v>
      </c>
      <c r="I39" s="489">
        <f ca="1">'BP3'!$O$30</f>
        <v>0</v>
      </c>
      <c r="J39" s="483"/>
      <c r="K39" s="488">
        <f ca="1">'BP4'!$L$30</f>
        <v>0</v>
      </c>
      <c r="L39" s="489">
        <f ca="1">'BP4'!$O$30</f>
        <v>0</v>
      </c>
      <c r="M39" s="483"/>
      <c r="N39" s="488">
        <f ca="1">'BP5'!$L$30</f>
        <v>0</v>
      </c>
      <c r="O39" s="489">
        <f ca="1">'BP5'!$O$30</f>
        <v>0</v>
      </c>
      <c r="P39" s="483"/>
      <c r="Q39" s="488">
        <f t="shared" ca="1" si="0"/>
        <v>0</v>
      </c>
      <c r="R39" s="489">
        <f t="shared" ca="1" si="1"/>
        <v>0</v>
      </c>
      <c r="S39" s="80"/>
      <c r="T39" s="136" t="s">
        <v>225</v>
      </c>
      <c r="V39" s="736" t="s">
        <v>207</v>
      </c>
      <c r="W39" s="737"/>
      <c r="X39" s="737"/>
      <c r="Y39" s="737"/>
      <c r="Z39" s="737"/>
      <c r="AA39" s="737"/>
      <c r="AB39" s="737"/>
      <c r="AC39" s="737"/>
      <c r="AD39" s="738"/>
      <c r="AF39" s="759" t="s">
        <v>517</v>
      </c>
      <c r="AG39" s="760"/>
      <c r="AH39" s="760"/>
      <c r="AI39" s="760"/>
      <c r="AJ39" s="760"/>
      <c r="AK39" s="760"/>
      <c r="AL39" s="760"/>
      <c r="AM39" s="760"/>
      <c r="AN39" s="761"/>
    </row>
    <row r="40" spans="1:40" ht="16.5" customHeight="1" thickBot="1">
      <c r="A40" s="79"/>
      <c r="B40" s="483"/>
      <c r="C40" s="483"/>
      <c r="D40" s="483"/>
      <c r="E40" s="483"/>
      <c r="F40" s="483"/>
      <c r="G40" s="483"/>
      <c r="H40" s="483"/>
      <c r="I40" s="483"/>
      <c r="J40" s="483"/>
      <c r="K40" s="483"/>
      <c r="L40" s="483"/>
      <c r="M40" s="483"/>
      <c r="N40" s="483"/>
      <c r="O40" s="483"/>
      <c r="P40" s="483"/>
      <c r="Q40" s="483"/>
      <c r="R40" s="483"/>
      <c r="S40" s="80"/>
      <c r="T40" s="136" t="s">
        <v>225</v>
      </c>
      <c r="V40" s="733" t="s">
        <v>233</v>
      </c>
      <c r="W40" s="733"/>
      <c r="X40" s="733"/>
      <c r="Y40" s="434" t="s">
        <v>458</v>
      </c>
      <c r="Z40" s="434" t="s">
        <v>459</v>
      </c>
      <c r="AA40" s="434" t="s">
        <v>460</v>
      </c>
      <c r="AB40" s="434" t="s">
        <v>461</v>
      </c>
      <c r="AC40" s="435" t="s">
        <v>462</v>
      </c>
      <c r="AD40" s="434" t="s">
        <v>99</v>
      </c>
      <c r="AF40" s="762" t="s">
        <v>233</v>
      </c>
      <c r="AG40" s="762"/>
      <c r="AH40" s="762"/>
      <c r="AI40" s="436" t="s">
        <v>458</v>
      </c>
      <c r="AJ40" s="436" t="s">
        <v>459</v>
      </c>
      <c r="AK40" s="436" t="s">
        <v>460</v>
      </c>
      <c r="AL40" s="436" t="s">
        <v>461</v>
      </c>
      <c r="AM40" s="437" t="s">
        <v>462</v>
      </c>
      <c r="AN40" s="436" t="s">
        <v>99</v>
      </c>
    </row>
    <row r="41" spans="1:40" ht="15.75" customHeight="1">
      <c r="A41" s="91" t="str">
        <f>CONCATENATE('BP1'!$D$32," Salary")</f>
        <v>Postdoctoral Associate Salary</v>
      </c>
      <c r="B41" s="490">
        <f>'BP1'!$K$32</f>
        <v>0</v>
      </c>
      <c r="C41" s="491">
        <f>'BP1'!$N$32</f>
        <v>0</v>
      </c>
      <c r="D41" s="483"/>
      <c r="E41" s="490">
        <f ca="1">'BP2'!$K$32</f>
        <v>0</v>
      </c>
      <c r="F41" s="491">
        <f ca="1">'BP2'!$N$32</f>
        <v>0</v>
      </c>
      <c r="G41" s="483"/>
      <c r="H41" s="490">
        <f ca="1">'BP3'!$K$32</f>
        <v>0</v>
      </c>
      <c r="I41" s="491">
        <f ca="1">'BP3'!$N$32</f>
        <v>0</v>
      </c>
      <c r="J41" s="483"/>
      <c r="K41" s="490">
        <f ca="1">'BP4'!$K$32</f>
        <v>0</v>
      </c>
      <c r="L41" s="491">
        <f ca="1">'BP4'!$N$32</f>
        <v>0</v>
      </c>
      <c r="M41" s="483"/>
      <c r="N41" s="490">
        <f ca="1">'BP5'!$K$32</f>
        <v>0</v>
      </c>
      <c r="O41" s="491">
        <f ca="1">'BP5'!$N$32</f>
        <v>0</v>
      </c>
      <c r="P41" s="483"/>
      <c r="Q41" s="490">
        <f t="shared" ca="1" si="0"/>
        <v>0</v>
      </c>
      <c r="R41" s="491">
        <f t="shared" ca="1" si="1"/>
        <v>0</v>
      </c>
      <c r="S41" s="81"/>
      <c r="T41" s="136" t="s">
        <v>225</v>
      </c>
      <c r="V41" s="694" t="str">
        <f>'BP1'!$D$32</f>
        <v>Postdoctoral Associate</v>
      </c>
      <c r="W41" s="694"/>
      <c r="X41" s="694"/>
      <c r="Y41" s="694" t="str">
        <f>IF('BP1'!$H$32&gt;0,TEXT('BP1'!$H$32,"0.00")&amp;" CM","---")</f>
        <v>---</v>
      </c>
      <c r="Z41" s="694" t="str">
        <f>IF('BP2'!$H$32&gt;0,TEXT('BP2'!$H$32,"0.00")&amp;" CM","---")</f>
        <v>---</v>
      </c>
      <c r="AA41" s="694" t="str">
        <f>IF('BP3'!$H$32&gt;0,TEXT('BP3'!$H$32,"0.00")&amp;" CM","---")</f>
        <v>---</v>
      </c>
      <c r="AB41" s="694" t="str">
        <f>IF('BP4'!$H$32&gt;0,TEXT('BP4'!$H$32,"0.00")&amp;" CM","---")</f>
        <v>---</v>
      </c>
      <c r="AC41" s="694" t="str">
        <f>IF('BP5'!$H$32&gt;0,TEXT('BP5'!$H$32,"0.00")&amp;" CM","---")</f>
        <v>---</v>
      </c>
      <c r="AD41" s="694" t="str">
        <f>IF('Cumulative Budget'!$H$32&gt;0,TEXT('Cumulative Budget'!$H$32,"0.00")&amp;" CM","---")</f>
        <v>---</v>
      </c>
      <c r="AF41" s="722" t="str">
        <f>'BP1'!$D$32</f>
        <v>Postdoctoral Associate</v>
      </c>
      <c r="AG41" s="723"/>
      <c r="AH41" s="724"/>
      <c r="AI41" s="721" t="str">
        <f>IF('BP1'!$M$32&gt;0,TEXT('BP1'!$M$32,"0.00")&amp;" CM","---")</f>
        <v>---</v>
      </c>
      <c r="AJ41" s="721" t="str">
        <f>IF('BP2'!$M$32&gt;0,TEXT('BP2'!$M$32,"0.00")&amp;" CM","---")</f>
        <v>---</v>
      </c>
      <c r="AK41" s="721" t="str">
        <f>IF('BP3'!$M$32&gt;0,TEXT('BP3'!$M$32,"0.00")&amp;" CM","---")</f>
        <v>---</v>
      </c>
      <c r="AL41" s="721" t="str">
        <f>IF('BP4'!$M$32&gt;0,TEXT('BP4'!$M$32,"0.00")&amp;" CM","---")</f>
        <v>---</v>
      </c>
      <c r="AM41" s="721" t="str">
        <f>IF('BP5'!$M$32&gt;0,TEXT('BP5'!$M$32,"0.00")&amp;" CM","---")</f>
        <v>---</v>
      </c>
      <c r="AN41" s="721" t="str">
        <f>IF('Cumulative Budget'!$M$32&gt;0,TEXT('Cumulative Budget'!$M$32,"0.00")&amp;" CM","---")</f>
        <v>---</v>
      </c>
    </row>
    <row r="42" spans="1:40" ht="15.75" customHeight="1">
      <c r="A42" s="91" t="str">
        <f>CONCATENATE('BP1'!$D$32," Fringe")</f>
        <v>Postdoctoral Associate Fringe</v>
      </c>
      <c r="B42" s="484">
        <f>'BP1'!$L$32</f>
        <v>0</v>
      </c>
      <c r="C42" s="485">
        <f>'BP1'!$O$32</f>
        <v>0</v>
      </c>
      <c r="D42" s="483"/>
      <c r="E42" s="484">
        <f>'BP2'!$L$32</f>
        <v>0</v>
      </c>
      <c r="F42" s="485">
        <f ca="1">'BP2'!$O$32</f>
        <v>0</v>
      </c>
      <c r="G42" s="483"/>
      <c r="H42" s="484">
        <f>'BP3'!$L$32</f>
        <v>0</v>
      </c>
      <c r="I42" s="485">
        <f ca="1">'BP3'!$O$32</f>
        <v>0</v>
      </c>
      <c r="J42" s="483"/>
      <c r="K42" s="484">
        <f>'BP4'!$L$32</f>
        <v>0</v>
      </c>
      <c r="L42" s="485">
        <f ca="1">'BP4'!$O$32</f>
        <v>0</v>
      </c>
      <c r="M42" s="483"/>
      <c r="N42" s="484">
        <f>'BP5'!$L$32</f>
        <v>0</v>
      </c>
      <c r="O42" s="485">
        <f ca="1">'BP5'!$O$32</f>
        <v>0</v>
      </c>
      <c r="P42" s="483"/>
      <c r="Q42" s="484">
        <f t="shared" si="0"/>
        <v>0</v>
      </c>
      <c r="R42" s="485">
        <f t="shared" ca="1" si="1"/>
        <v>0</v>
      </c>
      <c r="S42" s="81"/>
      <c r="T42" s="136" t="s">
        <v>225</v>
      </c>
      <c r="V42" s="694"/>
      <c r="W42" s="694"/>
      <c r="X42" s="694"/>
      <c r="Y42" s="694"/>
      <c r="Z42" s="694"/>
      <c r="AA42" s="694"/>
      <c r="AB42" s="694"/>
      <c r="AC42" s="694"/>
      <c r="AD42" s="694"/>
      <c r="AF42" s="725"/>
      <c r="AG42" s="726"/>
      <c r="AH42" s="727"/>
      <c r="AI42" s="721"/>
      <c r="AJ42" s="721"/>
      <c r="AK42" s="721"/>
      <c r="AL42" s="721"/>
      <c r="AM42" s="721"/>
      <c r="AN42" s="721"/>
    </row>
    <row r="43" spans="1:40" ht="15.75" customHeight="1">
      <c r="A43" s="91" t="str">
        <f>CONCATENATE('BP1'!$D$33," Salary")</f>
        <v>Other Professional Salary</v>
      </c>
      <c r="B43" s="484">
        <f>'BP1'!$K$33</f>
        <v>0</v>
      </c>
      <c r="C43" s="485">
        <f>'BP1'!$N$33</f>
        <v>0</v>
      </c>
      <c r="D43" s="483"/>
      <c r="E43" s="484">
        <f ca="1">'BP2'!$K$33</f>
        <v>0</v>
      </c>
      <c r="F43" s="485">
        <f ca="1">'BP2'!$N$33</f>
        <v>0</v>
      </c>
      <c r="G43" s="483"/>
      <c r="H43" s="484">
        <f ca="1">'BP3'!$K$33</f>
        <v>0</v>
      </c>
      <c r="I43" s="485">
        <f ca="1">'BP3'!$N$33</f>
        <v>0</v>
      </c>
      <c r="J43" s="483"/>
      <c r="K43" s="484">
        <f ca="1">'BP4'!$K$33</f>
        <v>0</v>
      </c>
      <c r="L43" s="485">
        <f ca="1">'BP4'!$N$33</f>
        <v>0</v>
      </c>
      <c r="M43" s="483"/>
      <c r="N43" s="484">
        <f ca="1">'BP5'!$K$33</f>
        <v>0</v>
      </c>
      <c r="O43" s="485">
        <f ca="1">'BP5'!$N$33</f>
        <v>0</v>
      </c>
      <c r="P43" s="483"/>
      <c r="Q43" s="484">
        <f t="shared" ca="1" si="0"/>
        <v>0</v>
      </c>
      <c r="R43" s="485">
        <f t="shared" ca="1" si="1"/>
        <v>0</v>
      </c>
      <c r="S43" s="81"/>
      <c r="T43" s="136" t="s">
        <v>225</v>
      </c>
      <c r="V43" s="694" t="str">
        <f>'BP1'!$D$33</f>
        <v>Other Professional</v>
      </c>
      <c r="W43" s="694"/>
      <c r="X43" s="694"/>
      <c r="Y43" s="694" t="str">
        <f>IF('BP1'!$H$33&gt;0,TEXT('BP1'!$H$33,"0.00")&amp;" CM","---")</f>
        <v>---</v>
      </c>
      <c r="Z43" s="694" t="str">
        <f>IF('BP2'!$H$33&gt;0,TEXT('BP2'!$H$33,"0.00")&amp;" CM","---")</f>
        <v>---</v>
      </c>
      <c r="AA43" s="694" t="str">
        <f>IF('BP3'!$H$33&gt;0,TEXT('BP3'!$H$33,"0.00")&amp;" CM","---")</f>
        <v>---</v>
      </c>
      <c r="AB43" s="694" t="str">
        <f>IF('BP4'!$H$33&gt;0,TEXT('BP4'!$H$33,"0.00")&amp;" CM","---")</f>
        <v>---</v>
      </c>
      <c r="AC43" s="694" t="str">
        <f>IF('BP5'!$H$33&gt;0,TEXT('BP5'!$H$33,"0.00")&amp;" CM","---")</f>
        <v>---</v>
      </c>
      <c r="AD43" s="694" t="str">
        <f>IF('Cumulative Budget'!$H$33&gt;0,TEXT('Cumulative Budget'!$H$33,"0.00")&amp;" CM","---")</f>
        <v>---</v>
      </c>
      <c r="AF43" s="722" t="str">
        <f>'BP1'!$D$33</f>
        <v>Other Professional</v>
      </c>
      <c r="AG43" s="723"/>
      <c r="AH43" s="724"/>
      <c r="AI43" s="721" t="str">
        <f>IF('BP1'!$M$33&gt;0,TEXT('BP1'!$M$33,"0.00")&amp;" CM","---")</f>
        <v>---</v>
      </c>
      <c r="AJ43" s="721" t="str">
        <f>IF('BP2'!$M$33&gt;0,TEXT('BP2'!$M$33,"0.00")&amp;" CM","---")</f>
        <v>---</v>
      </c>
      <c r="AK43" s="721" t="str">
        <f>IF('BP3'!$M$33&gt;0,TEXT('BP3'!$M$33,"0.00")&amp;" CM","---")</f>
        <v>---</v>
      </c>
      <c r="AL43" s="721" t="str">
        <f>IF('BP4'!$M$33&gt;0,TEXT('BP4'!$M$33,"0.00")&amp;" CM","---")</f>
        <v>---</v>
      </c>
      <c r="AM43" s="721" t="str">
        <f>IF('BP5'!$M$33&gt;0,TEXT('BP5'!$M$33,"0.00")&amp;" CM","---")</f>
        <v>---</v>
      </c>
      <c r="AN43" s="721" t="str">
        <f>IF('Cumulative Budget'!$M$33&gt;0,TEXT('Cumulative Budget'!$M$33,"0.00")&amp;" CM","---")</f>
        <v>---</v>
      </c>
    </row>
    <row r="44" spans="1:40" ht="15.75" customHeight="1">
      <c r="A44" s="91" t="str">
        <f>CONCATENATE('BP1'!$D$33," Fringe")</f>
        <v>Other Professional Fringe</v>
      </c>
      <c r="B44" s="484">
        <f>'BP1'!$L$33</f>
        <v>0</v>
      </c>
      <c r="C44" s="485">
        <f>'BP1'!$O$33</f>
        <v>0</v>
      </c>
      <c r="D44" s="483"/>
      <c r="E44" s="484">
        <f>'BP2'!$L$33</f>
        <v>0</v>
      </c>
      <c r="F44" s="485">
        <f ca="1">'BP2'!$O$33</f>
        <v>0</v>
      </c>
      <c r="G44" s="483"/>
      <c r="H44" s="484">
        <f>'BP3'!$L$33</f>
        <v>0</v>
      </c>
      <c r="I44" s="485">
        <f ca="1">'BP3'!$O$33</f>
        <v>0</v>
      </c>
      <c r="J44" s="483"/>
      <c r="K44" s="484">
        <f>'BP4'!$L$33</f>
        <v>0</v>
      </c>
      <c r="L44" s="485">
        <f ca="1">'BP4'!$O$33</f>
        <v>0</v>
      </c>
      <c r="M44" s="483"/>
      <c r="N44" s="484">
        <f>'BP5'!$L$33</f>
        <v>0</v>
      </c>
      <c r="O44" s="485">
        <f ca="1">'BP5'!$O$33</f>
        <v>0</v>
      </c>
      <c r="P44" s="483"/>
      <c r="Q44" s="484">
        <f t="shared" si="0"/>
        <v>0</v>
      </c>
      <c r="R44" s="485">
        <f t="shared" ca="1" si="1"/>
        <v>0</v>
      </c>
      <c r="S44" s="81"/>
      <c r="T44" s="136" t="s">
        <v>225</v>
      </c>
      <c r="V44" s="694"/>
      <c r="W44" s="694"/>
      <c r="X44" s="694"/>
      <c r="Y44" s="694"/>
      <c r="Z44" s="694"/>
      <c r="AA44" s="694"/>
      <c r="AB44" s="694"/>
      <c r="AC44" s="694"/>
      <c r="AD44" s="694"/>
      <c r="AF44" s="725"/>
      <c r="AG44" s="726"/>
      <c r="AH44" s="727"/>
      <c r="AI44" s="721"/>
      <c r="AJ44" s="721"/>
      <c r="AK44" s="721"/>
      <c r="AL44" s="721"/>
      <c r="AM44" s="721"/>
      <c r="AN44" s="721"/>
    </row>
    <row r="45" spans="1:40" ht="15.75" hidden="1" customHeight="1">
      <c r="A45" s="91" t="str">
        <f>CONCATENATE('BP1'!$D$34," Salary")</f>
        <v>Other Professional Salary</v>
      </c>
      <c r="B45" s="484">
        <f>'BP1'!$K$34</f>
        <v>0</v>
      </c>
      <c r="C45" s="485">
        <f>'BP1'!$N$34</f>
        <v>0</v>
      </c>
      <c r="D45" s="483"/>
      <c r="E45" s="484">
        <f ca="1">'BP2'!$K$34</f>
        <v>0</v>
      </c>
      <c r="F45" s="485">
        <f ca="1">'BP2'!$N$34</f>
        <v>0</v>
      </c>
      <c r="G45" s="483"/>
      <c r="H45" s="484">
        <f ca="1">'BP3'!$K$34</f>
        <v>0</v>
      </c>
      <c r="I45" s="485">
        <f ca="1">'BP3'!$N$34</f>
        <v>0</v>
      </c>
      <c r="J45" s="483"/>
      <c r="K45" s="484">
        <f ca="1">'BP4'!$K$34</f>
        <v>0</v>
      </c>
      <c r="L45" s="485">
        <f ca="1">'BP4'!$N$34</f>
        <v>0</v>
      </c>
      <c r="M45" s="483"/>
      <c r="N45" s="484">
        <f ca="1">'BP5'!$K$34</f>
        <v>0</v>
      </c>
      <c r="O45" s="485">
        <f ca="1">'BP5'!$N$34</f>
        <v>0</v>
      </c>
      <c r="P45" s="483"/>
      <c r="Q45" s="484">
        <f t="shared" ref="Q45:Q52" ca="1" si="2">B45+E45+H45+K45+N45</f>
        <v>0</v>
      </c>
      <c r="R45" s="485">
        <f t="shared" ref="R45:R52" ca="1" si="3">C45+F45+I45+L45+O45</f>
        <v>0</v>
      </c>
      <c r="S45" s="81"/>
      <c r="T45" s="136" t="s">
        <v>500</v>
      </c>
      <c r="V45" s="694" t="str">
        <f>'BP1'!$D$34</f>
        <v>Other Professional</v>
      </c>
      <c r="W45" s="694"/>
      <c r="X45" s="694"/>
      <c r="Y45" s="694" t="str">
        <f>IF('BP1'!$H$34&gt;0,TEXT('BP1'!$H$34,"0.00")&amp;" CM","---")</f>
        <v>---</v>
      </c>
      <c r="Z45" s="694" t="str">
        <f>IF('BP2'!$H$34&gt;0,TEXT('BP2'!$H$34,"0.00")&amp;" CM","---")</f>
        <v>---</v>
      </c>
      <c r="AA45" s="694" t="str">
        <f>IF('BP3'!$H$34&gt;0,TEXT('BP3'!$H$34,"0.00")&amp;" CM","---")</f>
        <v>---</v>
      </c>
      <c r="AB45" s="694" t="str">
        <f>IF('BP4'!$H$34&gt;0,TEXT('BP4'!$H$34,"0.00")&amp;" CM","---")</f>
        <v>---</v>
      </c>
      <c r="AC45" s="694" t="str">
        <f>IF('BP5'!$H$34&gt;0,TEXT('BP5'!$H$34,"0.00")&amp;" CM","---")</f>
        <v>---</v>
      </c>
      <c r="AD45" s="694" t="str">
        <f>IF('Cumulative Budget'!$H$34&gt;0,TEXT('Cumulative Budget'!$H$34,"0.00")&amp;" CM","---")</f>
        <v>---</v>
      </c>
      <c r="AF45" s="722" t="str">
        <f>'BP1'!$D$34</f>
        <v>Other Professional</v>
      </c>
      <c r="AG45" s="723"/>
      <c r="AH45" s="724"/>
      <c r="AI45" s="721" t="str">
        <f>IF('BP1'!$M$34&gt;0,TEXT('BP1'!$M$34,"0.00")&amp;" CM","---")</f>
        <v>---</v>
      </c>
      <c r="AJ45" s="721" t="str">
        <f>IF('BP2'!$M$34&gt;0,TEXT('BP2'!$M$34,"0.00")&amp;" CM","---")</f>
        <v>---</v>
      </c>
      <c r="AK45" s="721" t="str">
        <f>IF('BP3'!$M$34&gt;0,TEXT('BP3'!$M$34,"0.00")&amp;" CM","---")</f>
        <v>---</v>
      </c>
      <c r="AL45" s="721" t="str">
        <f>IF('BP4'!$M$34&gt;0,TEXT('BP4'!$M$34,"0.00")&amp;" CM","---")</f>
        <v>---</v>
      </c>
      <c r="AM45" s="721" t="str">
        <f>IF('BP5'!$M$34&gt;0,TEXT('BP5'!$M$34,"0.00")&amp;" CM","---")</f>
        <v>---</v>
      </c>
      <c r="AN45" s="721" t="str">
        <f>IF('Cumulative Budget'!$M$34&gt;0,TEXT('Cumulative Budget'!$M$34,"0.00")&amp;" CM","---")</f>
        <v>---</v>
      </c>
    </row>
    <row r="46" spans="1:40" ht="15.75" hidden="1" customHeight="1">
      <c r="A46" s="91" t="str">
        <f>CONCATENATE('BP1'!$D$34," Fringe")</f>
        <v>Other Professional Fringe</v>
      </c>
      <c r="B46" s="484">
        <f>'BP1'!$L$34</f>
        <v>0</v>
      </c>
      <c r="C46" s="485">
        <f>'BP1'!$O$34</f>
        <v>0</v>
      </c>
      <c r="D46" s="483"/>
      <c r="E46" s="484">
        <f>'BP2'!$L$34</f>
        <v>0</v>
      </c>
      <c r="F46" s="485">
        <f ca="1">'BP2'!$O$34</f>
        <v>0</v>
      </c>
      <c r="G46" s="483"/>
      <c r="H46" s="484">
        <f>'BP3'!$L$34</f>
        <v>0</v>
      </c>
      <c r="I46" s="485">
        <f ca="1">'BP3'!$O$34</f>
        <v>0</v>
      </c>
      <c r="J46" s="483"/>
      <c r="K46" s="484">
        <f>'BP4'!$L$34</f>
        <v>0</v>
      </c>
      <c r="L46" s="485">
        <f ca="1">'BP4'!$O$34</f>
        <v>0</v>
      </c>
      <c r="M46" s="483"/>
      <c r="N46" s="484">
        <f>'BP5'!$L$34</f>
        <v>0</v>
      </c>
      <c r="O46" s="485">
        <f ca="1">'BP5'!$O$34</f>
        <v>0</v>
      </c>
      <c r="P46" s="483"/>
      <c r="Q46" s="484">
        <f t="shared" si="2"/>
        <v>0</v>
      </c>
      <c r="R46" s="485">
        <f t="shared" ca="1" si="3"/>
        <v>0</v>
      </c>
      <c r="S46" s="81"/>
      <c r="T46" s="136" t="s">
        <v>500</v>
      </c>
      <c r="V46" s="694"/>
      <c r="W46" s="694"/>
      <c r="X46" s="694"/>
      <c r="Y46" s="694"/>
      <c r="Z46" s="694"/>
      <c r="AA46" s="694"/>
      <c r="AB46" s="694"/>
      <c r="AC46" s="694"/>
      <c r="AD46" s="694"/>
      <c r="AF46" s="725"/>
      <c r="AG46" s="726"/>
      <c r="AH46" s="727"/>
      <c r="AI46" s="721"/>
      <c r="AJ46" s="721"/>
      <c r="AK46" s="721"/>
      <c r="AL46" s="721"/>
      <c r="AM46" s="721"/>
      <c r="AN46" s="721"/>
    </row>
    <row r="47" spans="1:40" ht="15.75" hidden="1" customHeight="1">
      <c r="A47" s="91" t="str">
        <f>CONCATENATE('BP1'!$D$35," Salary")</f>
        <v>Other Professional Salary</v>
      </c>
      <c r="B47" s="484">
        <f>'BP1'!$K$35</f>
        <v>0</v>
      </c>
      <c r="C47" s="485">
        <f>'BP1'!$N$35</f>
        <v>0</v>
      </c>
      <c r="D47" s="483"/>
      <c r="E47" s="484">
        <f ca="1">'BP2'!$K$35</f>
        <v>0</v>
      </c>
      <c r="F47" s="485">
        <f ca="1">'BP2'!$N$35</f>
        <v>0</v>
      </c>
      <c r="G47" s="483"/>
      <c r="H47" s="484">
        <f ca="1">'BP3'!$K$35</f>
        <v>0</v>
      </c>
      <c r="I47" s="485">
        <f ca="1">'BP3'!$N$35</f>
        <v>0</v>
      </c>
      <c r="J47" s="483"/>
      <c r="K47" s="484">
        <f ca="1">'BP4'!$K$35</f>
        <v>0</v>
      </c>
      <c r="L47" s="485">
        <f ca="1">'BP4'!$N$35</f>
        <v>0</v>
      </c>
      <c r="M47" s="483"/>
      <c r="N47" s="484">
        <f ca="1">'BP5'!$K$35</f>
        <v>0</v>
      </c>
      <c r="O47" s="485">
        <f ca="1">'BP5'!$N$35</f>
        <v>0</v>
      </c>
      <c r="P47" s="483"/>
      <c r="Q47" s="484">
        <f t="shared" ca="1" si="2"/>
        <v>0</v>
      </c>
      <c r="R47" s="485">
        <f t="shared" ca="1" si="3"/>
        <v>0</v>
      </c>
      <c r="S47" s="81"/>
      <c r="T47" s="136" t="s">
        <v>500</v>
      </c>
      <c r="V47" s="694" t="str">
        <f>'BP1'!$D$35</f>
        <v>Other Professional</v>
      </c>
      <c r="W47" s="694"/>
      <c r="X47" s="694"/>
      <c r="Y47" s="694" t="str">
        <f>IF('BP1'!$H$35&gt;0,TEXT('BP1'!$H$35,"0.00")&amp;" CM","---")</f>
        <v>---</v>
      </c>
      <c r="Z47" s="694" t="str">
        <f>IF('BP2'!$H$35&gt;0,TEXT('BP2'!$H$35,"0.00")&amp;" CM","---")</f>
        <v>---</v>
      </c>
      <c r="AA47" s="694" t="str">
        <f>IF('BP3'!$H$35&gt;0,TEXT('BP3'!$H$35,"0.00")&amp;" CM","---")</f>
        <v>---</v>
      </c>
      <c r="AB47" s="694" t="str">
        <f>IF('BP4'!$H$35&gt;0,TEXT('BP4'!$H$35,"0.00")&amp;" CM","---")</f>
        <v>---</v>
      </c>
      <c r="AC47" s="694" t="str">
        <f>IF('BP5'!$H$35&gt;0,TEXT('BP5'!$H$35,"0.00")&amp;" CM","---")</f>
        <v>---</v>
      </c>
      <c r="AD47" s="694" t="str">
        <f>IF('Cumulative Budget'!$H$35&gt;0,TEXT('Cumulative Budget'!$H$35,"0.00")&amp;" CM","---")</f>
        <v>---</v>
      </c>
      <c r="AF47" s="722" t="str">
        <f>'BP1'!$D$35</f>
        <v>Other Professional</v>
      </c>
      <c r="AG47" s="723"/>
      <c r="AH47" s="724"/>
      <c r="AI47" s="721" t="str">
        <f>IF('BP1'!$M$35&gt;0,TEXT('BP1'!$M$35,"0.00")&amp;" CM","---")</f>
        <v>---</v>
      </c>
      <c r="AJ47" s="721" t="str">
        <f>IF('BP2'!$M$35&gt;0,TEXT('BP2'!$M$35,"0.00")&amp;" CM","---")</f>
        <v>---</v>
      </c>
      <c r="AK47" s="721" t="str">
        <f>IF('BP3'!$M$35&gt;0,TEXT('BP3'!$M$35,"0.00")&amp;" CM","---")</f>
        <v>---</v>
      </c>
      <c r="AL47" s="721" t="str">
        <f>IF('BP4'!$M$35&gt;0,TEXT('BP4'!$M$35,"0.00")&amp;" CM","---")</f>
        <v>---</v>
      </c>
      <c r="AM47" s="721" t="str">
        <f>IF('BP5'!$M$35&gt;0,TEXT('BP5'!$M$35,"0.00")&amp;" CM","---")</f>
        <v>---</v>
      </c>
      <c r="AN47" s="721" t="str">
        <f>IF('Cumulative Budget'!$M$35&gt;0,TEXT('Cumulative Budget'!$M$35,"0.00")&amp;" CM","---")</f>
        <v>---</v>
      </c>
    </row>
    <row r="48" spans="1:40" ht="15.75" hidden="1" customHeight="1">
      <c r="A48" s="91" t="str">
        <f>CONCATENATE('BP1'!$D$35," Fringe")</f>
        <v>Other Professional Fringe</v>
      </c>
      <c r="B48" s="484">
        <f>'BP1'!$L$35</f>
        <v>0</v>
      </c>
      <c r="C48" s="485">
        <f>'BP1'!$O$35</f>
        <v>0</v>
      </c>
      <c r="D48" s="483"/>
      <c r="E48" s="484">
        <f>'BP2'!$L$35</f>
        <v>0</v>
      </c>
      <c r="F48" s="485">
        <f ca="1">'BP2'!$O$35</f>
        <v>0</v>
      </c>
      <c r="G48" s="483"/>
      <c r="H48" s="484">
        <f>'BP3'!$L$35</f>
        <v>0</v>
      </c>
      <c r="I48" s="485">
        <f ca="1">'BP3'!$O$35</f>
        <v>0</v>
      </c>
      <c r="J48" s="483"/>
      <c r="K48" s="484">
        <f>'BP4'!$L$35</f>
        <v>0</v>
      </c>
      <c r="L48" s="485">
        <f ca="1">'BP4'!$O$35</f>
        <v>0</v>
      </c>
      <c r="M48" s="483"/>
      <c r="N48" s="484">
        <f>'BP5'!$L$35</f>
        <v>0</v>
      </c>
      <c r="O48" s="485">
        <f ca="1">'BP5'!$O$35</f>
        <v>0</v>
      </c>
      <c r="P48" s="483"/>
      <c r="Q48" s="484">
        <f t="shared" si="2"/>
        <v>0</v>
      </c>
      <c r="R48" s="485">
        <f t="shared" ca="1" si="3"/>
        <v>0</v>
      </c>
      <c r="S48" s="81"/>
      <c r="T48" s="136" t="s">
        <v>500</v>
      </c>
      <c r="V48" s="694"/>
      <c r="W48" s="694"/>
      <c r="X48" s="694"/>
      <c r="Y48" s="694"/>
      <c r="Z48" s="694"/>
      <c r="AA48" s="694"/>
      <c r="AB48" s="694"/>
      <c r="AC48" s="694"/>
      <c r="AD48" s="694"/>
      <c r="AF48" s="725"/>
      <c r="AG48" s="726"/>
      <c r="AH48" s="727"/>
      <c r="AI48" s="721"/>
      <c r="AJ48" s="721"/>
      <c r="AK48" s="721"/>
      <c r="AL48" s="721"/>
      <c r="AM48" s="721"/>
      <c r="AN48" s="721"/>
    </row>
    <row r="49" spans="1:40" ht="15.75" hidden="1" customHeight="1">
      <c r="A49" s="91" t="str">
        <f>CONCATENATE('BP1'!$D$36," Salary")</f>
        <v>Other Professional Salary</v>
      </c>
      <c r="B49" s="484">
        <f>'BP1'!$K$36</f>
        <v>0</v>
      </c>
      <c r="C49" s="485">
        <f>'BP1'!$N$36</f>
        <v>0</v>
      </c>
      <c r="D49" s="483"/>
      <c r="E49" s="484">
        <f ca="1">'BP2'!$K$36</f>
        <v>0</v>
      </c>
      <c r="F49" s="485">
        <f ca="1">'BP2'!$N$36</f>
        <v>0</v>
      </c>
      <c r="G49" s="483"/>
      <c r="H49" s="484">
        <f ca="1">'BP3'!$K$36</f>
        <v>0</v>
      </c>
      <c r="I49" s="485">
        <f ca="1">'BP3'!$N$36</f>
        <v>0</v>
      </c>
      <c r="J49" s="483"/>
      <c r="K49" s="484">
        <f ca="1">'BP4'!$K$36</f>
        <v>0</v>
      </c>
      <c r="L49" s="485">
        <f ca="1">'BP4'!$N$36</f>
        <v>0</v>
      </c>
      <c r="M49" s="483"/>
      <c r="N49" s="484">
        <f ca="1">'BP5'!$K$36</f>
        <v>0</v>
      </c>
      <c r="O49" s="485">
        <f ca="1">'BP5'!$N$36</f>
        <v>0</v>
      </c>
      <c r="P49" s="483"/>
      <c r="Q49" s="484">
        <f t="shared" ca="1" si="2"/>
        <v>0</v>
      </c>
      <c r="R49" s="485">
        <f t="shared" ca="1" si="3"/>
        <v>0</v>
      </c>
      <c r="S49" s="81"/>
      <c r="T49" s="136" t="s">
        <v>500</v>
      </c>
      <c r="V49" s="694" t="str">
        <f>'BP1'!$D$36</f>
        <v>Other Professional</v>
      </c>
      <c r="W49" s="694"/>
      <c r="X49" s="694"/>
      <c r="Y49" s="694" t="str">
        <f>IF('BP1'!$H$36&gt;0,TEXT('BP1'!$H$36,"0.00")&amp;" CM","---")</f>
        <v>---</v>
      </c>
      <c r="Z49" s="694" t="str">
        <f>IF('BP2'!$H$36&gt;0,TEXT('BP2'!$H$36,"0.00")&amp;" CM","---")</f>
        <v>---</v>
      </c>
      <c r="AA49" s="694" t="str">
        <f>IF('BP3'!$H$36&gt;0,TEXT('BP3'!$H$36,"0.00")&amp;" CM","---")</f>
        <v>---</v>
      </c>
      <c r="AB49" s="694" t="str">
        <f>IF('BP4'!$H$36&gt;0,TEXT('BP4'!$H$36,"0.00")&amp;" CM","---")</f>
        <v>---</v>
      </c>
      <c r="AC49" s="694" t="str">
        <f>IF('BP5'!$H$36&gt;0,TEXT('BP5'!$H$36,"0.00")&amp;" CM","---")</f>
        <v>---</v>
      </c>
      <c r="AD49" s="694" t="str">
        <f>IF('Cumulative Budget'!$H$36&gt;0,TEXT('Cumulative Budget'!$H$36,"0.00")&amp;" CM","---")</f>
        <v>---</v>
      </c>
      <c r="AF49" s="722" t="str">
        <f>'BP1'!$D$36</f>
        <v>Other Professional</v>
      </c>
      <c r="AG49" s="723"/>
      <c r="AH49" s="724"/>
      <c r="AI49" s="721" t="str">
        <f>IF('BP1'!$M$36&gt;0,TEXT('BP1'!$M$36,"0.00")&amp;" CM","---")</f>
        <v>---</v>
      </c>
      <c r="AJ49" s="721" t="str">
        <f>IF('BP2'!$M$36&gt;0,TEXT('BP2'!$M$36,"0.00")&amp;" CM","---")</f>
        <v>---</v>
      </c>
      <c r="AK49" s="721" t="str">
        <f>IF('BP3'!$M$36&gt;0,TEXT('BP3'!$M$36,"0.00")&amp;" CM","---")</f>
        <v>---</v>
      </c>
      <c r="AL49" s="721" t="str">
        <f>IF('BP4'!$M$36&gt;0,TEXT('BP4'!$M$36,"0.00")&amp;" CM","---")</f>
        <v>---</v>
      </c>
      <c r="AM49" s="721" t="str">
        <f>IF('BP5'!$M$36&gt;0,TEXT('BP5'!$M$36,"0.00")&amp;" CM","---")</f>
        <v>---</v>
      </c>
      <c r="AN49" s="721" t="str">
        <f>IF('Cumulative Budget'!$M$36&gt;0,TEXT('Cumulative Budget'!$M$36,"0.00")&amp;" CM","---")</f>
        <v>---</v>
      </c>
    </row>
    <row r="50" spans="1:40" ht="15.75" hidden="1" customHeight="1">
      <c r="A50" s="91" t="str">
        <f>CONCATENATE('BP1'!$D$36," Fringe")</f>
        <v>Other Professional Fringe</v>
      </c>
      <c r="B50" s="484">
        <f>'BP1'!$L$36</f>
        <v>0</v>
      </c>
      <c r="C50" s="485">
        <f>'BP1'!$O$36</f>
        <v>0</v>
      </c>
      <c r="D50" s="483"/>
      <c r="E50" s="484">
        <f>'BP2'!$L$36</f>
        <v>0</v>
      </c>
      <c r="F50" s="485">
        <f ca="1">'BP2'!$O$36</f>
        <v>0</v>
      </c>
      <c r="G50" s="483"/>
      <c r="H50" s="484">
        <f>'BP3'!$L$36</f>
        <v>0</v>
      </c>
      <c r="I50" s="485">
        <f ca="1">'BP3'!$O$36</f>
        <v>0</v>
      </c>
      <c r="J50" s="483"/>
      <c r="K50" s="484">
        <f>'BP4'!$L$36</f>
        <v>0</v>
      </c>
      <c r="L50" s="485">
        <f ca="1">'BP4'!$O$36</f>
        <v>0</v>
      </c>
      <c r="M50" s="483"/>
      <c r="N50" s="484">
        <f>'BP5'!$L$36</f>
        <v>0</v>
      </c>
      <c r="O50" s="485">
        <f ca="1">'BP5'!$O$36</f>
        <v>0</v>
      </c>
      <c r="P50" s="483"/>
      <c r="Q50" s="484">
        <f t="shared" si="2"/>
        <v>0</v>
      </c>
      <c r="R50" s="485">
        <f t="shared" ca="1" si="3"/>
        <v>0</v>
      </c>
      <c r="S50" s="81"/>
      <c r="T50" s="136" t="s">
        <v>500</v>
      </c>
      <c r="V50" s="694"/>
      <c r="W50" s="694"/>
      <c r="X50" s="694"/>
      <c r="Y50" s="694"/>
      <c r="Z50" s="694"/>
      <c r="AA50" s="694"/>
      <c r="AB50" s="694"/>
      <c r="AC50" s="694"/>
      <c r="AD50" s="694"/>
      <c r="AF50" s="725"/>
      <c r="AG50" s="726"/>
      <c r="AH50" s="727"/>
      <c r="AI50" s="721"/>
      <c r="AJ50" s="721"/>
      <c r="AK50" s="721"/>
      <c r="AL50" s="721"/>
      <c r="AM50" s="721"/>
      <c r="AN50" s="721"/>
    </row>
    <row r="51" spans="1:40" ht="15.75" hidden="1" customHeight="1">
      <c r="A51" s="91" t="str">
        <f>CONCATENATE('BP1'!$D$37," Salary")</f>
        <v>Other Professional Salary</v>
      </c>
      <c r="B51" s="484">
        <f>'BP1'!$K$37</f>
        <v>0</v>
      </c>
      <c r="C51" s="485">
        <f>'BP1'!$N$37</f>
        <v>0</v>
      </c>
      <c r="D51" s="483"/>
      <c r="E51" s="484">
        <f ca="1">'BP2'!$K$37</f>
        <v>0</v>
      </c>
      <c r="F51" s="485">
        <f ca="1">'BP2'!$N$37</f>
        <v>0</v>
      </c>
      <c r="G51" s="483"/>
      <c r="H51" s="484">
        <f ca="1">'BP3'!$K$37</f>
        <v>0</v>
      </c>
      <c r="I51" s="485">
        <f ca="1">'BP3'!$N$37</f>
        <v>0</v>
      </c>
      <c r="J51" s="483"/>
      <c r="K51" s="484">
        <f ca="1">'BP4'!$K$37</f>
        <v>0</v>
      </c>
      <c r="L51" s="485">
        <f ca="1">'BP4'!$N$37</f>
        <v>0</v>
      </c>
      <c r="M51" s="483"/>
      <c r="N51" s="484">
        <f ca="1">'BP5'!$K$37</f>
        <v>0</v>
      </c>
      <c r="O51" s="485">
        <f ca="1">'BP5'!$N$37</f>
        <v>0</v>
      </c>
      <c r="P51" s="483"/>
      <c r="Q51" s="484">
        <f t="shared" ca="1" si="2"/>
        <v>0</v>
      </c>
      <c r="R51" s="485">
        <f t="shared" ca="1" si="3"/>
        <v>0</v>
      </c>
      <c r="S51" s="81"/>
      <c r="T51" s="136" t="s">
        <v>500</v>
      </c>
      <c r="V51" s="694" t="str">
        <f>'BP1'!$D$37</f>
        <v>Other Professional</v>
      </c>
      <c r="W51" s="694"/>
      <c r="X51" s="694"/>
      <c r="Y51" s="694" t="str">
        <f>IF('BP1'!$H$37&gt;0,TEXT('BP1'!$H$37,"0.00")&amp;" CM","---")</f>
        <v>---</v>
      </c>
      <c r="Z51" s="694" t="str">
        <f>IF('BP2'!$H$37&gt;0,TEXT('BP2'!$H$37,"0.00")&amp;" CM","---")</f>
        <v>---</v>
      </c>
      <c r="AA51" s="694" t="str">
        <f>IF('BP3'!$H$37&gt;0,TEXT('BP3'!$H$37,"0.00")&amp;" CM","---")</f>
        <v>---</v>
      </c>
      <c r="AB51" s="694" t="str">
        <f>IF('BP4'!$H$37&gt;0,TEXT('BP4'!$H$37,"0.00")&amp;" CM","---")</f>
        <v>---</v>
      </c>
      <c r="AC51" s="694" t="str">
        <f>IF('BP5'!$H$37&gt;0,TEXT('BP5'!$H$37,"0.00")&amp;" CM","---")</f>
        <v>---</v>
      </c>
      <c r="AD51" s="694" t="str">
        <f>IF('Cumulative Budget'!$H$37&gt;0,TEXT('Cumulative Budget'!$H$37,"0.00")&amp;" CM","---")</f>
        <v>---</v>
      </c>
      <c r="AF51" s="722" t="str">
        <f>'BP1'!$D$37</f>
        <v>Other Professional</v>
      </c>
      <c r="AG51" s="723"/>
      <c r="AH51" s="724"/>
      <c r="AI51" s="721" t="str">
        <f>IF('BP1'!$M$37&gt;0,TEXT('BP1'!$M$37,"0.00")&amp;" CM","---")</f>
        <v>---</v>
      </c>
      <c r="AJ51" s="721" t="str">
        <f>IF('BP2'!$M$37&gt;0,TEXT('BP2'!$M$37,"0.00")&amp;" CM","---")</f>
        <v>---</v>
      </c>
      <c r="AK51" s="721" t="str">
        <f>IF('BP3'!$M$37&gt;0,TEXT('BP3'!$M$37,"0.00")&amp;" CM","---")</f>
        <v>---</v>
      </c>
      <c r="AL51" s="721" t="str">
        <f>IF('BP4'!$M$37&gt;0,TEXT('BP4'!$M$37,"0.00")&amp;" CM","---")</f>
        <v>---</v>
      </c>
      <c r="AM51" s="721" t="str">
        <f>IF('BP5'!$M$37&gt;0,TEXT('BP5'!$M$37,"0.00")&amp;" CM","---")</f>
        <v>---</v>
      </c>
      <c r="AN51" s="721" t="str">
        <f>IF('Cumulative Budget'!$M$37&gt;0,TEXT('Cumulative Budget'!$M$37,"0.00")&amp;" CM","---")</f>
        <v>---</v>
      </c>
    </row>
    <row r="52" spans="1:40" ht="15.75" hidden="1" customHeight="1">
      <c r="A52" s="91" t="str">
        <f>CONCATENATE('BP1'!$D$37," Fringe")</f>
        <v>Other Professional Fringe</v>
      </c>
      <c r="B52" s="484">
        <f>'BP1'!$L$37</f>
        <v>0</v>
      </c>
      <c r="C52" s="485">
        <f>'BP1'!$O$37</f>
        <v>0</v>
      </c>
      <c r="D52" s="483"/>
      <c r="E52" s="484">
        <f>'BP2'!$L$37</f>
        <v>0</v>
      </c>
      <c r="F52" s="485">
        <f ca="1">'BP2'!$O$37</f>
        <v>0</v>
      </c>
      <c r="G52" s="483"/>
      <c r="H52" s="484">
        <f>'BP3'!$L$37</f>
        <v>0</v>
      </c>
      <c r="I52" s="485">
        <f ca="1">'BP3'!$O$37</f>
        <v>0</v>
      </c>
      <c r="J52" s="483"/>
      <c r="K52" s="484">
        <f>'BP4'!$L$37</f>
        <v>0</v>
      </c>
      <c r="L52" s="485">
        <f ca="1">'BP4'!$O$37</f>
        <v>0</v>
      </c>
      <c r="M52" s="483"/>
      <c r="N52" s="484">
        <f>'BP5'!$L$37</f>
        <v>0</v>
      </c>
      <c r="O52" s="485">
        <f ca="1">'BP5'!$O$37</f>
        <v>0</v>
      </c>
      <c r="P52" s="483"/>
      <c r="Q52" s="484">
        <f t="shared" si="2"/>
        <v>0</v>
      </c>
      <c r="R52" s="485">
        <f t="shared" ca="1" si="3"/>
        <v>0</v>
      </c>
      <c r="S52" s="81"/>
      <c r="T52" s="136" t="s">
        <v>500</v>
      </c>
      <c r="V52" s="694"/>
      <c r="W52" s="694"/>
      <c r="X52" s="694"/>
      <c r="Y52" s="694"/>
      <c r="Z52" s="694"/>
      <c r="AA52" s="694"/>
      <c r="AB52" s="694"/>
      <c r="AC52" s="694"/>
      <c r="AD52" s="694"/>
      <c r="AF52" s="725"/>
      <c r="AG52" s="726"/>
      <c r="AH52" s="727"/>
      <c r="AI52" s="721"/>
      <c r="AJ52" s="721"/>
      <c r="AK52" s="721"/>
      <c r="AL52" s="721"/>
      <c r="AM52" s="721"/>
      <c r="AN52" s="721"/>
    </row>
    <row r="53" spans="1:40" ht="15.75" customHeight="1">
      <c r="A53" s="91" t="str">
        <f>CONCATENATE('BP1'!$D$38," Salary")</f>
        <v>Graduate Student Salary</v>
      </c>
      <c r="B53" s="484">
        <f>'BP1'!$K$38</f>
        <v>0</v>
      </c>
      <c r="C53" s="485">
        <f>'BP1'!$N$38</f>
        <v>0</v>
      </c>
      <c r="D53" s="483"/>
      <c r="E53" s="484">
        <f ca="1">'BP2'!$K$38</f>
        <v>0</v>
      </c>
      <c r="F53" s="485">
        <f ca="1">'BP2'!$N$38</f>
        <v>0</v>
      </c>
      <c r="G53" s="483"/>
      <c r="H53" s="484">
        <f ca="1">'BP3'!$K$38</f>
        <v>0</v>
      </c>
      <c r="I53" s="485">
        <f ca="1">'BP3'!$N$38</f>
        <v>0</v>
      </c>
      <c r="J53" s="483"/>
      <c r="K53" s="484">
        <f ca="1">'BP4'!$K$38</f>
        <v>0</v>
      </c>
      <c r="L53" s="485">
        <f ca="1">'BP4'!$N$38</f>
        <v>0</v>
      </c>
      <c r="M53" s="483"/>
      <c r="N53" s="484">
        <f ca="1">'BP5'!$K$38</f>
        <v>0</v>
      </c>
      <c r="O53" s="485">
        <f ca="1">'BP5'!$N$38</f>
        <v>0</v>
      </c>
      <c r="P53" s="483"/>
      <c r="Q53" s="484">
        <f t="shared" ca="1" si="0"/>
        <v>0</v>
      </c>
      <c r="R53" s="485">
        <f t="shared" ca="1" si="1"/>
        <v>0</v>
      </c>
      <c r="S53" s="81"/>
      <c r="T53" s="136" t="s">
        <v>225</v>
      </c>
      <c r="V53" s="694" t="str">
        <f>'BP1'!$D$38</f>
        <v>Graduate Student</v>
      </c>
      <c r="W53" s="694"/>
      <c r="X53" s="694"/>
      <c r="Y53" s="694" t="str">
        <f>IF('BP1'!$H$38&gt;0,TEXT('BP1'!$H$38,"0.00")&amp;" CM","---")</f>
        <v>---</v>
      </c>
      <c r="Z53" s="694" t="str">
        <f>IF('BP2'!$H$38&gt;0,TEXT('BP2'!$H$38,"0.00")&amp;" CM","---")</f>
        <v>---</v>
      </c>
      <c r="AA53" s="694" t="str">
        <f>IF('BP3'!$H$38&gt;0,TEXT('BP3'!$H$38,"0.00")&amp;" CM","---")</f>
        <v>---</v>
      </c>
      <c r="AB53" s="694" t="str">
        <f>IF('BP4'!$H$38&gt;0,TEXT('BP4'!$H$38,"0.00")&amp;" CM","---")</f>
        <v>---</v>
      </c>
      <c r="AC53" s="694" t="str">
        <f>IF('BP5'!$H$38&gt;0,TEXT('BP5'!$H$38,"0.00")&amp;" CM","---")</f>
        <v>---</v>
      </c>
      <c r="AD53" s="694" t="str">
        <f>IF('Cumulative Budget'!$H$38&gt;0,TEXT('Cumulative Budget'!$H$38,"0.00")&amp;" CM","---")</f>
        <v>---</v>
      </c>
      <c r="AF53" s="722" t="str">
        <f>'BP1'!$D$38</f>
        <v>Graduate Student</v>
      </c>
      <c r="AG53" s="723"/>
      <c r="AH53" s="724"/>
      <c r="AI53" s="721" t="str">
        <f>IF('BP1'!$M$38&gt;0,TEXT('BP1'!$M$38,"0.00")&amp;" CM","---")</f>
        <v>---</v>
      </c>
      <c r="AJ53" s="721" t="str">
        <f>IF('BP2'!$M$38&gt;0,TEXT('BP2'!$M$38,"0.00")&amp;" CM","---")</f>
        <v>---</v>
      </c>
      <c r="AK53" s="721" t="str">
        <f>IF('BP3'!$M$38&gt;0,TEXT('BP3'!$M$38,"0.00")&amp;" CM","---")</f>
        <v>---</v>
      </c>
      <c r="AL53" s="721" t="str">
        <f>IF('BP4'!$M$38&gt;0,TEXT('BP4'!$M$38,"0.00")&amp;" CM","---")</f>
        <v>---</v>
      </c>
      <c r="AM53" s="721" t="str">
        <f>IF('BP5'!$M$38&gt;0,TEXT('BP5'!$M$38,"0.00")&amp;" CM","---")</f>
        <v>---</v>
      </c>
      <c r="AN53" s="721" t="str">
        <f>IF('Cumulative Budget'!$M$38&gt;0,TEXT('Cumulative Budget'!$M$38,"0.00")&amp;" CM","---")</f>
        <v>---</v>
      </c>
    </row>
    <row r="54" spans="1:40" ht="15.75" customHeight="1">
      <c r="A54" s="91" t="str">
        <f>CONCATENATE('BP1'!$D$38," Fringe")</f>
        <v>Graduate Student Fringe</v>
      </c>
      <c r="B54" s="484">
        <f>'BP1'!$L$38</f>
        <v>0</v>
      </c>
      <c r="C54" s="485">
        <f>'BP1'!$O$38</f>
        <v>0</v>
      </c>
      <c r="D54" s="483"/>
      <c r="E54" s="484">
        <f>'BP2'!$L$38</f>
        <v>0</v>
      </c>
      <c r="F54" s="485">
        <f ca="1">'BP2'!$O$38</f>
        <v>0</v>
      </c>
      <c r="G54" s="483"/>
      <c r="H54" s="484">
        <f>'BP3'!$L$38</f>
        <v>0</v>
      </c>
      <c r="I54" s="485">
        <f ca="1">'BP3'!$O$38</f>
        <v>0</v>
      </c>
      <c r="J54" s="483"/>
      <c r="K54" s="484">
        <f>'BP4'!$L$38</f>
        <v>0</v>
      </c>
      <c r="L54" s="485">
        <f ca="1">'BP4'!$O$38</f>
        <v>0</v>
      </c>
      <c r="M54" s="483"/>
      <c r="N54" s="484">
        <f>'BP5'!$L$38</f>
        <v>0</v>
      </c>
      <c r="O54" s="485">
        <f ca="1">'BP5'!$O$38</f>
        <v>0</v>
      </c>
      <c r="P54" s="483"/>
      <c r="Q54" s="484">
        <f t="shared" si="0"/>
        <v>0</v>
      </c>
      <c r="R54" s="485">
        <f t="shared" ca="1" si="1"/>
        <v>0</v>
      </c>
      <c r="S54" s="81"/>
      <c r="T54" s="136" t="s">
        <v>225</v>
      </c>
      <c r="V54" s="694"/>
      <c r="W54" s="694"/>
      <c r="X54" s="694"/>
      <c r="Y54" s="694"/>
      <c r="Z54" s="694"/>
      <c r="AA54" s="694"/>
      <c r="AB54" s="694"/>
      <c r="AC54" s="694"/>
      <c r="AD54" s="694"/>
      <c r="AF54" s="725"/>
      <c r="AG54" s="726"/>
      <c r="AH54" s="727"/>
      <c r="AI54" s="721"/>
      <c r="AJ54" s="721"/>
      <c r="AK54" s="721"/>
      <c r="AL54" s="721"/>
      <c r="AM54" s="721"/>
      <c r="AN54" s="721"/>
    </row>
    <row r="55" spans="1:40" ht="15.75" customHeight="1">
      <c r="A55" s="91" t="str">
        <f>CONCATENATE('BP1'!$D$39," Salary")</f>
        <v>Undergraduate Student Salary</v>
      </c>
      <c r="B55" s="484">
        <f>'BP1'!$K$39</f>
        <v>0</v>
      </c>
      <c r="C55" s="485">
        <f>'BP1'!$N$39</f>
        <v>0</v>
      </c>
      <c r="D55" s="483"/>
      <c r="E55" s="484">
        <f ca="1">'BP2'!$K$39</f>
        <v>0</v>
      </c>
      <c r="F55" s="485">
        <f ca="1">'BP2'!$N$39</f>
        <v>0</v>
      </c>
      <c r="G55" s="483"/>
      <c r="H55" s="484">
        <f ca="1">'BP3'!$K$39</f>
        <v>0</v>
      </c>
      <c r="I55" s="485">
        <f ca="1">'BP3'!$N$39</f>
        <v>0</v>
      </c>
      <c r="J55" s="483"/>
      <c r="K55" s="484">
        <f ca="1">'BP4'!$K$39</f>
        <v>0</v>
      </c>
      <c r="L55" s="485">
        <f ca="1">'BP4'!$N$39</f>
        <v>0</v>
      </c>
      <c r="M55" s="483"/>
      <c r="N55" s="484">
        <f ca="1">'BP5'!$K$39</f>
        <v>0</v>
      </c>
      <c r="O55" s="485">
        <f ca="1">'BP5'!$N$39</f>
        <v>0</v>
      </c>
      <c r="P55" s="483"/>
      <c r="Q55" s="484">
        <f t="shared" ca="1" si="0"/>
        <v>0</v>
      </c>
      <c r="R55" s="485">
        <f t="shared" ca="1" si="1"/>
        <v>0</v>
      </c>
      <c r="S55" s="81"/>
      <c r="T55" s="136" t="s">
        <v>225</v>
      </c>
      <c r="V55" s="694" t="str">
        <f>'BP1'!$D$39</f>
        <v>Undergraduate Student</v>
      </c>
      <c r="W55" s="694"/>
      <c r="X55" s="694"/>
      <c r="Y55" s="475" t="str">
        <f>IF('BP1'!$H$39&gt;0,TEXT('BP1'!$H$39,"0.00")&amp;" CM","---")</f>
        <v>---</v>
      </c>
      <c r="Z55" s="475" t="str">
        <f>IF('BP2'!$H$39&gt;0,TEXT('BP2'!$H$39,"0.00")&amp;" CM","---")</f>
        <v>---</v>
      </c>
      <c r="AA55" s="475" t="str">
        <f>IF('BP3'!$H$39&gt;0,TEXT('BP3'!$H$39,"0.00")&amp;" CM","---")</f>
        <v>---</v>
      </c>
      <c r="AB55" s="475" t="str">
        <f>IF('BP4'!$H$39&gt;0,TEXT('BP4'!$H$39,"0.00")&amp;" CM","---")</f>
        <v>---</v>
      </c>
      <c r="AC55" s="475" t="str">
        <f>IF('BP5'!$H$39&gt;0,TEXT('BP5'!$H$39,"0.00")&amp;" CM","---")</f>
        <v>---</v>
      </c>
      <c r="AD55" s="475" t="str">
        <f>IF('Cumulative Budget'!$H$39&gt;0,TEXT('Cumulative Budget'!$H$39,"0.00")&amp;" CM","---")</f>
        <v>---</v>
      </c>
      <c r="AF55" s="722" t="str">
        <f>'BP1'!$D$39</f>
        <v>Undergraduate Student</v>
      </c>
      <c r="AG55" s="723"/>
      <c r="AH55" s="724"/>
      <c r="AI55" s="476" t="str">
        <f>IF('BP1'!$M$39&gt;0,TEXT('BP1'!$M$39,"0.00")&amp;" CM","---")</f>
        <v>---</v>
      </c>
      <c r="AJ55" s="476" t="str">
        <f>IF('BP2'!$M$39&gt;0,TEXT('BP2'!$M$39,"0.00")&amp;" CM","---")</f>
        <v>---</v>
      </c>
      <c r="AK55" s="476" t="str">
        <f>IF('BP3'!$M$39&gt;0,TEXT('BP3'!$M$39,"0.00")&amp;" CM","---")</f>
        <v>---</v>
      </c>
      <c r="AL55" s="476" t="str">
        <f>IF('BP4'!$M$39&gt;0,TEXT('BP4'!$M$39,"0.00")&amp;" CM","---")</f>
        <v>---</v>
      </c>
      <c r="AM55" s="476" t="str">
        <f>IF('BP5'!$M$39&gt;0,TEXT('BP5'!$M$39,"0.00")&amp;" CM","---")</f>
        <v>---</v>
      </c>
      <c r="AN55" s="476" t="str">
        <f>IF('Cumulative Budget'!$M$39&gt;0,TEXT('Cumulative Budget'!$M$39,"0.00")&amp;" CM","---")</f>
        <v>---</v>
      </c>
    </row>
    <row r="56" spans="1:40" ht="15.75" customHeight="1">
      <c r="A56" s="91" t="str">
        <f>CONCATENATE('BP1'!$D$40," Salary")</f>
        <v>Other (Carrying Statutory Benefits) Salary</v>
      </c>
      <c r="B56" s="484">
        <f>'BP1'!$K$40</f>
        <v>0</v>
      </c>
      <c r="C56" s="485">
        <f>'BP1'!$N$40</f>
        <v>0</v>
      </c>
      <c r="D56" s="483"/>
      <c r="E56" s="484">
        <f ca="1">'BP2'!$K$40</f>
        <v>0</v>
      </c>
      <c r="F56" s="485">
        <f ca="1">'BP2'!$N$40</f>
        <v>0</v>
      </c>
      <c r="G56" s="483"/>
      <c r="H56" s="484">
        <f ca="1">'BP3'!$K$40</f>
        <v>0</v>
      </c>
      <c r="I56" s="485">
        <f ca="1">'BP3'!$N$40</f>
        <v>0</v>
      </c>
      <c r="J56" s="483"/>
      <c r="K56" s="484">
        <f ca="1">'BP4'!$K$40</f>
        <v>0</v>
      </c>
      <c r="L56" s="485">
        <f ca="1">'BP4'!$N$40</f>
        <v>0</v>
      </c>
      <c r="M56" s="483"/>
      <c r="N56" s="484">
        <f ca="1">'BP5'!$K$40</f>
        <v>0</v>
      </c>
      <c r="O56" s="485">
        <f ca="1">'BP5'!$N$40</f>
        <v>0</v>
      </c>
      <c r="P56" s="483"/>
      <c r="Q56" s="484">
        <f t="shared" ca="1" si="0"/>
        <v>0</v>
      </c>
      <c r="R56" s="485">
        <f t="shared" ca="1" si="1"/>
        <v>0</v>
      </c>
      <c r="S56" s="81"/>
      <c r="T56" s="136" t="s">
        <v>225</v>
      </c>
      <c r="V56" s="694" t="str">
        <f>'BP1'!$D$40</f>
        <v>Other (Carrying Statutory Benefits)</v>
      </c>
      <c r="W56" s="694"/>
      <c r="X56" s="694"/>
      <c r="Y56" s="694" t="str">
        <f>IF('BP1'!$H$40&gt;0,TEXT('BP1'!$H$40,"0.00")&amp;" CM","---")</f>
        <v>---</v>
      </c>
      <c r="Z56" s="694" t="str">
        <f>IF('BP2'!$H$40&gt;0,TEXT('BP2'!$H$40,"0.00")&amp;" CM","---")</f>
        <v>---</v>
      </c>
      <c r="AA56" s="694" t="str">
        <f>IF('BP3'!$H$40&gt;0,TEXT('BP3'!$H$40,"0.00")&amp;" CM","---")</f>
        <v>---</v>
      </c>
      <c r="AB56" s="694" t="str">
        <f>IF('BP4'!$H$40&gt;0,TEXT('BP4'!$H$40,"0.00")&amp;" CM","---")</f>
        <v>---</v>
      </c>
      <c r="AC56" s="694" t="str">
        <f>IF('BP5'!$H$40&gt;0,TEXT('BP5'!$H$40,"0.00")&amp;" CM","---")</f>
        <v>---</v>
      </c>
      <c r="AD56" s="694" t="str">
        <f>IF('Cumulative Budget'!$H$40&gt;0,TEXT('Cumulative Budget'!$H$40,"0.00")&amp;" CM","---")</f>
        <v>---</v>
      </c>
      <c r="AF56" s="722" t="str">
        <f>'BP1'!$D$40</f>
        <v>Other (Carrying Statutory Benefits)</v>
      </c>
      <c r="AG56" s="723"/>
      <c r="AH56" s="724"/>
      <c r="AI56" s="721" t="str">
        <f>IF('BP1'!$M$40&gt;0,TEXT('BP1'!$M$40,"0.00")&amp;" CM","---")</f>
        <v>---</v>
      </c>
      <c r="AJ56" s="721" t="str">
        <f>IF('BP2'!$M$40&gt;0,TEXT('BP2'!$M$40,"0.00")&amp;" CM","---")</f>
        <v>---</v>
      </c>
      <c r="AK56" s="721" t="str">
        <f>IF('BP3'!$M$40&gt;0,TEXT('BP3'!$M$40,"0.00")&amp;" CM","---")</f>
        <v>---</v>
      </c>
      <c r="AL56" s="721" t="str">
        <f>IF('BP4'!$M$40&gt;0,TEXT('BP4'!$M$40,"0.00")&amp;" CM","---")</f>
        <v>---</v>
      </c>
      <c r="AM56" s="721" t="str">
        <f>IF('BP5'!$M$40&gt;0,TEXT('BP5'!$M$40,"0.00")&amp;" CM","---")</f>
        <v>---</v>
      </c>
      <c r="AN56" s="721" t="str">
        <f>IF('Cumulative Budget'!$M$40&gt;0,TEXT('Cumulative Budget'!$M$40,"0.00")&amp;" CM","---")</f>
        <v>---</v>
      </c>
    </row>
    <row r="57" spans="1:40">
      <c r="A57" s="91" t="str">
        <f>CONCATENATE('BP1'!$D$40," Fringe")</f>
        <v>Other (Carrying Statutory Benefits) Fringe</v>
      </c>
      <c r="B57" s="492">
        <f>'BP1'!$L$40</f>
        <v>0</v>
      </c>
      <c r="C57" s="485">
        <f>'BP1'!$O$40</f>
        <v>0</v>
      </c>
      <c r="D57" s="483"/>
      <c r="E57" s="492">
        <f>'BP2'!$L$40</f>
        <v>0</v>
      </c>
      <c r="F57" s="485">
        <f ca="1">'BP2'!$O$40</f>
        <v>0</v>
      </c>
      <c r="G57" s="483"/>
      <c r="H57" s="492">
        <f>'BP3'!$L$40</f>
        <v>0</v>
      </c>
      <c r="I57" s="485">
        <f ca="1">'BP3'!$O$40</f>
        <v>0</v>
      </c>
      <c r="J57" s="483"/>
      <c r="K57" s="492">
        <f>'BP4'!$L$40</f>
        <v>0</v>
      </c>
      <c r="L57" s="485">
        <f ca="1">'BP4'!$O$40</f>
        <v>0</v>
      </c>
      <c r="M57" s="483"/>
      <c r="N57" s="492">
        <f>'BP5'!$L$40</f>
        <v>0</v>
      </c>
      <c r="O57" s="485">
        <f ca="1">'BP5'!$O$40</f>
        <v>0</v>
      </c>
      <c r="P57" s="483"/>
      <c r="Q57" s="492">
        <f t="shared" si="0"/>
        <v>0</v>
      </c>
      <c r="R57" s="485">
        <f ca="1">C57+F57+I57+L57+O57</f>
        <v>0</v>
      </c>
      <c r="S57" s="81"/>
      <c r="T57" s="136" t="s">
        <v>225</v>
      </c>
      <c r="V57" s="694"/>
      <c r="W57" s="694"/>
      <c r="X57" s="694"/>
      <c r="Y57" s="694"/>
      <c r="Z57" s="694"/>
      <c r="AA57" s="694"/>
      <c r="AB57" s="694"/>
      <c r="AC57" s="694"/>
      <c r="AD57" s="694"/>
      <c r="AF57" s="725"/>
      <c r="AG57" s="726"/>
      <c r="AH57" s="727"/>
      <c r="AI57" s="721"/>
      <c r="AJ57" s="721"/>
      <c r="AK57" s="721"/>
      <c r="AL57" s="721"/>
      <c r="AM57" s="721"/>
      <c r="AN57" s="721"/>
    </row>
    <row r="58" spans="1:40">
      <c r="A58" s="293" t="s">
        <v>92</v>
      </c>
      <c r="B58" s="493">
        <f>'BP1'!$K41</f>
        <v>0</v>
      </c>
      <c r="C58" s="494">
        <f>'BP1'!$N41</f>
        <v>0</v>
      </c>
      <c r="D58" s="495"/>
      <c r="E58" s="493">
        <f>'BP2'!$K41</f>
        <v>0</v>
      </c>
      <c r="F58" s="494">
        <f ca="1">'BP2'!$N41</f>
        <v>0</v>
      </c>
      <c r="G58" s="495"/>
      <c r="H58" s="493">
        <f>'BP3'!$K41</f>
        <v>0</v>
      </c>
      <c r="I58" s="494">
        <f ca="1">'BP3'!$N41</f>
        <v>0</v>
      </c>
      <c r="J58" s="495"/>
      <c r="K58" s="493">
        <f>'BP4'!$K41</f>
        <v>0</v>
      </c>
      <c r="L58" s="494">
        <f ca="1">'BP4'!$N41</f>
        <v>0</v>
      </c>
      <c r="M58" s="495"/>
      <c r="N58" s="493">
        <f>'BP5'!$K41</f>
        <v>0</v>
      </c>
      <c r="O58" s="494">
        <f ca="1">'BP5'!$N41</f>
        <v>0</v>
      </c>
      <c r="P58" s="495"/>
      <c r="Q58" s="493">
        <f t="shared" si="0"/>
        <v>0</v>
      </c>
      <c r="R58" s="494">
        <f t="shared" ca="1" si="1"/>
        <v>0</v>
      </c>
      <c r="S58" s="290"/>
      <c r="T58" s="136" t="s">
        <v>225</v>
      </c>
    </row>
    <row r="59" spans="1:40">
      <c r="A59" s="294" t="s">
        <v>93</v>
      </c>
      <c r="B59" s="496">
        <f>'BP1'!$K42</f>
        <v>0</v>
      </c>
      <c r="C59" s="487">
        <f>'BP1'!$N42</f>
        <v>0</v>
      </c>
      <c r="D59" s="483"/>
      <c r="E59" s="496">
        <f>'BP2'!$K42</f>
        <v>0</v>
      </c>
      <c r="F59" s="487">
        <f ca="1">'BP2'!$N42</f>
        <v>0</v>
      </c>
      <c r="G59" s="483"/>
      <c r="H59" s="496">
        <f>'BP3'!$K42</f>
        <v>0</v>
      </c>
      <c r="I59" s="487">
        <f ca="1">'BP3'!$N42</f>
        <v>0</v>
      </c>
      <c r="J59" s="483"/>
      <c r="K59" s="496">
        <f>'BP4'!$K42</f>
        <v>0</v>
      </c>
      <c r="L59" s="487">
        <f ca="1">'BP4'!$N42</f>
        <v>0</v>
      </c>
      <c r="M59" s="483"/>
      <c r="N59" s="496">
        <f>'BP5'!$K42</f>
        <v>0</v>
      </c>
      <c r="O59" s="487">
        <f ca="1">'BP5'!$N42</f>
        <v>0</v>
      </c>
      <c r="P59" s="483"/>
      <c r="Q59" s="496">
        <f t="shared" si="0"/>
        <v>0</v>
      </c>
      <c r="R59" s="487">
        <f t="shared" ca="1" si="1"/>
        <v>0</v>
      </c>
      <c r="S59" s="80"/>
      <c r="T59" s="136" t="s">
        <v>225</v>
      </c>
    </row>
    <row r="60" spans="1:40" ht="16.5" thickBot="1">
      <c r="A60" s="293" t="s">
        <v>102</v>
      </c>
      <c r="B60" s="497">
        <f>'BP1'!$K43</f>
        <v>0</v>
      </c>
      <c r="C60" s="498">
        <f>'BP1'!$N43</f>
        <v>0</v>
      </c>
      <c r="D60" s="495"/>
      <c r="E60" s="497">
        <f>'BP2'!$K43</f>
        <v>0</v>
      </c>
      <c r="F60" s="498">
        <f ca="1">'BP2'!$N43</f>
        <v>0</v>
      </c>
      <c r="G60" s="495"/>
      <c r="H60" s="497">
        <f>'BP3'!$K43</f>
        <v>0</v>
      </c>
      <c r="I60" s="498">
        <f ca="1">'BP3'!$N43</f>
        <v>0</v>
      </c>
      <c r="J60" s="495"/>
      <c r="K60" s="497">
        <f>'BP4'!$K43</f>
        <v>0</v>
      </c>
      <c r="L60" s="498">
        <f ca="1">'BP4'!$N43</f>
        <v>0</v>
      </c>
      <c r="M60" s="495"/>
      <c r="N60" s="497">
        <f>'BP5'!$K43</f>
        <v>0</v>
      </c>
      <c r="O60" s="498">
        <f ca="1">'BP5'!$N43</f>
        <v>0</v>
      </c>
      <c r="P60" s="495"/>
      <c r="Q60" s="497">
        <f t="shared" si="0"/>
        <v>0</v>
      </c>
      <c r="R60" s="498">
        <f t="shared" ca="1" si="1"/>
        <v>0</v>
      </c>
      <c r="S60" s="290"/>
      <c r="T60" s="136" t="s">
        <v>225</v>
      </c>
    </row>
    <row r="61" spans="1:40" ht="16.5" thickBot="1">
      <c r="A61" s="79"/>
      <c r="B61" s="483"/>
      <c r="C61" s="483"/>
      <c r="D61" s="483"/>
      <c r="E61" s="483"/>
      <c r="F61" s="483"/>
      <c r="G61" s="483"/>
      <c r="H61" s="483"/>
      <c r="I61" s="483"/>
      <c r="J61" s="483"/>
      <c r="K61" s="483"/>
      <c r="L61" s="483"/>
      <c r="M61" s="483"/>
      <c r="N61" s="483"/>
      <c r="O61" s="483"/>
      <c r="P61" s="483"/>
      <c r="Q61" s="483"/>
      <c r="R61" s="483"/>
      <c r="S61" s="80"/>
      <c r="T61" s="136" t="s">
        <v>225</v>
      </c>
    </row>
    <row r="62" spans="1:40">
      <c r="A62" s="91" t="str">
        <f>'BP1'!$A$44</f>
        <v>Capital Equipment</v>
      </c>
      <c r="B62" s="490">
        <f>'BP1'!$K50</f>
        <v>0</v>
      </c>
      <c r="C62" s="491">
        <f>'BP1'!$N50</f>
        <v>0</v>
      </c>
      <c r="D62" s="483"/>
      <c r="E62" s="490">
        <f>'BP2'!$K50</f>
        <v>0</v>
      </c>
      <c r="F62" s="491">
        <f>'BP2'!$N50</f>
        <v>0</v>
      </c>
      <c r="G62" s="483"/>
      <c r="H62" s="490">
        <f>'BP3'!$K50</f>
        <v>0</v>
      </c>
      <c r="I62" s="491">
        <f>'BP3'!$N50</f>
        <v>0</v>
      </c>
      <c r="J62" s="483"/>
      <c r="K62" s="490">
        <f>'BP4'!$K50</f>
        <v>0</v>
      </c>
      <c r="L62" s="491">
        <f>'BP4'!$N50</f>
        <v>0</v>
      </c>
      <c r="M62" s="483"/>
      <c r="N62" s="490">
        <f>'BP5'!$K50</f>
        <v>0</v>
      </c>
      <c r="O62" s="491">
        <f>'BP5'!$N50</f>
        <v>0</v>
      </c>
      <c r="P62" s="483"/>
      <c r="Q62" s="490">
        <f t="shared" si="0"/>
        <v>0</v>
      </c>
      <c r="R62" s="491">
        <f t="shared" si="1"/>
        <v>0</v>
      </c>
      <c r="S62" s="81"/>
      <c r="T62" s="136" t="s">
        <v>225</v>
      </c>
    </row>
    <row r="63" spans="1:40">
      <c r="A63" s="91" t="str">
        <f>'BP1'!$H$51</f>
        <v>Domestic Travel</v>
      </c>
      <c r="B63" s="484">
        <f>'BP1'!$K51</f>
        <v>0</v>
      </c>
      <c r="C63" s="485">
        <f>'BP1'!$N51</f>
        <v>0</v>
      </c>
      <c r="D63" s="483"/>
      <c r="E63" s="484">
        <f>'BP2'!$K51</f>
        <v>0</v>
      </c>
      <c r="F63" s="485">
        <f>'BP2'!$N51</f>
        <v>0</v>
      </c>
      <c r="G63" s="483"/>
      <c r="H63" s="484">
        <f>'BP3'!$K51</f>
        <v>0</v>
      </c>
      <c r="I63" s="485">
        <f>'BP3'!$N51</f>
        <v>0</v>
      </c>
      <c r="J63" s="483"/>
      <c r="K63" s="484">
        <f>'BP4'!$K51</f>
        <v>0</v>
      </c>
      <c r="L63" s="485">
        <f>'BP4'!$N51</f>
        <v>0</v>
      </c>
      <c r="M63" s="483"/>
      <c r="N63" s="484">
        <f>'BP5'!$K51</f>
        <v>0</v>
      </c>
      <c r="O63" s="485">
        <f>'BP5'!$N51</f>
        <v>0</v>
      </c>
      <c r="P63" s="483"/>
      <c r="Q63" s="484">
        <f t="shared" si="0"/>
        <v>0</v>
      </c>
      <c r="R63" s="485">
        <f t="shared" si="1"/>
        <v>0</v>
      </c>
      <c r="S63" s="81"/>
      <c r="T63" s="136" t="s">
        <v>225</v>
      </c>
    </row>
    <row r="64" spans="1:40" ht="16.5" thickBot="1">
      <c r="A64" s="91" t="str">
        <f>'BP1'!$H$52</f>
        <v>Foreign Travel</v>
      </c>
      <c r="B64" s="499">
        <f>'BP1'!$K52</f>
        <v>0</v>
      </c>
      <c r="C64" s="500">
        <f>'BP1'!$N52</f>
        <v>0</v>
      </c>
      <c r="D64" s="483"/>
      <c r="E64" s="499">
        <f>'BP2'!$K52</f>
        <v>0</v>
      </c>
      <c r="F64" s="500">
        <f>'BP2'!$N52</f>
        <v>0</v>
      </c>
      <c r="G64" s="483"/>
      <c r="H64" s="499">
        <f>'BP3'!$K52</f>
        <v>0</v>
      </c>
      <c r="I64" s="500">
        <f>'BP3'!$N52</f>
        <v>0</v>
      </c>
      <c r="J64" s="483"/>
      <c r="K64" s="499">
        <f>'BP4'!$K52</f>
        <v>0</v>
      </c>
      <c r="L64" s="500">
        <f>'BP4'!$N52</f>
        <v>0</v>
      </c>
      <c r="M64" s="483"/>
      <c r="N64" s="499">
        <f>'BP5'!$K52</f>
        <v>0</v>
      </c>
      <c r="O64" s="500">
        <f>'BP5'!$N52</f>
        <v>0</v>
      </c>
      <c r="P64" s="483"/>
      <c r="Q64" s="499">
        <f t="shared" si="0"/>
        <v>0</v>
      </c>
      <c r="R64" s="500">
        <f t="shared" si="1"/>
        <v>0</v>
      </c>
      <c r="S64" s="81"/>
      <c r="T64" s="136" t="s">
        <v>225</v>
      </c>
    </row>
    <row r="65" spans="1:20" ht="16.5" thickBot="1">
      <c r="B65" s="501"/>
      <c r="C65" s="501"/>
      <c r="D65" s="501"/>
      <c r="E65" s="501"/>
      <c r="F65" s="501"/>
      <c r="G65" s="501"/>
      <c r="H65" s="501"/>
      <c r="I65" s="501"/>
      <c r="J65" s="501"/>
      <c r="K65" s="501"/>
      <c r="L65" s="501"/>
      <c r="M65" s="501"/>
      <c r="N65" s="501"/>
      <c r="O65" s="501"/>
      <c r="P65" s="501"/>
      <c r="Q65" s="501"/>
      <c r="R65" s="501"/>
      <c r="T65" s="136" t="s">
        <v>225</v>
      </c>
    </row>
    <row r="66" spans="1:20">
      <c r="A66" s="91" t="str">
        <f>'BP1'!$C$55</f>
        <v>Materials and Supplies</v>
      </c>
      <c r="B66" s="490">
        <f>'BP1'!$K55</f>
        <v>0</v>
      </c>
      <c r="C66" s="491">
        <f>'BP1'!$N55</f>
        <v>0</v>
      </c>
      <c r="D66" s="483"/>
      <c r="E66" s="490">
        <f>'BP2'!$K55</f>
        <v>0</v>
      </c>
      <c r="F66" s="491">
        <f>'BP2'!$N55</f>
        <v>0</v>
      </c>
      <c r="G66" s="483"/>
      <c r="H66" s="490">
        <f>'BP3'!$K55</f>
        <v>0</v>
      </c>
      <c r="I66" s="491">
        <f>'BP3'!$N55</f>
        <v>0</v>
      </c>
      <c r="J66" s="483"/>
      <c r="K66" s="490">
        <f>'BP4'!$K55</f>
        <v>0</v>
      </c>
      <c r="L66" s="491">
        <f>'BP4'!$N55</f>
        <v>0</v>
      </c>
      <c r="M66" s="483"/>
      <c r="N66" s="490">
        <f>'BP5'!$K55</f>
        <v>0</v>
      </c>
      <c r="O66" s="491">
        <f>'BP5'!$N55</f>
        <v>0</v>
      </c>
      <c r="P66" s="483"/>
      <c r="Q66" s="490">
        <f t="shared" si="0"/>
        <v>0</v>
      </c>
      <c r="R66" s="491">
        <f t="shared" si="1"/>
        <v>0</v>
      </c>
      <c r="S66" s="81"/>
      <c r="T66" s="136" t="s">
        <v>225</v>
      </c>
    </row>
    <row r="67" spans="1:20">
      <c r="A67" s="91" t="str">
        <f>'BP1'!$C$56</f>
        <v>Publication Costs</v>
      </c>
      <c r="B67" s="484">
        <f>'BP1'!$K56</f>
        <v>0</v>
      </c>
      <c r="C67" s="485">
        <f>'BP1'!$N56</f>
        <v>0</v>
      </c>
      <c r="D67" s="483"/>
      <c r="E67" s="484">
        <f>'BP2'!$K56</f>
        <v>0</v>
      </c>
      <c r="F67" s="485">
        <f>'BP2'!$N56</f>
        <v>0</v>
      </c>
      <c r="G67" s="483"/>
      <c r="H67" s="484">
        <f>'BP3'!$K56</f>
        <v>0</v>
      </c>
      <c r="I67" s="485">
        <f>'BP3'!$N56</f>
        <v>0</v>
      </c>
      <c r="J67" s="483"/>
      <c r="K67" s="484">
        <f>'BP4'!$K56</f>
        <v>0</v>
      </c>
      <c r="L67" s="485">
        <f>'BP4'!$N56</f>
        <v>0</v>
      </c>
      <c r="M67" s="483"/>
      <c r="N67" s="484">
        <f>'BP5'!$K56</f>
        <v>0</v>
      </c>
      <c r="O67" s="485">
        <f>'BP5'!$N56</f>
        <v>0</v>
      </c>
      <c r="P67" s="483"/>
      <c r="Q67" s="484">
        <f t="shared" si="0"/>
        <v>0</v>
      </c>
      <c r="R67" s="485">
        <f t="shared" si="1"/>
        <v>0</v>
      </c>
      <c r="S67" s="81"/>
      <c r="T67" s="136" t="s">
        <v>225</v>
      </c>
    </row>
    <row r="68" spans="1:20">
      <c r="A68" s="91" t="str">
        <f>'BP1'!$C$57</f>
        <v>Consultant Services</v>
      </c>
      <c r="B68" s="484">
        <f>'BP1'!$K57</f>
        <v>0</v>
      </c>
      <c r="C68" s="485">
        <f>'BP1'!$N57</f>
        <v>0</v>
      </c>
      <c r="D68" s="483"/>
      <c r="E68" s="484">
        <f>'BP2'!$K57</f>
        <v>0</v>
      </c>
      <c r="F68" s="485">
        <f>'BP2'!$N57</f>
        <v>0</v>
      </c>
      <c r="G68" s="483"/>
      <c r="H68" s="484">
        <f>'BP3'!$K57</f>
        <v>0</v>
      </c>
      <c r="I68" s="485">
        <f>'BP3'!$N57</f>
        <v>0</v>
      </c>
      <c r="J68" s="483"/>
      <c r="K68" s="484">
        <f>'BP4'!$K57</f>
        <v>0</v>
      </c>
      <c r="L68" s="485">
        <f>'BP4'!$N57</f>
        <v>0</v>
      </c>
      <c r="M68" s="483"/>
      <c r="N68" s="484">
        <f>'BP5'!$K57</f>
        <v>0</v>
      </c>
      <c r="O68" s="485">
        <f>'BP5'!$N57</f>
        <v>0</v>
      </c>
      <c r="P68" s="483"/>
      <c r="Q68" s="484">
        <f t="shared" si="0"/>
        <v>0</v>
      </c>
      <c r="R68" s="485">
        <f t="shared" si="1"/>
        <v>0</v>
      </c>
      <c r="S68" s="81"/>
      <c r="T68" s="136" t="s">
        <v>225</v>
      </c>
    </row>
    <row r="69" spans="1:20">
      <c r="A69" s="91" t="str">
        <f>'BP1'!$C$58</f>
        <v>Computer Services</v>
      </c>
      <c r="B69" s="484">
        <f>'BP1'!$K58</f>
        <v>0</v>
      </c>
      <c r="C69" s="485">
        <f>'BP1'!$N58</f>
        <v>0</v>
      </c>
      <c r="D69" s="483"/>
      <c r="E69" s="484">
        <f>'BP2'!$K58</f>
        <v>0</v>
      </c>
      <c r="F69" s="485">
        <f>'BP2'!$N58</f>
        <v>0</v>
      </c>
      <c r="G69" s="483"/>
      <c r="H69" s="484">
        <f>'BP3'!$K58</f>
        <v>0</v>
      </c>
      <c r="I69" s="485">
        <f>'BP3'!$N58</f>
        <v>0</v>
      </c>
      <c r="J69" s="483"/>
      <c r="K69" s="484">
        <f>'BP4'!$K58</f>
        <v>0</v>
      </c>
      <c r="L69" s="485">
        <f>'BP4'!$N58</f>
        <v>0</v>
      </c>
      <c r="M69" s="483"/>
      <c r="N69" s="484">
        <f>'BP5'!$K58</f>
        <v>0</v>
      </c>
      <c r="O69" s="485">
        <f>'BP5'!$N58</f>
        <v>0</v>
      </c>
      <c r="P69" s="483"/>
      <c r="Q69" s="484">
        <f t="shared" si="0"/>
        <v>0</v>
      </c>
      <c r="R69" s="485">
        <f t="shared" si="1"/>
        <v>0</v>
      </c>
      <c r="S69" s="81"/>
      <c r="T69" s="136" t="s">
        <v>225</v>
      </c>
    </row>
    <row r="70" spans="1:20">
      <c r="A70" s="91" t="str">
        <f>'BP1'!$C$59</f>
        <v>Tuition</v>
      </c>
      <c r="B70" s="484">
        <f>'BP1'!$K59</f>
        <v>0</v>
      </c>
      <c r="C70" s="485">
        <f>'BP1'!$N59</f>
        <v>0</v>
      </c>
      <c r="D70" s="483"/>
      <c r="E70" s="484">
        <f>'BP2'!$K59</f>
        <v>0</v>
      </c>
      <c r="F70" s="485">
        <f>'BP2'!$N59</f>
        <v>0</v>
      </c>
      <c r="G70" s="483"/>
      <c r="H70" s="484">
        <f>'BP3'!$K59</f>
        <v>0</v>
      </c>
      <c r="I70" s="485">
        <f>'BP3'!$N59</f>
        <v>0</v>
      </c>
      <c r="J70" s="483"/>
      <c r="K70" s="484">
        <f>'BP4'!$K59</f>
        <v>0</v>
      </c>
      <c r="L70" s="485">
        <f>'BP4'!$N59</f>
        <v>0</v>
      </c>
      <c r="M70" s="483"/>
      <c r="N70" s="484">
        <f>'BP5'!$K59</f>
        <v>0</v>
      </c>
      <c r="O70" s="485">
        <f>'BP5'!$N59</f>
        <v>0</v>
      </c>
      <c r="P70" s="483"/>
      <c r="Q70" s="484">
        <f t="shared" si="0"/>
        <v>0</v>
      </c>
      <c r="R70" s="485">
        <f t="shared" si="1"/>
        <v>0</v>
      </c>
      <c r="S70" s="81"/>
      <c r="T70" s="136" t="s">
        <v>225</v>
      </c>
    </row>
    <row r="71" spans="1:20">
      <c r="A71" s="91" t="str">
        <f>'BP1'!$C$60</f>
        <v>MTDC Other</v>
      </c>
      <c r="B71" s="484">
        <f>'BP1'!$K60</f>
        <v>0</v>
      </c>
      <c r="C71" s="485">
        <f>'BP1'!$N60</f>
        <v>0</v>
      </c>
      <c r="D71" s="483"/>
      <c r="E71" s="484">
        <f>'BP2'!$K60</f>
        <v>0</v>
      </c>
      <c r="F71" s="485">
        <f>'BP2'!$N60</f>
        <v>0</v>
      </c>
      <c r="G71" s="483"/>
      <c r="H71" s="484">
        <f>'BP3'!$K60</f>
        <v>0</v>
      </c>
      <c r="I71" s="485">
        <f>'BP3'!$N60</f>
        <v>0</v>
      </c>
      <c r="J71" s="483"/>
      <c r="K71" s="484">
        <f>'BP4'!$K60</f>
        <v>0</v>
      </c>
      <c r="L71" s="485">
        <f>'BP4'!$N60</f>
        <v>0</v>
      </c>
      <c r="M71" s="483"/>
      <c r="N71" s="484">
        <f>'BP5'!$K60</f>
        <v>0</v>
      </c>
      <c r="O71" s="485">
        <f>'BP5'!$N60</f>
        <v>0</v>
      </c>
      <c r="P71" s="483"/>
      <c r="Q71" s="484">
        <f t="shared" si="0"/>
        <v>0</v>
      </c>
      <c r="R71" s="485">
        <f t="shared" si="1"/>
        <v>0</v>
      </c>
      <c r="S71" s="81"/>
      <c r="T71" s="136" t="s">
        <v>225</v>
      </c>
    </row>
    <row r="72" spans="1:20">
      <c r="A72" s="91" t="str">
        <f>'BP1'!$C$61</f>
        <v>Non-MTDC Other (no indirect costs)</v>
      </c>
      <c r="B72" s="484">
        <f>'BP1'!$K61</f>
        <v>0</v>
      </c>
      <c r="C72" s="485">
        <f>'BP1'!$N61</f>
        <v>0</v>
      </c>
      <c r="D72" s="483"/>
      <c r="E72" s="484">
        <f>'BP2'!$K61</f>
        <v>0</v>
      </c>
      <c r="F72" s="485">
        <f>'BP2'!$N61</f>
        <v>0</v>
      </c>
      <c r="G72" s="483"/>
      <c r="H72" s="484">
        <f>'BP3'!$K61</f>
        <v>0</v>
      </c>
      <c r="I72" s="485">
        <f>'BP3'!$N61</f>
        <v>0</v>
      </c>
      <c r="J72" s="483"/>
      <c r="K72" s="484">
        <f>'BP4'!$K61</f>
        <v>0</v>
      </c>
      <c r="L72" s="485">
        <f>'BP4'!$N61</f>
        <v>0</v>
      </c>
      <c r="M72" s="483"/>
      <c r="N72" s="484">
        <f>'BP5'!$K61</f>
        <v>0</v>
      </c>
      <c r="O72" s="485">
        <f>'BP5'!$N61</f>
        <v>0</v>
      </c>
      <c r="P72" s="483"/>
      <c r="Q72" s="484">
        <f t="shared" si="0"/>
        <v>0</v>
      </c>
      <c r="R72" s="485">
        <f t="shared" si="1"/>
        <v>0</v>
      </c>
      <c r="S72" s="81"/>
      <c r="T72" s="136" t="s">
        <v>225</v>
      </c>
    </row>
    <row r="73" spans="1:20" ht="15.75" customHeight="1">
      <c r="A73" s="596" t="str">
        <f>IF(Q73&gt;0,"Subaward - "&amp;'Subaward Calculator'!B8,'BP1'!C62)</f>
        <v>Subaward I</v>
      </c>
      <c r="B73" s="484">
        <f>'BP1'!$K62</f>
        <v>0</v>
      </c>
      <c r="C73" s="485">
        <f>'BP1'!$N62</f>
        <v>0</v>
      </c>
      <c r="D73" s="483"/>
      <c r="E73" s="484">
        <f>IF('BP2'!$K62="",0,'BP2'!$K62)</f>
        <v>0</v>
      </c>
      <c r="F73" s="485">
        <f>IF('BP2'!$N62="",0,'BP2'!$N62)</f>
        <v>0</v>
      </c>
      <c r="G73" s="483"/>
      <c r="H73" s="484">
        <f>IF('BP3'!$K62="",0,'BP3'!$K62)</f>
        <v>0</v>
      </c>
      <c r="I73" s="485">
        <f>IF('BP3'!$N62="",0,'BP3'!$N62)</f>
        <v>0</v>
      </c>
      <c r="J73" s="483"/>
      <c r="K73" s="484">
        <f>IF('BP4'!$K62="",0,'BP4'!$K62)</f>
        <v>0</v>
      </c>
      <c r="L73" s="485">
        <f>IF('BP4'!$N62="",0,'BP4'!$N62)</f>
        <v>0</v>
      </c>
      <c r="M73" s="483"/>
      <c r="N73" s="484">
        <f>IF('BP5'!$K62="",0,'BP5'!$K62)</f>
        <v>0</v>
      </c>
      <c r="O73" s="485">
        <f>IF('BP5'!$N62="",0,'BP5'!$N62)</f>
        <v>0</v>
      </c>
      <c r="P73" s="483"/>
      <c r="Q73" s="484">
        <f>B73+E73+H73+K73+N73</f>
        <v>0</v>
      </c>
      <c r="R73" s="485">
        <f t="shared" si="1"/>
        <v>0</v>
      </c>
      <c r="S73" s="81"/>
      <c r="T73" s="136" t="s">
        <v>225</v>
      </c>
    </row>
    <row r="74" spans="1:20" ht="15.75" hidden="1" customHeight="1">
      <c r="A74" s="596" t="str">
        <f>IF(Q74&gt;0,"Subaward - "&amp;'Subaward Calculator'!B11,'BP1'!C63)</f>
        <v>Subaward II</v>
      </c>
      <c r="B74" s="484">
        <f>'BP1'!$K63</f>
        <v>0</v>
      </c>
      <c r="C74" s="485">
        <f>'BP1'!$N63</f>
        <v>0</v>
      </c>
      <c r="D74" s="483"/>
      <c r="E74" s="484">
        <f>IF('BP2'!$K63="",0,'BP2'!$K63)</f>
        <v>0</v>
      </c>
      <c r="F74" s="485">
        <f>IF('BP2'!$N63="",0,'BP2'!$N63)</f>
        <v>0</v>
      </c>
      <c r="G74" s="483"/>
      <c r="H74" s="484">
        <f>IF('BP3'!$K63="",0,'BP3'!$K63)</f>
        <v>0</v>
      </c>
      <c r="I74" s="485">
        <f>IF('BP3'!$N63="",0,'BP3'!$N63)</f>
        <v>0</v>
      </c>
      <c r="J74" s="483"/>
      <c r="K74" s="484">
        <f>IF('BP4'!$K63="",0,'BP4'!$K63)</f>
        <v>0</v>
      </c>
      <c r="L74" s="485">
        <f>IF('BP4'!$N63="",0,'BP4'!$N63)</f>
        <v>0</v>
      </c>
      <c r="M74" s="483"/>
      <c r="N74" s="484">
        <f>IF('BP5'!$K63="",0,'BP5'!$K63)</f>
        <v>0</v>
      </c>
      <c r="O74" s="485">
        <f>IF('BP5'!$N63="",0,'BP5'!$N63)</f>
        <v>0</v>
      </c>
      <c r="P74" s="483"/>
      <c r="Q74" s="484">
        <f t="shared" si="0"/>
        <v>0</v>
      </c>
      <c r="R74" s="485">
        <f t="shared" si="1"/>
        <v>0</v>
      </c>
      <c r="S74" s="81"/>
      <c r="T74" s="136" t="s">
        <v>227</v>
      </c>
    </row>
    <row r="75" spans="1:20" ht="15.75" hidden="1" customHeight="1">
      <c r="A75" s="596" t="str">
        <f>IF(Q75&gt;0,"Subaward - "&amp;'Subaward Calculator'!B14,'BP1'!C64)</f>
        <v>Subaward III</v>
      </c>
      <c r="B75" s="484">
        <f>'BP1'!$K64</f>
        <v>0</v>
      </c>
      <c r="C75" s="485">
        <f>'BP1'!$N64</f>
        <v>0</v>
      </c>
      <c r="D75" s="483"/>
      <c r="E75" s="484">
        <f>IF('BP2'!$K64="",0,'BP2'!$K64)</f>
        <v>0</v>
      </c>
      <c r="F75" s="485">
        <f>IF('BP2'!$N64="",0,'BP2'!$N64)</f>
        <v>0</v>
      </c>
      <c r="G75" s="483"/>
      <c r="H75" s="484">
        <f>IF('BP3'!$K64="",0,'BP3'!$K64)</f>
        <v>0</v>
      </c>
      <c r="I75" s="485">
        <f>IF('BP3'!$N64="",0,'BP3'!$N64)</f>
        <v>0</v>
      </c>
      <c r="J75" s="483"/>
      <c r="K75" s="484">
        <f>IF('BP4'!$K64="",0,'BP4'!$K64)</f>
        <v>0</v>
      </c>
      <c r="L75" s="485">
        <f>IF('BP4'!$N64="",0,'BP4'!$N64)</f>
        <v>0</v>
      </c>
      <c r="M75" s="483"/>
      <c r="N75" s="484">
        <f>IF('BP5'!$K64="",0,'BP5'!$K64)</f>
        <v>0</v>
      </c>
      <c r="O75" s="485">
        <f>IF('BP5'!$N64="",0,'BP5'!$N64)</f>
        <v>0</v>
      </c>
      <c r="P75" s="483"/>
      <c r="Q75" s="484">
        <f t="shared" si="0"/>
        <v>0</v>
      </c>
      <c r="R75" s="485">
        <f t="shared" si="1"/>
        <v>0</v>
      </c>
      <c r="S75" s="81"/>
      <c r="T75" s="136" t="s">
        <v>227</v>
      </c>
    </row>
    <row r="76" spans="1:20" ht="15.75" hidden="1" customHeight="1">
      <c r="A76" s="596" t="str">
        <f>IF(Q76&gt;0,"Subaward - "&amp;'Subaward Calculator'!B17,'BP1'!C65)</f>
        <v>Subaward IV</v>
      </c>
      <c r="B76" s="484">
        <f>'BP1'!$K65</f>
        <v>0</v>
      </c>
      <c r="C76" s="485">
        <f>'BP1'!$N65</f>
        <v>0</v>
      </c>
      <c r="D76" s="483"/>
      <c r="E76" s="484">
        <f>IF('BP2'!$K65="",0,'BP2'!$K65)</f>
        <v>0</v>
      </c>
      <c r="F76" s="485">
        <f>IF('BP2'!$N65="",0,'BP2'!$N65)</f>
        <v>0</v>
      </c>
      <c r="G76" s="483"/>
      <c r="H76" s="484">
        <f>IF('BP3'!$K65="",0,'BP3'!$K65)</f>
        <v>0</v>
      </c>
      <c r="I76" s="485">
        <f>IF('BP3'!$N65="",0,'BP3'!$N65)</f>
        <v>0</v>
      </c>
      <c r="J76" s="483"/>
      <c r="K76" s="484">
        <f>IF('BP4'!$K65="",0,'BP4'!$K65)</f>
        <v>0</v>
      </c>
      <c r="L76" s="485">
        <f>IF('BP4'!$N65="",0,'BP4'!$N65)</f>
        <v>0</v>
      </c>
      <c r="M76" s="483"/>
      <c r="N76" s="484">
        <f>IF('BP5'!$K65="",0,'BP5'!$K65)</f>
        <v>0</v>
      </c>
      <c r="O76" s="485">
        <f>IF('BP5'!$N65="",0,'BP5'!$N65)</f>
        <v>0</v>
      </c>
      <c r="P76" s="483"/>
      <c r="Q76" s="484">
        <f t="shared" si="0"/>
        <v>0</v>
      </c>
      <c r="R76" s="485">
        <f t="shared" si="1"/>
        <v>0</v>
      </c>
      <c r="S76" s="81"/>
      <c r="T76" s="136" t="s">
        <v>227</v>
      </c>
    </row>
    <row r="77" spans="1:20" ht="15.75" hidden="1" customHeight="1">
      <c r="A77" s="596" t="str">
        <f>IF(Q77&gt;0,"Subaward - "&amp;'Subaward Calculator'!B20,'BP1'!C66)</f>
        <v>Subaward V</v>
      </c>
      <c r="B77" s="484">
        <f>'BP1'!$K66</f>
        <v>0</v>
      </c>
      <c r="C77" s="485">
        <f>'BP1'!$N66</f>
        <v>0</v>
      </c>
      <c r="D77" s="483"/>
      <c r="E77" s="484">
        <f>IF('BP2'!$K66="",0,'BP2'!$K66)</f>
        <v>0</v>
      </c>
      <c r="F77" s="485">
        <f>IF('BP2'!$N66="",0,'BP2'!$N66)</f>
        <v>0</v>
      </c>
      <c r="G77" s="483"/>
      <c r="H77" s="484">
        <f>IF('BP3'!$K66="",0,'BP3'!$K66)</f>
        <v>0</v>
      </c>
      <c r="I77" s="485">
        <f>IF('BP3'!$N66="",0,'BP3'!$N66)</f>
        <v>0</v>
      </c>
      <c r="J77" s="483"/>
      <c r="K77" s="484">
        <f>IF('BP4'!$K66="",0,'BP4'!$K66)</f>
        <v>0</v>
      </c>
      <c r="L77" s="485">
        <f>IF('BP4'!$N66="",0,'BP4'!$N66)</f>
        <v>0</v>
      </c>
      <c r="M77" s="483"/>
      <c r="N77" s="484">
        <f>IF('BP5'!$K66="",0,'BP5'!$K66)</f>
        <v>0</v>
      </c>
      <c r="O77" s="485">
        <f>IF('BP5'!$N66="",0,'BP5'!$N66)</f>
        <v>0</v>
      </c>
      <c r="P77" s="483"/>
      <c r="Q77" s="484">
        <f t="shared" si="0"/>
        <v>0</v>
      </c>
      <c r="R77" s="485">
        <f t="shared" si="1"/>
        <v>0</v>
      </c>
      <c r="S77" s="81"/>
      <c r="T77" s="136" t="s">
        <v>227</v>
      </c>
    </row>
    <row r="78" spans="1:20" ht="15.75" hidden="1" customHeight="1">
      <c r="A78" s="596" t="str">
        <f>IF(Q78&gt;0,"Subaward - "&amp;'Subaward Calculator'!B23,'BP1'!C67)</f>
        <v>Subaward VI</v>
      </c>
      <c r="B78" s="484">
        <f>'BP1'!$K67</f>
        <v>0</v>
      </c>
      <c r="C78" s="485">
        <f>'BP1'!$N67</f>
        <v>0</v>
      </c>
      <c r="D78" s="483"/>
      <c r="E78" s="484">
        <f>IF('BP2'!$K67="",0,'BP2'!$K67)</f>
        <v>0</v>
      </c>
      <c r="F78" s="485">
        <f>IF('BP2'!$N67="",0,'BP2'!$N67)</f>
        <v>0</v>
      </c>
      <c r="G78" s="483"/>
      <c r="H78" s="484">
        <f>IF('BP3'!$K67="",0,'BP3'!$K67)</f>
        <v>0</v>
      </c>
      <c r="I78" s="485">
        <f>IF('BP3'!$N67="",0,'BP3'!$N67)</f>
        <v>0</v>
      </c>
      <c r="J78" s="483"/>
      <c r="K78" s="484">
        <f>IF('BP4'!$K67="",0,'BP4'!$K67)</f>
        <v>0</v>
      </c>
      <c r="L78" s="485">
        <f>IF('BP4'!$N67="",0,'BP4'!$N67)</f>
        <v>0</v>
      </c>
      <c r="M78" s="483"/>
      <c r="N78" s="484">
        <f>IF('BP5'!$K67="",0,'BP5'!$K67)</f>
        <v>0</v>
      </c>
      <c r="O78" s="485">
        <f>IF('BP5'!$N67="",0,'BP5'!$N67)</f>
        <v>0</v>
      </c>
      <c r="P78" s="483"/>
      <c r="Q78" s="484">
        <f t="shared" si="0"/>
        <v>0</v>
      </c>
      <c r="R78" s="485">
        <f t="shared" si="1"/>
        <v>0</v>
      </c>
      <c r="S78" s="81"/>
      <c r="T78" s="136" t="s">
        <v>227</v>
      </c>
    </row>
    <row r="79" spans="1:20" ht="15.75" hidden="1" customHeight="1">
      <c r="A79" s="596" t="str">
        <f>IF(Q79&gt;0,"Subaward - "&amp;'Subaward Calculator'!B26,'BP1'!C68)</f>
        <v>Subaward VII</v>
      </c>
      <c r="B79" s="484">
        <f>'BP1'!$K68</f>
        <v>0</v>
      </c>
      <c r="C79" s="485">
        <f>'BP1'!$N68</f>
        <v>0</v>
      </c>
      <c r="D79" s="483"/>
      <c r="E79" s="484">
        <f>IF('BP2'!$K68="",0,'BP2'!$K68)</f>
        <v>0</v>
      </c>
      <c r="F79" s="485">
        <f>IF('BP2'!$N68="",0,'BP2'!$N68)</f>
        <v>0</v>
      </c>
      <c r="G79" s="483"/>
      <c r="H79" s="484">
        <f>IF('BP3'!$K68="",0,'BP3'!$K68)</f>
        <v>0</v>
      </c>
      <c r="I79" s="485">
        <f>IF('BP3'!$N68="",0,'BP3'!$N68)</f>
        <v>0</v>
      </c>
      <c r="J79" s="483"/>
      <c r="K79" s="484">
        <f>IF('BP4'!$K68="",0,'BP4'!$K68)</f>
        <v>0</v>
      </c>
      <c r="L79" s="485">
        <f>IF('BP4'!$N68="",0,'BP4'!$N68)</f>
        <v>0</v>
      </c>
      <c r="M79" s="483"/>
      <c r="N79" s="484">
        <f>IF('BP5'!$K68="",0,'BP5'!$K68)</f>
        <v>0</v>
      </c>
      <c r="O79" s="485">
        <f>IF('BP5'!$N68="",0,'BP5'!$N68)</f>
        <v>0</v>
      </c>
      <c r="P79" s="483"/>
      <c r="Q79" s="484">
        <f t="shared" si="0"/>
        <v>0</v>
      </c>
      <c r="R79" s="485">
        <f t="shared" si="1"/>
        <v>0</v>
      </c>
      <c r="S79" s="81"/>
      <c r="T79" s="136" t="s">
        <v>226</v>
      </c>
    </row>
    <row r="80" spans="1:20" ht="15.75" hidden="1" customHeight="1">
      <c r="A80" s="596" t="str">
        <f>IF(Q80&gt;0,"Subaward - "&amp;'Subaward Calculator'!B29,'BP1'!C69)</f>
        <v>Subaward VIII</v>
      </c>
      <c r="B80" s="484">
        <f>'BP1'!$K69</f>
        <v>0</v>
      </c>
      <c r="C80" s="485">
        <f>'BP1'!$N69</f>
        <v>0</v>
      </c>
      <c r="D80" s="483"/>
      <c r="E80" s="484">
        <f>IF('BP2'!$K69="",0,'BP2'!$K69)</f>
        <v>0</v>
      </c>
      <c r="F80" s="485">
        <f>IF('BP2'!$N69="",0,'BP2'!$N69)</f>
        <v>0</v>
      </c>
      <c r="G80" s="483"/>
      <c r="H80" s="484">
        <f>IF('BP3'!$K69="",0,'BP3'!$K69)</f>
        <v>0</v>
      </c>
      <c r="I80" s="485">
        <f>IF('BP3'!$N69="",0,'BP3'!$N69)</f>
        <v>0</v>
      </c>
      <c r="J80" s="483"/>
      <c r="K80" s="484">
        <f>IF('BP4'!$K69="",0,'BP4'!$K69)</f>
        <v>0</v>
      </c>
      <c r="L80" s="485">
        <f>IF('BP4'!$N69="",0,'BP4'!$N69)</f>
        <v>0</v>
      </c>
      <c r="M80" s="483"/>
      <c r="N80" s="484">
        <f>IF('BP5'!$K69="",0,'BP5'!$K69)</f>
        <v>0</v>
      </c>
      <c r="O80" s="485">
        <f>IF('BP5'!$N69="",0,'BP5'!$N69)</f>
        <v>0</v>
      </c>
      <c r="P80" s="483"/>
      <c r="Q80" s="484">
        <f t="shared" ref="Q80:Q91" si="4">B80+E80+H80+K80+N80</f>
        <v>0</v>
      </c>
      <c r="R80" s="485">
        <f t="shared" ref="R80:R91" si="5">C80+F80+I80+L80+O80</f>
        <v>0</v>
      </c>
      <c r="S80" s="81"/>
      <c r="T80" s="136" t="s">
        <v>226</v>
      </c>
    </row>
    <row r="81" spans="1:20" ht="15.75" hidden="1" customHeight="1">
      <c r="A81" s="596" t="str">
        <f>IF(Q81&gt;0,"Subaward - "&amp;'Subaward Calculator'!B32,'BP1'!C70)</f>
        <v>Subaward IX</v>
      </c>
      <c r="B81" s="484">
        <f>'BP1'!$K70</f>
        <v>0</v>
      </c>
      <c r="C81" s="485">
        <f>'BP1'!$N70</f>
        <v>0</v>
      </c>
      <c r="D81" s="483"/>
      <c r="E81" s="484">
        <f>IF('BP2'!$K70="",0,'BP2'!$K70)</f>
        <v>0</v>
      </c>
      <c r="F81" s="485">
        <f>IF('BP2'!$N70="",0,'BP2'!$N70)</f>
        <v>0</v>
      </c>
      <c r="G81" s="483"/>
      <c r="H81" s="484">
        <f>IF('BP3'!$K70="",0,'BP3'!$K70)</f>
        <v>0</v>
      </c>
      <c r="I81" s="485">
        <f>IF('BP3'!$N70="",0,'BP3'!$N70)</f>
        <v>0</v>
      </c>
      <c r="J81" s="483"/>
      <c r="K81" s="484">
        <f>IF('BP4'!$K70="",0,'BP4'!$K70)</f>
        <v>0</v>
      </c>
      <c r="L81" s="485">
        <f>IF('BP4'!$N70="",0,'BP4'!$N70)</f>
        <v>0</v>
      </c>
      <c r="M81" s="483"/>
      <c r="N81" s="484">
        <f>IF('BP5'!$K70="",0,'BP5'!$K70)</f>
        <v>0</v>
      </c>
      <c r="O81" s="485">
        <f>IF('BP5'!$N70="",0,'BP5'!$N70)</f>
        <v>0</v>
      </c>
      <c r="P81" s="483"/>
      <c r="Q81" s="484">
        <f t="shared" si="4"/>
        <v>0</v>
      </c>
      <c r="R81" s="485">
        <f t="shared" si="5"/>
        <v>0</v>
      </c>
      <c r="S81" s="81"/>
      <c r="T81" s="136" t="s">
        <v>226</v>
      </c>
    </row>
    <row r="82" spans="1:20" ht="15.75" hidden="1" customHeight="1">
      <c r="A82" s="596" t="str">
        <f>IF(Q82&gt;0,"Subaward - "&amp;'Subaward Calculator'!B35,'BP1'!C71)</f>
        <v>Subaward X</v>
      </c>
      <c r="B82" s="484">
        <f>'BP1'!$K71</f>
        <v>0</v>
      </c>
      <c r="C82" s="485">
        <f>'BP1'!$N71</f>
        <v>0</v>
      </c>
      <c r="D82" s="483"/>
      <c r="E82" s="484">
        <f>IF('BP2'!$K71="",0,'BP2'!$K71)</f>
        <v>0</v>
      </c>
      <c r="F82" s="485">
        <f>IF('BP2'!$N71="",0,'BP2'!$N71)</f>
        <v>0</v>
      </c>
      <c r="G82" s="483"/>
      <c r="H82" s="484">
        <f>IF('BP3'!$K71="",0,'BP3'!$K71)</f>
        <v>0</v>
      </c>
      <c r="I82" s="485">
        <f>IF('BP3'!$N71="",0,'BP3'!$N71)</f>
        <v>0</v>
      </c>
      <c r="J82" s="483"/>
      <c r="K82" s="484">
        <f>IF('BP4'!$K71="",0,'BP4'!$K71)</f>
        <v>0</v>
      </c>
      <c r="L82" s="485">
        <f>IF('BP4'!$N71="",0,'BP4'!$N71)</f>
        <v>0</v>
      </c>
      <c r="M82" s="483"/>
      <c r="N82" s="484">
        <f>IF('BP5'!$K71="",0,'BP5'!$K71)</f>
        <v>0</v>
      </c>
      <c r="O82" s="485">
        <f>IF('BP5'!$N71="",0,'BP5'!$N71)</f>
        <v>0</v>
      </c>
      <c r="P82" s="483"/>
      <c r="Q82" s="484">
        <f t="shared" si="4"/>
        <v>0</v>
      </c>
      <c r="R82" s="485">
        <f t="shared" si="5"/>
        <v>0</v>
      </c>
      <c r="S82" s="81"/>
      <c r="T82" s="136" t="s">
        <v>226</v>
      </c>
    </row>
    <row r="83" spans="1:20" ht="15.75" hidden="1" customHeight="1">
      <c r="A83" s="596" t="str">
        <f>IF(Q83&gt;0,"Subaward - "&amp;'Subaward Calculator'!B38,'BP1'!C72)</f>
        <v>Subaward XI</v>
      </c>
      <c r="B83" s="484">
        <f>'BP1'!$K72</f>
        <v>0</v>
      </c>
      <c r="C83" s="485">
        <f>'BP1'!$N72</f>
        <v>0</v>
      </c>
      <c r="D83" s="483"/>
      <c r="E83" s="484">
        <f>IF('BP2'!$K72="",0,'BP2'!$K72)</f>
        <v>0</v>
      </c>
      <c r="F83" s="485">
        <f>IF('BP2'!$N72="",0,'BP2'!$N72)</f>
        <v>0</v>
      </c>
      <c r="G83" s="483"/>
      <c r="H83" s="484">
        <f>IF('BP3'!$K72="",0,'BP3'!$K72)</f>
        <v>0</v>
      </c>
      <c r="I83" s="485">
        <f>IF('BP3'!$N72="",0,'BP3'!$N72)</f>
        <v>0</v>
      </c>
      <c r="J83" s="483"/>
      <c r="K83" s="484">
        <f>IF('BP4'!$K72="",0,'BP4'!$K72)</f>
        <v>0</v>
      </c>
      <c r="L83" s="485">
        <f>IF('BP4'!$N72="",0,'BP4'!$N72)</f>
        <v>0</v>
      </c>
      <c r="M83" s="483"/>
      <c r="N83" s="484">
        <f>IF('BP5'!$K72="",0,'BP5'!$K72)</f>
        <v>0</v>
      </c>
      <c r="O83" s="485">
        <f>IF('BP5'!$N72="",0,'BP5'!$N72)</f>
        <v>0</v>
      </c>
      <c r="P83" s="483"/>
      <c r="Q83" s="484">
        <f t="shared" si="4"/>
        <v>0</v>
      </c>
      <c r="R83" s="485">
        <f t="shared" si="5"/>
        <v>0</v>
      </c>
      <c r="S83" s="81"/>
      <c r="T83" s="136" t="s">
        <v>226</v>
      </c>
    </row>
    <row r="84" spans="1:20" ht="15.75" hidden="1" customHeight="1">
      <c r="A84" s="596" t="str">
        <f>IF(Q84&gt;0,"Subaward - "&amp;'Subaward Calculator'!B41,'BP1'!C73)</f>
        <v>Subaward XII</v>
      </c>
      <c r="B84" s="484">
        <f>'BP1'!$K73</f>
        <v>0</v>
      </c>
      <c r="C84" s="485">
        <f>'BP1'!$N73</f>
        <v>0</v>
      </c>
      <c r="D84" s="483"/>
      <c r="E84" s="484">
        <f>IF('BP2'!$K73="",0,'BP2'!$K73)</f>
        <v>0</v>
      </c>
      <c r="F84" s="485">
        <f>IF('BP2'!$N73="",0,'BP2'!$N73)</f>
        <v>0</v>
      </c>
      <c r="G84" s="483"/>
      <c r="H84" s="484">
        <f>IF('BP3'!$K73="",0,'BP3'!$K73)</f>
        <v>0</v>
      </c>
      <c r="I84" s="485">
        <f>IF('BP3'!$N73="",0,'BP3'!$N73)</f>
        <v>0</v>
      </c>
      <c r="J84" s="483"/>
      <c r="K84" s="484">
        <f>IF('BP4'!$K73="",0,'BP4'!$K73)</f>
        <v>0</v>
      </c>
      <c r="L84" s="485">
        <f>IF('BP4'!$N73="",0,'BP4'!$N73)</f>
        <v>0</v>
      </c>
      <c r="M84" s="483"/>
      <c r="N84" s="484">
        <f>IF('BP5'!$K73="",0,'BP5'!$K73)</f>
        <v>0</v>
      </c>
      <c r="O84" s="485">
        <f>IF('BP5'!$N73="",0,'BP5'!$N73)</f>
        <v>0</v>
      </c>
      <c r="P84" s="483"/>
      <c r="Q84" s="484">
        <f t="shared" si="4"/>
        <v>0</v>
      </c>
      <c r="R84" s="485">
        <f t="shared" si="5"/>
        <v>0</v>
      </c>
      <c r="S84" s="81"/>
      <c r="T84" s="136" t="s">
        <v>226</v>
      </c>
    </row>
    <row r="85" spans="1:20" ht="16.5" thickBot="1">
      <c r="A85" s="295" t="s">
        <v>96</v>
      </c>
      <c r="B85" s="502">
        <f>'BP1'!$K74</f>
        <v>0</v>
      </c>
      <c r="C85" s="503">
        <f>'BP1'!$N74</f>
        <v>0</v>
      </c>
      <c r="D85" s="495"/>
      <c r="E85" s="502">
        <f>'BP2'!$K74</f>
        <v>0</v>
      </c>
      <c r="F85" s="503">
        <f>'BP2'!$N74</f>
        <v>0</v>
      </c>
      <c r="G85" s="495"/>
      <c r="H85" s="502">
        <f>'BP3'!$K74</f>
        <v>0</v>
      </c>
      <c r="I85" s="503">
        <f>'BP3'!$N74</f>
        <v>0</v>
      </c>
      <c r="J85" s="495"/>
      <c r="K85" s="502">
        <f>'BP4'!$K74</f>
        <v>0</v>
      </c>
      <c r="L85" s="503">
        <f>'BP4'!$N74</f>
        <v>0</v>
      </c>
      <c r="M85" s="495"/>
      <c r="N85" s="502">
        <f>'BP5'!$K74</f>
        <v>0</v>
      </c>
      <c r="O85" s="503">
        <f>'BP5'!$N74</f>
        <v>0</v>
      </c>
      <c r="P85" s="495"/>
      <c r="Q85" s="502">
        <f t="shared" si="4"/>
        <v>0</v>
      </c>
      <c r="R85" s="503">
        <f t="shared" si="5"/>
        <v>0</v>
      </c>
      <c r="S85" s="290"/>
      <c r="T85" s="136" t="s">
        <v>225</v>
      </c>
    </row>
    <row r="86" spans="1:20" ht="16.5" thickBot="1">
      <c r="A86" s="79"/>
      <c r="B86" s="483"/>
      <c r="C86" s="483"/>
      <c r="D86" s="483"/>
      <c r="E86" s="483"/>
      <c r="F86" s="483"/>
      <c r="G86" s="483"/>
      <c r="H86" s="483"/>
      <c r="I86" s="483"/>
      <c r="J86" s="483"/>
      <c r="K86" s="483"/>
      <c r="L86" s="483"/>
      <c r="M86" s="483"/>
      <c r="N86" s="483"/>
      <c r="O86" s="483"/>
      <c r="P86" s="483"/>
      <c r="Q86" s="483"/>
      <c r="R86" s="483"/>
      <c r="S86" s="81"/>
      <c r="T86" s="136" t="s">
        <v>225</v>
      </c>
    </row>
    <row r="87" spans="1:20">
      <c r="A87" s="670" t="s">
        <v>589</v>
      </c>
      <c r="B87" s="671">
        <f>'BP1'!$K75</f>
        <v>0</v>
      </c>
      <c r="C87" s="504">
        <f>'BP1'!$N75</f>
        <v>0</v>
      </c>
      <c r="D87" s="495"/>
      <c r="E87" s="671">
        <f>'BP2'!$K75</f>
        <v>0</v>
      </c>
      <c r="F87" s="504">
        <f ca="1">'BP2'!$N75</f>
        <v>0</v>
      </c>
      <c r="G87" s="495"/>
      <c r="H87" s="671">
        <f>'BP3'!$K75</f>
        <v>0</v>
      </c>
      <c r="I87" s="504">
        <f ca="1">'BP3'!$N75</f>
        <v>0</v>
      </c>
      <c r="J87" s="495"/>
      <c r="K87" s="671">
        <f>'BP4'!$K75</f>
        <v>0</v>
      </c>
      <c r="L87" s="504">
        <f ca="1">'BP4'!$N75</f>
        <v>0</v>
      </c>
      <c r="M87" s="495"/>
      <c r="N87" s="671">
        <f>'BP5'!$K75</f>
        <v>0</v>
      </c>
      <c r="O87" s="504">
        <f ca="1">'BP5'!$N75</f>
        <v>0</v>
      </c>
      <c r="P87" s="495"/>
      <c r="Q87" s="671">
        <f>B87+E87+H87+K87+N87</f>
        <v>0</v>
      </c>
      <c r="R87" s="504">
        <f t="shared" ca="1" si="5"/>
        <v>0</v>
      </c>
      <c r="S87" s="290"/>
      <c r="T87" s="136" t="s">
        <v>225</v>
      </c>
    </row>
    <row r="88" spans="1:20">
      <c r="A88" s="672" t="str">
        <f>IF('Appendix C-Grants.gov Form Info'!J1&gt;0,IF(AND(SUM(Q73:Q84)&gt;0,'Subaward Calculator'!AD46=0),"","     Total NU Direct Costs and Subaward Direct Costs"),"")</f>
        <v/>
      </c>
      <c r="B88" s="673" t="str">
        <f>IF(AND(SUM(Q73:Q84)&gt;0,'Subaward Calculator'!AD46=0),"",'BP1'!$K76)</f>
        <v/>
      </c>
      <c r="C88" s="595"/>
      <c r="D88" s="495"/>
      <c r="E88" s="673" t="str">
        <f>IF(AND(SUM(Q73:Q84)&gt;0,'Subaward Calculator'!AD46=0),"",'BP2'!$K76)</f>
        <v/>
      </c>
      <c r="F88" s="595"/>
      <c r="G88" s="495"/>
      <c r="H88" s="673" t="str">
        <f>IF(AND(SUM(Q73:Q84)&gt;0,'Subaward Calculator'!AD46=0),"",'BP3'!$K76)</f>
        <v/>
      </c>
      <c r="I88" s="595"/>
      <c r="J88" s="495"/>
      <c r="K88" s="673" t="str">
        <f>IF(AND(SUM(Q73:Q84)&gt;0,'Subaward Calculator'!AD46=0),"",'BP4'!$K76)</f>
        <v/>
      </c>
      <c r="L88" s="595"/>
      <c r="M88" s="495"/>
      <c r="N88" s="673" t="str">
        <f>IF(AND(SUM(Q73:Q84)&gt;0,'Subaward Calculator'!AD46=0),"",'BP5'!$K76)</f>
        <v/>
      </c>
      <c r="O88" s="595"/>
      <c r="P88" s="495"/>
      <c r="Q88" s="673" t="str">
        <f>IF('Appendix C-Grants.gov Form Info'!J1&gt;0,IF(AND(SUM(Q73:Q84)&gt;0,'Subaward Calculator'!AD46=0),"",B88+E88+H88+K88+N88),"")</f>
        <v/>
      </c>
      <c r="R88" s="595"/>
      <c r="S88" s="290"/>
      <c r="T88" s="136" t="s">
        <v>225</v>
      </c>
    </row>
    <row r="89" spans="1:20">
      <c r="A89" s="674" t="s">
        <v>101</v>
      </c>
      <c r="B89" s="675">
        <f>'BP1'!$G78</f>
        <v>0</v>
      </c>
      <c r="C89" s="593">
        <f>'BP1'!$G$79</f>
        <v>0</v>
      </c>
      <c r="D89" s="483"/>
      <c r="E89" s="675">
        <f>'BP2'!$G78</f>
        <v>0</v>
      </c>
      <c r="F89" s="593">
        <f ca="1">'BP2'!$G$79</f>
        <v>0</v>
      </c>
      <c r="G89" s="483"/>
      <c r="H89" s="675">
        <f>'BP3'!$G78</f>
        <v>0</v>
      </c>
      <c r="I89" s="593">
        <f ca="1">'BP3'!$G$79</f>
        <v>0</v>
      </c>
      <c r="J89" s="483"/>
      <c r="K89" s="675">
        <f>'BP4'!$G78</f>
        <v>0</v>
      </c>
      <c r="L89" s="593">
        <f ca="1">'BP4'!$G$79</f>
        <v>0</v>
      </c>
      <c r="M89" s="483"/>
      <c r="N89" s="675">
        <f>'BP5'!$G78</f>
        <v>0</v>
      </c>
      <c r="O89" s="593">
        <f ca="1">'BP5'!$G$79</f>
        <v>0</v>
      </c>
      <c r="P89" s="483"/>
      <c r="Q89" s="675">
        <f t="shared" si="4"/>
        <v>0</v>
      </c>
      <c r="R89" s="593">
        <f t="shared" ca="1" si="5"/>
        <v>0</v>
      </c>
      <c r="S89" s="80"/>
      <c r="T89" s="136" t="s">
        <v>225</v>
      </c>
    </row>
    <row r="90" spans="1:20">
      <c r="A90" s="669" t="s">
        <v>297</v>
      </c>
      <c r="B90" s="676">
        <f ca="1">'BP1'!$K79</f>
        <v>0</v>
      </c>
      <c r="C90" s="487">
        <f ca="1">'BP1'!$N79</f>
        <v>0</v>
      </c>
      <c r="D90" s="483"/>
      <c r="E90" s="676">
        <f ca="1">'BP2'!$K79</f>
        <v>0</v>
      </c>
      <c r="F90" s="487">
        <f ca="1">'BP2'!$N79</f>
        <v>0</v>
      </c>
      <c r="G90" s="483"/>
      <c r="H90" s="676">
        <f ca="1">'BP3'!$K79</f>
        <v>0</v>
      </c>
      <c r="I90" s="487">
        <f ca="1">'BP3'!$N79</f>
        <v>0</v>
      </c>
      <c r="J90" s="483"/>
      <c r="K90" s="676">
        <f ca="1">'BP4'!$K79</f>
        <v>0</v>
      </c>
      <c r="L90" s="487">
        <f ca="1">'BP4'!$N79</f>
        <v>0</v>
      </c>
      <c r="M90" s="483"/>
      <c r="N90" s="676">
        <f ca="1">'BP5'!$K79</f>
        <v>0</v>
      </c>
      <c r="O90" s="487">
        <f ca="1">'BP5'!$N79</f>
        <v>0</v>
      </c>
      <c r="P90" s="483"/>
      <c r="Q90" s="676">
        <f t="shared" ca="1" si="4"/>
        <v>0</v>
      </c>
      <c r="R90" s="487">
        <f t="shared" ca="1" si="5"/>
        <v>0</v>
      </c>
      <c r="S90" s="80"/>
      <c r="T90" s="136" t="s">
        <v>225</v>
      </c>
    </row>
    <row r="91" spans="1:20" ht="16.5" thickBot="1">
      <c r="A91" s="670" t="s">
        <v>98</v>
      </c>
      <c r="B91" s="677">
        <f ca="1">'BP1'!$K80</f>
        <v>0</v>
      </c>
      <c r="C91" s="498">
        <f ca="1">'BP1'!$N80</f>
        <v>0</v>
      </c>
      <c r="D91" s="495"/>
      <c r="E91" s="677">
        <f>'BP2'!$K80</f>
        <v>0</v>
      </c>
      <c r="F91" s="498">
        <f ca="1">'BP2'!$N80</f>
        <v>0</v>
      </c>
      <c r="G91" s="495"/>
      <c r="H91" s="677">
        <f>'BP3'!$K80</f>
        <v>0</v>
      </c>
      <c r="I91" s="498">
        <f ca="1">'BP3'!$N80</f>
        <v>0</v>
      </c>
      <c r="J91" s="495"/>
      <c r="K91" s="677">
        <f>'BP4'!$K80</f>
        <v>0</v>
      </c>
      <c r="L91" s="498">
        <f ca="1">'BP4'!$N80</f>
        <v>0</v>
      </c>
      <c r="M91" s="495"/>
      <c r="N91" s="677">
        <f>'BP5'!$K80</f>
        <v>0</v>
      </c>
      <c r="O91" s="498">
        <f ca="1">'BP5'!$N80</f>
        <v>0</v>
      </c>
      <c r="P91" s="495"/>
      <c r="Q91" s="677">
        <f t="shared" ca="1" si="4"/>
        <v>0</v>
      </c>
      <c r="R91" s="498">
        <f t="shared" ca="1" si="5"/>
        <v>0</v>
      </c>
      <c r="S91" s="290"/>
      <c r="T91" s="136" t="s">
        <v>225</v>
      </c>
    </row>
    <row r="92" spans="1:20" ht="16.5" thickBot="1">
      <c r="B92" s="501"/>
      <c r="C92" s="501"/>
      <c r="D92" s="501"/>
      <c r="E92" s="501"/>
      <c r="F92" s="501"/>
      <c r="G92" s="501"/>
      <c r="H92" s="501"/>
      <c r="I92" s="501"/>
      <c r="J92" s="501"/>
      <c r="K92" s="501"/>
      <c r="L92" s="501"/>
      <c r="M92" s="501"/>
      <c r="N92" s="501"/>
      <c r="O92" s="501"/>
      <c r="P92" s="501"/>
      <c r="Q92" s="501"/>
      <c r="R92" s="501"/>
      <c r="T92" s="136" t="s">
        <v>225</v>
      </c>
    </row>
    <row r="93" spans="1:20">
      <c r="A93" s="296" t="s">
        <v>592</v>
      </c>
      <c r="B93" s="505"/>
      <c r="C93" s="506">
        <f>'BP1'!$N87</f>
        <v>0</v>
      </c>
      <c r="D93" s="501"/>
      <c r="E93" s="505"/>
      <c r="F93" s="506">
        <f>'BP2'!$N87</f>
        <v>0</v>
      </c>
      <c r="G93" s="501"/>
      <c r="H93" s="505"/>
      <c r="I93" s="506">
        <f>'BP3'!$N87</f>
        <v>0</v>
      </c>
      <c r="J93" s="501"/>
      <c r="K93" s="505"/>
      <c r="L93" s="506">
        <f>'BP4'!$N87</f>
        <v>0</v>
      </c>
      <c r="M93" s="501"/>
      <c r="N93" s="505"/>
      <c r="O93" s="506">
        <f>'BP5'!$N87</f>
        <v>0</v>
      </c>
      <c r="P93" s="501"/>
      <c r="Q93" s="505"/>
      <c r="R93" s="506">
        <f>'BP1'!P87</f>
        <v>0</v>
      </c>
      <c r="T93" s="136" t="s">
        <v>225</v>
      </c>
    </row>
    <row r="94" spans="1:20">
      <c r="A94" s="296" t="s">
        <v>518</v>
      </c>
      <c r="B94" s="507"/>
      <c r="C94" s="606">
        <f>'BP1'!$N88</f>
        <v>0</v>
      </c>
      <c r="D94" s="501"/>
      <c r="E94" s="507"/>
      <c r="F94" s="606">
        <f>'BP2'!$N88</f>
        <v>0</v>
      </c>
      <c r="G94" s="501"/>
      <c r="H94" s="507"/>
      <c r="I94" s="606">
        <f>'BP3'!$N88</f>
        <v>0</v>
      </c>
      <c r="J94" s="501"/>
      <c r="K94" s="507"/>
      <c r="L94" s="606">
        <f>'BP4'!$N88</f>
        <v>0</v>
      </c>
      <c r="M94" s="501"/>
      <c r="N94" s="507"/>
      <c r="O94" s="606">
        <f>'BP5'!$N88</f>
        <v>0</v>
      </c>
      <c r="P94" s="501"/>
      <c r="Q94" s="507"/>
      <c r="R94" s="606">
        <f>'BP1'!P88</f>
        <v>0</v>
      </c>
      <c r="T94" s="136" t="s">
        <v>225</v>
      </c>
    </row>
    <row r="95" spans="1:20">
      <c r="A95" s="296" t="s">
        <v>596</v>
      </c>
      <c r="B95" s="507"/>
      <c r="C95" s="604">
        <f ca="1">'BP1'!$N89</f>
        <v>0</v>
      </c>
      <c r="D95" s="501"/>
      <c r="E95" s="507"/>
      <c r="F95" s="604">
        <f ca="1">'BP2'!$N89</f>
        <v>0</v>
      </c>
      <c r="G95" s="501"/>
      <c r="H95" s="507"/>
      <c r="I95" s="604">
        <f ca="1">'BP3'!$N89</f>
        <v>0</v>
      </c>
      <c r="J95" s="501"/>
      <c r="K95" s="507"/>
      <c r="L95" s="604">
        <f ca="1">'BP4'!$N89</f>
        <v>0</v>
      </c>
      <c r="M95" s="501"/>
      <c r="N95" s="507"/>
      <c r="O95" s="604">
        <f ca="1">'BP5'!$N89</f>
        <v>0</v>
      </c>
      <c r="P95" s="501"/>
      <c r="Q95" s="507"/>
      <c r="R95" s="604">
        <f ca="1">'BP1'!P89</f>
        <v>0</v>
      </c>
      <c r="T95" s="136" t="s">
        <v>225</v>
      </c>
    </row>
    <row r="96" spans="1:20">
      <c r="A96" s="670" t="s">
        <v>299</v>
      </c>
      <c r="B96" s="507"/>
      <c r="C96" s="678">
        <f ca="1">'BP1'!$N90</f>
        <v>0</v>
      </c>
      <c r="D96" s="501"/>
      <c r="E96" s="507"/>
      <c r="F96" s="678">
        <f ca="1">'BP2'!$N90</f>
        <v>0</v>
      </c>
      <c r="G96" s="501"/>
      <c r="H96" s="507"/>
      <c r="I96" s="678">
        <f ca="1">'BP3'!$N90</f>
        <v>0</v>
      </c>
      <c r="J96" s="501"/>
      <c r="K96" s="507"/>
      <c r="L96" s="678">
        <f ca="1">'BP4'!$N90</f>
        <v>0</v>
      </c>
      <c r="M96" s="501"/>
      <c r="N96" s="507"/>
      <c r="O96" s="678">
        <f ca="1">'BP5'!$N90</f>
        <v>0</v>
      </c>
      <c r="P96" s="501"/>
      <c r="Q96" s="507"/>
      <c r="R96" s="678">
        <f ca="1">'BP1'!P90</f>
        <v>0</v>
      </c>
      <c r="T96" s="136" t="s">
        <v>225</v>
      </c>
    </row>
    <row r="97" spans="1:20">
      <c r="A97" s="670" t="s">
        <v>300</v>
      </c>
      <c r="B97" s="507"/>
      <c r="C97" s="678">
        <f ca="1">'BP1'!$N91</f>
        <v>0</v>
      </c>
      <c r="D97" s="501"/>
      <c r="E97" s="507"/>
      <c r="F97" s="678">
        <f ca="1">'BP2'!$N91</f>
        <v>0</v>
      </c>
      <c r="G97" s="501"/>
      <c r="H97" s="507"/>
      <c r="I97" s="678">
        <f ca="1">'BP3'!$N91</f>
        <v>0</v>
      </c>
      <c r="J97" s="501"/>
      <c r="K97" s="507"/>
      <c r="L97" s="678">
        <f ca="1">'BP4'!$N91</f>
        <v>0</v>
      </c>
      <c r="M97" s="501"/>
      <c r="N97" s="507"/>
      <c r="O97" s="678">
        <f ca="1">'BP5'!$N91</f>
        <v>0</v>
      </c>
      <c r="P97" s="501"/>
      <c r="Q97" s="507"/>
      <c r="R97" s="678">
        <f ca="1">'BP1'!P91</f>
        <v>0</v>
      </c>
      <c r="T97" s="136" t="s">
        <v>225</v>
      </c>
    </row>
    <row r="98" spans="1:20">
      <c r="A98" s="296" t="s">
        <v>519</v>
      </c>
      <c r="B98" s="297"/>
      <c r="C98" s="605">
        <f ca="1">IFERROR(C95/C96,)</f>
        <v>0</v>
      </c>
      <c r="D98" s="430"/>
      <c r="E98" s="431"/>
      <c r="F98" s="605">
        <f ca="1">IFERROR(F95/F96,)</f>
        <v>0</v>
      </c>
      <c r="G98" s="430"/>
      <c r="H98" s="431"/>
      <c r="I98" s="605">
        <f ca="1">IFERROR(I95/I96,)</f>
        <v>0</v>
      </c>
      <c r="J98" s="430"/>
      <c r="K98" s="431"/>
      <c r="L98" s="605">
        <f ca="1">IFERROR(L95/L96,)</f>
        <v>0</v>
      </c>
      <c r="M98" s="430"/>
      <c r="N98" s="431"/>
      <c r="O98" s="605">
        <f ca="1">IFERROR(O95/O96,)</f>
        <v>0</v>
      </c>
      <c r="P98" s="430"/>
      <c r="Q98" s="431"/>
      <c r="R98" s="605">
        <f ca="1">IFERROR(R95/R96,)</f>
        <v>0</v>
      </c>
      <c r="T98" s="136" t="s">
        <v>225</v>
      </c>
    </row>
    <row r="99" spans="1:20" ht="16.5" thickBot="1">
      <c r="A99" s="296" t="s">
        <v>520</v>
      </c>
      <c r="B99" s="298"/>
      <c r="C99" s="432">
        <f ca="1">IFERROR(C95/C97,)</f>
        <v>0</v>
      </c>
      <c r="D99" s="430"/>
      <c r="E99" s="433"/>
      <c r="F99" s="432">
        <f ca="1">IFERROR(F95/F97,)</f>
        <v>0</v>
      </c>
      <c r="G99" s="430"/>
      <c r="H99" s="433"/>
      <c r="I99" s="432">
        <f ca="1">IFERROR(I95/I97,)</f>
        <v>0</v>
      </c>
      <c r="J99" s="430"/>
      <c r="K99" s="433"/>
      <c r="L99" s="432">
        <f ca="1">IFERROR(L95/L97,)</f>
        <v>0</v>
      </c>
      <c r="M99" s="430"/>
      <c r="N99" s="433"/>
      <c r="O99" s="432">
        <f ca="1">IFERROR(O95/O97,)</f>
        <v>0</v>
      </c>
      <c r="P99" s="430"/>
      <c r="Q99" s="433"/>
      <c r="R99" s="432">
        <f ca="1">IFERROR(R95/R97,)</f>
        <v>0</v>
      </c>
      <c r="T99" s="136" t="s">
        <v>225</v>
      </c>
    </row>
    <row r="100" spans="1:20" ht="16.5" thickBot="1">
      <c r="B100" s="734" t="str">
        <f>B5</f>
        <v>Budget Period 1</v>
      </c>
      <c r="C100" s="735"/>
      <c r="E100" s="734" t="str">
        <f>E5</f>
        <v/>
      </c>
      <c r="F100" s="735"/>
      <c r="H100" s="734" t="str">
        <f>H5</f>
        <v/>
      </c>
      <c r="I100" s="735"/>
      <c r="K100" s="734" t="str">
        <f>K5</f>
        <v/>
      </c>
      <c r="L100" s="735"/>
      <c r="N100" s="734" t="str">
        <f>N5</f>
        <v/>
      </c>
      <c r="O100" s="735"/>
      <c r="Q100" s="734" t="str">
        <f>Q5</f>
        <v>Cumulative</v>
      </c>
      <c r="R100" s="735"/>
      <c r="T100" s="136" t="s">
        <v>225</v>
      </c>
    </row>
    <row r="101" spans="1:20">
      <c r="T101" s="136"/>
    </row>
  </sheetData>
  <autoFilter ref="T1:T100" xr:uid="{00000000-0009-0000-0000-000001000000}">
    <filterColumn colId="0">
      <filters>
        <filter val="A) Condensed"/>
      </filters>
    </filterColumn>
  </autoFilter>
  <mergeCells count="361">
    <mergeCell ref="I2:M2"/>
    <mergeCell ref="D2:H2"/>
    <mergeCell ref="A2:C2"/>
    <mergeCell ref="A3:C3"/>
    <mergeCell ref="H3:I3"/>
    <mergeCell ref="B6:C6"/>
    <mergeCell ref="E6:F6"/>
    <mergeCell ref="H6:I6"/>
    <mergeCell ref="K6:L6"/>
    <mergeCell ref="AK53:AK54"/>
    <mergeCell ref="AL53:AL54"/>
    <mergeCell ref="AM53:AM54"/>
    <mergeCell ref="AN53:AN54"/>
    <mergeCell ref="AF55:AH55"/>
    <mergeCell ref="AJ45:AJ46"/>
    <mergeCell ref="AJ47:AJ48"/>
    <mergeCell ref="N6:O6"/>
    <mergeCell ref="Q6:R6"/>
    <mergeCell ref="AF39:AN39"/>
    <mergeCell ref="AF40:AH40"/>
    <mergeCell ref="AF41:AH42"/>
    <mergeCell ref="AI41:AI42"/>
    <mergeCell ref="AJ41:AJ42"/>
    <mergeCell ref="AK41:AK42"/>
    <mergeCell ref="AL41:AL42"/>
    <mergeCell ref="AM41:AM42"/>
    <mergeCell ref="AN41:AN42"/>
    <mergeCell ref="AF30:AH31"/>
    <mergeCell ref="AI30:AI31"/>
    <mergeCell ref="AJ30:AJ31"/>
    <mergeCell ref="AK30:AK31"/>
    <mergeCell ref="AL30:AL31"/>
    <mergeCell ref="AM30:AM31"/>
    <mergeCell ref="AF36:AH37"/>
    <mergeCell ref="AI36:AI37"/>
    <mergeCell ref="AJ36:AJ37"/>
    <mergeCell ref="AK36:AK37"/>
    <mergeCell ref="AL36:AL37"/>
    <mergeCell ref="AM36:AM37"/>
    <mergeCell ref="AN36:AN37"/>
    <mergeCell ref="AF56:AH57"/>
    <mergeCell ref="AI56:AI57"/>
    <mergeCell ref="AJ56:AJ57"/>
    <mergeCell ref="AK56:AK57"/>
    <mergeCell ref="AL56:AL57"/>
    <mergeCell ref="AM56:AM57"/>
    <mergeCell ref="AN56:AN57"/>
    <mergeCell ref="AF43:AH44"/>
    <mergeCell ref="AI43:AI44"/>
    <mergeCell ref="AJ43:AJ44"/>
    <mergeCell ref="AK43:AK44"/>
    <mergeCell ref="AL43:AL44"/>
    <mergeCell ref="AM43:AM44"/>
    <mergeCell ref="AN43:AN44"/>
    <mergeCell ref="AF53:AH54"/>
    <mergeCell ref="AI53:AI54"/>
    <mergeCell ref="AJ53:AJ54"/>
    <mergeCell ref="AN26:AN27"/>
    <mergeCell ref="AF28:AH29"/>
    <mergeCell ref="AI28:AI29"/>
    <mergeCell ref="AJ28:AJ29"/>
    <mergeCell ref="AK28:AK29"/>
    <mergeCell ref="AL28:AL29"/>
    <mergeCell ref="AM28:AM29"/>
    <mergeCell ref="AN28:AN29"/>
    <mergeCell ref="AJ34:AJ35"/>
    <mergeCell ref="AK34:AK35"/>
    <mergeCell ref="AL34:AL35"/>
    <mergeCell ref="AM34:AM35"/>
    <mergeCell ref="AN34:AN35"/>
    <mergeCell ref="AN30:AN31"/>
    <mergeCell ref="AF32:AH33"/>
    <mergeCell ref="AI32:AI33"/>
    <mergeCell ref="AM32:AM33"/>
    <mergeCell ref="AN32:AN33"/>
    <mergeCell ref="AF34:AH35"/>
    <mergeCell ref="AI34:AI35"/>
    <mergeCell ref="AJ32:AJ33"/>
    <mergeCell ref="AK32:AK33"/>
    <mergeCell ref="AL32:AL33"/>
    <mergeCell ref="AJ22:AJ23"/>
    <mergeCell ref="AK22:AK23"/>
    <mergeCell ref="AL22:AL23"/>
    <mergeCell ref="AM22:AM23"/>
    <mergeCell ref="AF26:AH27"/>
    <mergeCell ref="AI26:AI27"/>
    <mergeCell ref="AJ26:AJ27"/>
    <mergeCell ref="AK26:AK27"/>
    <mergeCell ref="AL26:AL27"/>
    <mergeCell ref="AM26:AM27"/>
    <mergeCell ref="AN22:AN23"/>
    <mergeCell ref="AF24:AH25"/>
    <mergeCell ref="AI24:AI25"/>
    <mergeCell ref="AJ24:AJ25"/>
    <mergeCell ref="AK24:AK25"/>
    <mergeCell ref="AL24:AL25"/>
    <mergeCell ref="AM24:AM25"/>
    <mergeCell ref="AN24:AN25"/>
    <mergeCell ref="AF18:AH19"/>
    <mergeCell ref="AI18:AI19"/>
    <mergeCell ref="AJ18:AJ19"/>
    <mergeCell ref="AK18:AK19"/>
    <mergeCell ref="AL18:AL19"/>
    <mergeCell ref="AM18:AM19"/>
    <mergeCell ref="AN18:AN19"/>
    <mergeCell ref="AF20:AH21"/>
    <mergeCell ref="AI20:AI21"/>
    <mergeCell ref="AJ20:AJ21"/>
    <mergeCell ref="AK20:AK21"/>
    <mergeCell ref="AL20:AL21"/>
    <mergeCell ref="AM20:AM21"/>
    <mergeCell ref="AN20:AN21"/>
    <mergeCell ref="AF22:AH23"/>
    <mergeCell ref="AI22:AI23"/>
    <mergeCell ref="AF14:AH15"/>
    <mergeCell ref="AI14:AI15"/>
    <mergeCell ref="AJ14:AJ15"/>
    <mergeCell ref="AK14:AK15"/>
    <mergeCell ref="AL14:AL15"/>
    <mergeCell ref="AM14:AM15"/>
    <mergeCell ref="AN14:AN15"/>
    <mergeCell ref="AF16:AH17"/>
    <mergeCell ref="AI16:AI17"/>
    <mergeCell ref="AJ16:AJ17"/>
    <mergeCell ref="AK16:AK17"/>
    <mergeCell ref="AL16:AL17"/>
    <mergeCell ref="AM16:AM17"/>
    <mergeCell ref="AN16:AN17"/>
    <mergeCell ref="AI10:AI11"/>
    <mergeCell ref="AJ10:AJ11"/>
    <mergeCell ref="AK10:AK11"/>
    <mergeCell ref="AL10:AL11"/>
    <mergeCell ref="AM10:AM11"/>
    <mergeCell ref="AN10:AN11"/>
    <mergeCell ref="AF12:AH13"/>
    <mergeCell ref="AI12:AI13"/>
    <mergeCell ref="AJ12:AJ13"/>
    <mergeCell ref="AK12:AK13"/>
    <mergeCell ref="AL12:AL13"/>
    <mergeCell ref="AM12:AM13"/>
    <mergeCell ref="AN12:AN13"/>
    <mergeCell ref="AF6:AN6"/>
    <mergeCell ref="AF7:AH7"/>
    <mergeCell ref="AF8:AH9"/>
    <mergeCell ref="AI8:AI9"/>
    <mergeCell ref="AJ8:AJ9"/>
    <mergeCell ref="AK8:AK9"/>
    <mergeCell ref="AL8:AL9"/>
    <mergeCell ref="AM8:AM9"/>
    <mergeCell ref="AN8:AN9"/>
    <mergeCell ref="V7:X7"/>
    <mergeCell ref="V8:X9"/>
    <mergeCell ref="Y8:Y9"/>
    <mergeCell ref="Z8:Z9"/>
    <mergeCell ref="AA8:AA9"/>
    <mergeCell ref="AB8:AB9"/>
    <mergeCell ref="AC8:AC9"/>
    <mergeCell ref="AC41:AC42"/>
    <mergeCell ref="A1:R1"/>
    <mergeCell ref="N2:R2"/>
    <mergeCell ref="A4:R4"/>
    <mergeCell ref="V1:AN3"/>
    <mergeCell ref="B5:C5"/>
    <mergeCell ref="E5:F5"/>
    <mergeCell ref="H5:I5"/>
    <mergeCell ref="K5:L5"/>
    <mergeCell ref="N5:O5"/>
    <mergeCell ref="Q5:R5"/>
    <mergeCell ref="V6:AD6"/>
    <mergeCell ref="AF10:AH11"/>
    <mergeCell ref="AD8:AD9"/>
    <mergeCell ref="AD10:AD11"/>
    <mergeCell ref="AD12:AD13"/>
    <mergeCell ref="V14:X15"/>
    <mergeCell ref="V10:X11"/>
    <mergeCell ref="Y10:Y11"/>
    <mergeCell ref="Z10:Z11"/>
    <mergeCell ref="AA10:AA11"/>
    <mergeCell ref="AB10:AB11"/>
    <mergeCell ref="AC10:AC11"/>
    <mergeCell ref="Z14:Z15"/>
    <mergeCell ref="AA14:AA15"/>
    <mergeCell ref="AB14:AB15"/>
    <mergeCell ref="AC14:AC15"/>
    <mergeCell ref="Y14:Y15"/>
    <mergeCell ref="AC24:AC25"/>
    <mergeCell ref="V20:X21"/>
    <mergeCell ref="Y20:Y21"/>
    <mergeCell ref="Z20:Z21"/>
    <mergeCell ref="AC20:AC21"/>
    <mergeCell ref="AC30:AC31"/>
    <mergeCell ref="AB20:AB21"/>
    <mergeCell ref="Z30:Z31"/>
    <mergeCell ref="AA30:AA31"/>
    <mergeCell ref="AB30:AB31"/>
    <mergeCell ref="AA28:AA29"/>
    <mergeCell ref="AB28:AB29"/>
    <mergeCell ref="AC28:AC29"/>
    <mergeCell ref="V24:X25"/>
    <mergeCell ref="Y24:Y25"/>
    <mergeCell ref="B100:C100"/>
    <mergeCell ref="E100:F100"/>
    <mergeCell ref="H100:I100"/>
    <mergeCell ref="K100:L100"/>
    <mergeCell ref="N100:O100"/>
    <mergeCell ref="Q100:R100"/>
    <mergeCell ref="Z24:Z25"/>
    <mergeCell ref="AA24:AA25"/>
    <mergeCell ref="AB24:AB25"/>
    <mergeCell ref="V43:X44"/>
    <mergeCell ref="Y43:Y44"/>
    <mergeCell ref="Z43:Z44"/>
    <mergeCell ref="AA43:AA44"/>
    <mergeCell ref="AB43:AB44"/>
    <mergeCell ref="AB41:AB42"/>
    <mergeCell ref="AA41:AA42"/>
    <mergeCell ref="V39:AD39"/>
    <mergeCell ref="AD28:AD29"/>
    <mergeCell ref="V30:X31"/>
    <mergeCell ref="Y30:Y31"/>
    <mergeCell ref="AD32:AD33"/>
    <mergeCell ref="V34:X35"/>
    <mergeCell ref="Y34:Y35"/>
    <mergeCell ref="Z34:Z35"/>
    <mergeCell ref="AD14:AD15"/>
    <mergeCell ref="V12:X13"/>
    <mergeCell ref="Y12:Y13"/>
    <mergeCell ref="Z12:Z13"/>
    <mergeCell ref="AA12:AA13"/>
    <mergeCell ref="AB12:AB13"/>
    <mergeCell ref="AC12:AC13"/>
    <mergeCell ref="AC22:AC23"/>
    <mergeCell ref="AD22:AD23"/>
    <mergeCell ref="AD16:AD17"/>
    <mergeCell ref="V18:X19"/>
    <mergeCell ref="Y18:Y19"/>
    <mergeCell ref="Z18:Z19"/>
    <mergeCell ref="AA18:AA19"/>
    <mergeCell ref="AB18:AB19"/>
    <mergeCell ref="AC18:AC19"/>
    <mergeCell ref="AD18:AD19"/>
    <mergeCell ref="V16:X17"/>
    <mergeCell ref="Y16:Y17"/>
    <mergeCell ref="Z16:Z17"/>
    <mergeCell ref="AA16:AA17"/>
    <mergeCell ref="AB16:AB17"/>
    <mergeCell ref="AC16:AC17"/>
    <mergeCell ref="AD34:AD35"/>
    <mergeCell ref="V36:X37"/>
    <mergeCell ref="Y36:Y37"/>
    <mergeCell ref="Z36:Z37"/>
    <mergeCell ref="AA36:AA37"/>
    <mergeCell ref="AB36:AB37"/>
    <mergeCell ref="AD36:AD37"/>
    <mergeCell ref="AA20:AA21"/>
    <mergeCell ref="AD20:AD21"/>
    <mergeCell ref="V22:X23"/>
    <mergeCell ref="Y22:Y23"/>
    <mergeCell ref="Z22:Z23"/>
    <mergeCell ref="AA22:AA23"/>
    <mergeCell ref="AB22:AB23"/>
    <mergeCell ref="AD30:AD31"/>
    <mergeCell ref="AD24:AD25"/>
    <mergeCell ref="V26:X27"/>
    <mergeCell ref="Y26:Y27"/>
    <mergeCell ref="Z26:Z27"/>
    <mergeCell ref="AA26:AA27"/>
    <mergeCell ref="AB26:AB27"/>
    <mergeCell ref="AC26:AC27"/>
    <mergeCell ref="AD26:AD27"/>
    <mergeCell ref="V28:X29"/>
    <mergeCell ref="V32:X33"/>
    <mergeCell ref="Y32:Y33"/>
    <mergeCell ref="Z32:Z33"/>
    <mergeCell ref="AA32:AA33"/>
    <mergeCell ref="AB32:AB33"/>
    <mergeCell ref="AC32:AC33"/>
    <mergeCell ref="N3:R3"/>
    <mergeCell ref="A5:A7"/>
    <mergeCell ref="V56:X57"/>
    <mergeCell ref="Y56:Y57"/>
    <mergeCell ref="Z56:Z57"/>
    <mergeCell ref="AA56:AA57"/>
    <mergeCell ref="AB56:AB57"/>
    <mergeCell ref="AC56:AC57"/>
    <mergeCell ref="AC36:AC37"/>
    <mergeCell ref="V40:X40"/>
    <mergeCell ref="V41:X42"/>
    <mergeCell ref="Y41:Y42"/>
    <mergeCell ref="Z41:Z42"/>
    <mergeCell ref="AA34:AA35"/>
    <mergeCell ref="AB34:AB35"/>
    <mergeCell ref="AC34:AC35"/>
    <mergeCell ref="Y28:Y29"/>
    <mergeCell ref="Z28:Z29"/>
    <mergeCell ref="AD56:AD57"/>
    <mergeCell ref="AD43:AD44"/>
    <mergeCell ref="V53:X54"/>
    <mergeCell ref="Y53:Y54"/>
    <mergeCell ref="Z53:Z54"/>
    <mergeCell ref="AA53:AA54"/>
    <mergeCell ref="AB53:AB54"/>
    <mergeCell ref="AC53:AC54"/>
    <mergeCell ref="AD53:AD54"/>
    <mergeCell ref="AC47:AC48"/>
    <mergeCell ref="AC49:AC50"/>
    <mergeCell ref="AC51:AC52"/>
    <mergeCell ref="AD45:AD46"/>
    <mergeCell ref="AD47:AD48"/>
    <mergeCell ref="AD49:AD50"/>
    <mergeCell ref="AD51:AD52"/>
    <mergeCell ref="V55:X55"/>
    <mergeCell ref="AC43:AC44"/>
    <mergeCell ref="V45:X46"/>
    <mergeCell ref="V47:X48"/>
    <mergeCell ref="AD41:AD42"/>
    <mergeCell ref="V49:X50"/>
    <mergeCell ref="V51:X52"/>
    <mergeCell ref="AF45:AH46"/>
    <mergeCell ref="AF47:AH48"/>
    <mergeCell ref="AF49:AH50"/>
    <mergeCell ref="AF51:AH52"/>
    <mergeCell ref="Y45:Y46"/>
    <mergeCell ref="Y47:Y48"/>
    <mergeCell ref="Y49:Y50"/>
    <mergeCell ref="Y51:Y52"/>
    <mergeCell ref="Z45:Z46"/>
    <mergeCell ref="Z47:Z48"/>
    <mergeCell ref="Z49:Z50"/>
    <mergeCell ref="Z51:Z52"/>
    <mergeCell ref="AA45:AA46"/>
    <mergeCell ref="AA47:AA48"/>
    <mergeCell ref="AA49:AA50"/>
    <mergeCell ref="AA51:AA52"/>
    <mergeCell ref="AB45:AB46"/>
    <mergeCell ref="AB47:AB48"/>
    <mergeCell ref="AB49:AB50"/>
    <mergeCell ref="AB51:AB52"/>
    <mergeCell ref="AC45:AC46"/>
    <mergeCell ref="AI45:AI46"/>
    <mergeCell ref="AI47:AI48"/>
    <mergeCell ref="AI49:AI50"/>
    <mergeCell ref="AI51:AI52"/>
    <mergeCell ref="AJ49:AJ50"/>
    <mergeCell ref="AJ51:AJ52"/>
    <mergeCell ref="AK45:AK46"/>
    <mergeCell ref="AL45:AL46"/>
    <mergeCell ref="AM45:AM46"/>
    <mergeCell ref="AK51:AK52"/>
    <mergeCell ref="AL51:AL52"/>
    <mergeCell ref="AM51:AM52"/>
    <mergeCell ref="AN51:AN52"/>
    <mergeCell ref="AN45:AN46"/>
    <mergeCell ref="AK47:AK48"/>
    <mergeCell ref="AL47:AL48"/>
    <mergeCell ref="AM47:AM48"/>
    <mergeCell ref="AN47:AN48"/>
    <mergeCell ref="AK49:AK50"/>
    <mergeCell ref="AL49:AL50"/>
    <mergeCell ref="AM49:AM50"/>
    <mergeCell ref="AN49:AN50"/>
  </mergeCells>
  <printOptions horizontalCentered="1" verticalCentered="1"/>
  <pageMargins left="0.25" right="0.25" top="0.25" bottom="0.25" header="0.25" footer="0.25"/>
  <pageSetup scale="62" orientation="landscape" r:id="rId1"/>
  <headerFooter alignWithMargins="0"/>
  <ignoredErrors>
    <ignoredError sqref="A11:A24 A25:A36 Q88"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filterMode="1">
    <tabColor theme="4" tint="0.59999389629810485"/>
    <pageSetUpPr fitToPage="1"/>
  </sheetPr>
  <dimension ref="A1:XFD111"/>
  <sheetViews>
    <sheetView showGridLines="0" showZeros="0" tabSelected="1" zoomScaleNormal="100" zoomScaleSheetLayoutView="85" workbookViewId="0">
      <selection sqref="A1:J4"/>
    </sheetView>
  </sheetViews>
  <sheetFormatPr defaultColWidth="10.7109375" defaultRowHeight="12.75"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8" width="6.85546875" customWidth="1"/>
    <col min="9" max="9" width="6.85546875" style="6" customWidth="1"/>
    <col min="10" max="10" width="6.85546875" style="137" customWidth="1"/>
    <col min="11" max="11" width="12.140625" style="6" customWidth="1"/>
    <col min="12" max="12" width="12.140625" style="97" customWidth="1"/>
    <col min="13" max="13" width="5.85546875" style="97" customWidth="1" outlineLevel="1"/>
    <col min="14" max="14" width="12.140625" style="6" customWidth="1" outlineLevel="1"/>
    <col min="15" max="15" width="12.140625" style="97" customWidth="1" outlineLevel="1"/>
    <col min="16" max="16" width="14.42578125" style="97" customWidth="1"/>
    <col min="17" max="18" width="28.5703125" style="97" customWidth="1"/>
    <col min="19" max="19" width="14.42578125" style="97" customWidth="1"/>
    <col min="20" max="20" width="54.5703125" style="7" hidden="1" customWidth="1"/>
    <col min="21" max="21" width="35.5703125" style="4" bestFit="1" customWidth="1"/>
    <col min="22" max="22" width="14.7109375" style="1" bestFit="1" customWidth="1"/>
    <col min="23" max="16384" width="10.7109375" style="1"/>
  </cols>
  <sheetData>
    <row r="1" spans="1:22" ht="14.25" customHeight="1" thickBot="1">
      <c r="A1" s="816" t="s">
        <v>515</v>
      </c>
      <c r="B1" s="817"/>
      <c r="C1" s="817"/>
      <c r="D1" s="817"/>
      <c r="E1" s="817"/>
      <c r="F1" s="817"/>
      <c r="G1" s="817"/>
      <c r="H1" s="817"/>
      <c r="I1" s="817"/>
      <c r="J1" s="818"/>
      <c r="K1" s="822" t="s">
        <v>231</v>
      </c>
      <c r="L1" s="823"/>
      <c r="M1" s="795"/>
      <c r="N1" s="796"/>
      <c r="O1" s="796"/>
      <c r="P1" s="905" t="s">
        <v>235</v>
      </c>
      <c r="Q1" s="906"/>
      <c r="R1" s="906"/>
      <c r="S1" s="906"/>
      <c r="T1" s="546"/>
      <c r="U1" s="139" t="s">
        <v>194</v>
      </c>
      <c r="V1" s="668"/>
    </row>
    <row r="2" spans="1:22" ht="14.25" customHeight="1">
      <c r="A2" s="819"/>
      <c r="B2" s="820"/>
      <c r="C2" s="820"/>
      <c r="D2" s="820"/>
      <c r="E2" s="820"/>
      <c r="F2" s="820"/>
      <c r="G2" s="820"/>
      <c r="H2" s="820"/>
      <c r="I2" s="820"/>
      <c r="J2" s="820"/>
      <c r="K2" s="566" t="s">
        <v>290</v>
      </c>
      <c r="L2" s="565" t="s">
        <v>423</v>
      </c>
      <c r="M2" s="796"/>
      <c r="N2" s="796"/>
      <c r="O2" s="796"/>
      <c r="P2" s="907"/>
      <c r="Q2" s="908"/>
      <c r="R2" s="908"/>
      <c r="S2" s="908"/>
      <c r="T2" s="547"/>
      <c r="U2" s="136" t="s">
        <v>225</v>
      </c>
    </row>
    <row r="3" spans="1:22" ht="14.25" customHeight="1">
      <c r="A3" s="819"/>
      <c r="B3" s="820"/>
      <c r="C3" s="820"/>
      <c r="D3" s="820"/>
      <c r="E3" s="820"/>
      <c r="F3" s="820"/>
      <c r="G3" s="820"/>
      <c r="H3" s="820"/>
      <c r="I3" s="820"/>
      <c r="J3" s="820"/>
      <c r="K3" s="807" t="s">
        <v>516</v>
      </c>
      <c r="L3" s="808"/>
      <c r="M3" s="796"/>
      <c r="N3" s="796"/>
      <c r="O3" s="796"/>
      <c r="P3" s="909" t="s">
        <v>923</v>
      </c>
      <c r="Q3" s="910"/>
      <c r="R3" s="910"/>
      <c r="S3" s="910"/>
      <c r="T3" s="911"/>
      <c r="U3" s="136" t="s">
        <v>225</v>
      </c>
    </row>
    <row r="4" spans="1:22" ht="14.25" customHeight="1">
      <c r="A4" s="819"/>
      <c r="B4" s="820"/>
      <c r="C4" s="820"/>
      <c r="D4" s="820"/>
      <c r="E4" s="820"/>
      <c r="F4" s="820"/>
      <c r="G4" s="820"/>
      <c r="H4" s="820"/>
      <c r="I4" s="820"/>
      <c r="J4" s="821"/>
      <c r="K4" s="824" t="s">
        <v>452</v>
      </c>
      <c r="L4" s="825"/>
      <c r="M4" s="796"/>
      <c r="N4" s="796"/>
      <c r="O4" s="796"/>
      <c r="P4" s="912"/>
      <c r="Q4" s="910"/>
      <c r="R4" s="910"/>
      <c r="S4" s="910"/>
      <c r="T4" s="911"/>
      <c r="U4" s="136" t="s">
        <v>225</v>
      </c>
    </row>
    <row r="5" spans="1:22" ht="14.25" customHeight="1">
      <c r="A5" s="813">
        <v>1</v>
      </c>
      <c r="B5" s="814"/>
      <c r="C5" s="814"/>
      <c r="D5" s="814"/>
      <c r="E5" s="814"/>
      <c r="F5" s="814"/>
      <c r="G5" s="814"/>
      <c r="H5" s="814"/>
      <c r="I5" s="814"/>
      <c r="J5" s="815"/>
      <c r="K5" s="826">
        <v>1</v>
      </c>
      <c r="L5" s="827"/>
      <c r="M5" s="796"/>
      <c r="N5" s="796"/>
      <c r="O5" s="796"/>
      <c r="P5" s="912"/>
      <c r="Q5" s="910"/>
      <c r="R5" s="910"/>
      <c r="S5" s="910"/>
      <c r="T5" s="911"/>
      <c r="U5" s="136" t="s">
        <v>225</v>
      </c>
    </row>
    <row r="6" spans="1:22" ht="13.5" customHeight="1">
      <c r="A6" s="813"/>
      <c r="B6" s="814"/>
      <c r="C6" s="814"/>
      <c r="D6" s="814"/>
      <c r="E6" s="814"/>
      <c r="F6" s="814"/>
      <c r="G6" s="814"/>
      <c r="H6" s="814"/>
      <c r="I6" s="814"/>
      <c r="J6" s="815"/>
      <c r="K6" s="828" t="s">
        <v>100</v>
      </c>
      <c r="L6" s="829"/>
      <c r="M6" s="797"/>
      <c r="N6" s="796"/>
      <c r="O6" s="796"/>
      <c r="P6" s="912"/>
      <c r="Q6" s="910"/>
      <c r="R6" s="910"/>
      <c r="S6" s="910"/>
      <c r="T6" s="911"/>
      <c r="U6" s="136" t="s">
        <v>225</v>
      </c>
    </row>
    <row r="7" spans="1:22" ht="13.5" customHeight="1">
      <c r="A7" s="660" t="s">
        <v>875</v>
      </c>
      <c r="B7" s="661"/>
      <c r="C7" s="663"/>
      <c r="D7" s="664">
        <v>42340</v>
      </c>
      <c r="E7" s="661" t="s">
        <v>877</v>
      </c>
      <c r="F7" s="661"/>
      <c r="G7" s="661"/>
      <c r="H7" s="661"/>
      <c r="I7" s="661"/>
      <c r="J7" s="662"/>
      <c r="K7" s="805">
        <v>0.03</v>
      </c>
      <c r="L7" s="806"/>
      <c r="M7" s="797"/>
      <c r="N7" s="796"/>
      <c r="O7" s="796"/>
      <c r="P7" s="912"/>
      <c r="Q7" s="910"/>
      <c r="R7" s="910"/>
      <c r="S7" s="910"/>
      <c r="T7" s="911"/>
      <c r="U7" s="136" t="s">
        <v>225</v>
      </c>
    </row>
    <row r="8" spans="1:22" s="2" customFormat="1" ht="14.25" customHeight="1">
      <c r="A8" s="203" t="s">
        <v>206</v>
      </c>
      <c r="B8" s="204"/>
      <c r="C8" s="204"/>
      <c r="D8" s="205"/>
      <c r="E8" s="231" t="s">
        <v>469</v>
      </c>
      <c r="F8" s="205"/>
      <c r="G8" s="205"/>
      <c r="H8" s="838" t="s">
        <v>521</v>
      </c>
      <c r="I8" s="838"/>
      <c r="J8" s="839"/>
      <c r="K8" s="830">
        <v>42247</v>
      </c>
      <c r="L8" s="831"/>
      <c r="M8" s="797"/>
      <c r="N8" s="796"/>
      <c r="O8" s="796"/>
      <c r="P8" s="912"/>
      <c r="Q8" s="910"/>
      <c r="R8" s="910"/>
      <c r="S8" s="910"/>
      <c r="T8" s="911"/>
      <c r="U8" s="136" t="s">
        <v>225</v>
      </c>
    </row>
    <row r="9" spans="1:22" s="2" customFormat="1" ht="14.25" customHeight="1">
      <c r="A9" s="809" t="s">
        <v>1</v>
      </c>
      <c r="B9" s="810"/>
      <c r="C9" s="810"/>
      <c r="D9" s="810"/>
      <c r="E9" s="804"/>
      <c r="F9" s="804"/>
      <c r="G9" s="804"/>
      <c r="H9" s="840"/>
      <c r="I9" s="840"/>
      <c r="J9" s="841"/>
      <c r="K9" s="832"/>
      <c r="L9" s="833"/>
      <c r="M9" s="798"/>
      <c r="N9" s="799"/>
      <c r="O9" s="799"/>
      <c r="P9" s="912"/>
      <c r="Q9" s="910"/>
      <c r="R9" s="910"/>
      <c r="S9" s="910"/>
      <c r="T9" s="911"/>
      <c r="U9" s="136" t="s">
        <v>225</v>
      </c>
    </row>
    <row r="10" spans="1:22" s="2" customFormat="1" ht="14.25" customHeight="1">
      <c r="A10" s="207" t="s">
        <v>211</v>
      </c>
      <c r="B10" s="179"/>
      <c r="C10" s="179"/>
      <c r="D10" s="233"/>
      <c r="E10" s="240" t="s">
        <v>470</v>
      </c>
      <c r="F10" s="205"/>
      <c r="G10" s="205"/>
      <c r="H10" s="838" t="s">
        <v>522</v>
      </c>
      <c r="I10" s="838"/>
      <c r="J10" s="839"/>
      <c r="K10" s="834">
        <f>EDATE(K8,12)-1</f>
        <v>42612</v>
      </c>
      <c r="L10" s="835"/>
      <c r="M10" s="847" t="s">
        <v>569</v>
      </c>
      <c r="N10" s="848"/>
      <c r="O10" s="848"/>
      <c r="P10" s="912"/>
      <c r="Q10" s="910"/>
      <c r="R10" s="910"/>
      <c r="S10" s="910"/>
      <c r="T10" s="911"/>
      <c r="U10" s="136" t="s">
        <v>225</v>
      </c>
    </row>
    <row r="11" spans="1:22" s="2" customFormat="1" ht="14.25" customHeight="1">
      <c r="A11" s="811" t="str">
        <f>B15</f>
        <v>Professor McCormick</v>
      </c>
      <c r="B11" s="812"/>
      <c r="C11" s="812"/>
      <c r="D11" s="812"/>
      <c r="E11" s="804"/>
      <c r="F11" s="804"/>
      <c r="G11" s="804"/>
      <c r="H11" s="840"/>
      <c r="I11" s="840"/>
      <c r="J11" s="841"/>
      <c r="K11" s="836"/>
      <c r="L11" s="837"/>
      <c r="M11" s="849"/>
      <c r="N11" s="850"/>
      <c r="O11" s="850"/>
      <c r="P11" s="912"/>
      <c r="Q11" s="910"/>
      <c r="R11" s="910"/>
      <c r="S11" s="910"/>
      <c r="T11" s="911"/>
      <c r="U11" s="136" t="s">
        <v>225</v>
      </c>
    </row>
    <row r="12" spans="1:22" s="2" customFormat="1" ht="14.25" customHeight="1">
      <c r="A12" s="203" t="s">
        <v>208</v>
      </c>
      <c r="B12" s="393"/>
      <c r="C12" s="187"/>
      <c r="D12" s="181"/>
      <c r="E12" s="181"/>
      <c r="F12" s="394"/>
      <c r="G12" s="789" t="s">
        <v>915</v>
      </c>
      <c r="H12" s="792" t="s">
        <v>523</v>
      </c>
      <c r="I12" s="793"/>
      <c r="J12" s="794"/>
      <c r="K12" s="800" t="s">
        <v>35</v>
      </c>
      <c r="L12" s="801"/>
      <c r="M12" s="456" t="s">
        <v>292</v>
      </c>
      <c r="N12" s="800" t="s">
        <v>35</v>
      </c>
      <c r="O12" s="845"/>
      <c r="P12" s="912"/>
      <c r="Q12" s="910"/>
      <c r="R12" s="910"/>
      <c r="S12" s="910"/>
      <c r="T12" s="911"/>
      <c r="U12" s="136" t="s">
        <v>225</v>
      </c>
    </row>
    <row r="13" spans="1:22" s="2" customFormat="1" ht="14.25" customHeight="1">
      <c r="A13" s="165"/>
      <c r="B13" s="179"/>
      <c r="C13" s="179"/>
      <c r="D13" s="180"/>
      <c r="E13" s="180"/>
      <c r="F13" s="395"/>
      <c r="G13" s="790"/>
      <c r="H13" s="890" t="s">
        <v>291</v>
      </c>
      <c r="I13" s="891"/>
      <c r="J13" s="892"/>
      <c r="K13" s="802"/>
      <c r="L13" s="803"/>
      <c r="M13" s="455" t="s">
        <v>293</v>
      </c>
      <c r="N13" s="802"/>
      <c r="O13" s="846"/>
      <c r="P13" s="913"/>
      <c r="Q13" s="914"/>
      <c r="R13" s="914"/>
      <c r="S13" s="914"/>
      <c r="T13" s="915"/>
      <c r="U13" s="136" t="s">
        <v>225</v>
      </c>
    </row>
    <row r="14" spans="1:22" s="2" customFormat="1" ht="14.25" customHeight="1">
      <c r="A14" s="176"/>
      <c r="B14" s="177"/>
      <c r="C14" s="177"/>
      <c r="D14" s="175"/>
      <c r="E14" s="846" t="s">
        <v>330</v>
      </c>
      <c r="F14" s="803"/>
      <c r="G14" s="791"/>
      <c r="H14" s="197" t="s">
        <v>2</v>
      </c>
      <c r="I14" s="198" t="s">
        <v>204</v>
      </c>
      <c r="J14" s="198" t="s">
        <v>205</v>
      </c>
      <c r="K14" s="194" t="s">
        <v>33</v>
      </c>
      <c r="L14" s="195" t="s">
        <v>34</v>
      </c>
      <c r="M14" s="278" t="s">
        <v>294</v>
      </c>
      <c r="N14" s="194" t="s">
        <v>33</v>
      </c>
      <c r="O14" s="195" t="s">
        <v>34</v>
      </c>
      <c r="P14" s="219" t="s">
        <v>111</v>
      </c>
      <c r="Q14" s="902" t="s">
        <v>155</v>
      </c>
      <c r="R14" s="903"/>
      <c r="S14" s="219" t="s">
        <v>870</v>
      </c>
      <c r="T14" s="230" t="s">
        <v>236</v>
      </c>
      <c r="U14" s="136" t="s">
        <v>225</v>
      </c>
    </row>
    <row r="15" spans="1:22" s="5" customFormat="1" ht="14.25" customHeight="1">
      <c r="A15" s="398">
        <v>1</v>
      </c>
      <c r="B15" s="851" t="s">
        <v>914</v>
      </c>
      <c r="C15" s="851"/>
      <c r="D15" s="851"/>
      <c r="E15" s="399" t="str">
        <f>IF(AND(H15&gt;0,I15+J15&gt;0),"Wrong",IF(AND(G15=10,I15+J15&gt;0),"Wrong",IF(AND(G15=11,I15+J15&gt;0),"Wrong",IF(AND(G15=12,I15+J15&gt;0),"Wrong",IF(AND(G15=9,H15&gt;0),"Wrong",IF(H15&gt;12,"Wrong",IF(I15&gt;9,"Wrong",IF(J15&gt;3,"Wrong",IF(I15+J15&gt;12,"Wrong",IF(H15&gt;G15,"Wrong","OK"))))))))))</f>
        <v>OK</v>
      </c>
      <c r="F15" s="392" t="str">
        <f>IF(OR(E15="Wrong",SUM(H15:J15)+M15&gt;G15),"Warning!","")</f>
        <v/>
      </c>
      <c r="G15" s="270">
        <v>9</v>
      </c>
      <c r="H15" s="220"/>
      <c r="I15" s="221">
        <v>0</v>
      </c>
      <c r="J15" s="221"/>
      <c r="K15" s="162">
        <f>IFERROR(IF(S15&gt;0,S15/G15*(SUM(H15:J15)),P15/G15*(SUM(H15:J15))),)</f>
        <v>0</v>
      </c>
      <c r="L15" s="163">
        <f>K15*LOOKUP($K$8,Lists!$A$2:$A$812,IF($K$2="Non-Federal",Lists!$D$2:$D$812,Lists!$C$2:$C$812))</f>
        <v>0</v>
      </c>
      <c r="M15" s="276"/>
      <c r="N15" s="162">
        <f>IFERROR(IF(S15&gt;0,S15/G15*(SUM(M15)),P15/G15*(SUM(M15))),)</f>
        <v>0</v>
      </c>
      <c r="O15" s="163">
        <f>N15*LOOKUP($K$8,Lists!$A$2:$A$812,IF($K$2="Non-Federal",Lists!$D$2:$D$812,Lists!$C$2:$C$812))</f>
        <v>0</v>
      </c>
      <c r="P15" s="259">
        <v>0</v>
      </c>
      <c r="Q15" s="784"/>
      <c r="R15" s="785"/>
      <c r="S15" s="259">
        <f>IF(COUNTIF(NIH,$E$9)&gt;0,(IF(G15&gt;0,IF((P15/G15)*12&gt;NIHSalCap,(NIHSalCap/12)*G15,),)),)</f>
        <v>0</v>
      </c>
      <c r="T15" s="232" t="s">
        <v>237</v>
      </c>
      <c r="U15" s="136" t="s">
        <v>225</v>
      </c>
    </row>
    <row r="16" spans="1:22" s="5" customFormat="1" ht="14.25" customHeight="1">
      <c r="A16" s="208">
        <v>2</v>
      </c>
      <c r="B16" s="781"/>
      <c r="C16" s="781"/>
      <c r="D16" s="781"/>
      <c r="E16" s="399" t="str">
        <f t="shared" ref="E16:E29" si="0">IF(AND(H16&gt;0,I16+J16&gt;0),"Wrong",IF(AND(G16=10,I16+J16&gt;0),"Wrong",IF(AND(G16=11,I16+J16&gt;0),"Wrong",IF(AND(G16=12,I16+J16&gt;0),"Wrong",IF(AND(G16=9,H16&gt;0),"Wrong",IF(H16&gt;12,"Wrong",IF(I16&gt;9,"Wrong",IF(J16&gt;3,"Wrong",IF(I16+J16&gt;12,"Wrong",IF(H16&gt;G16,"Wrong","OK"))))))))))</f>
        <v>OK</v>
      </c>
      <c r="F16" s="392" t="str">
        <f t="shared" ref="F16:F29" si="1">IF(OR(E16="Wrong",SUM(H16:J16)&gt;G16),"Warning!","")</f>
        <v/>
      </c>
      <c r="G16" s="270"/>
      <c r="H16" s="222"/>
      <c r="I16" s="221">
        <v>0</v>
      </c>
      <c r="J16" s="221"/>
      <c r="K16" s="162">
        <f t="shared" ref="K16:K29" si="2">IFERROR(IF(S16&gt;0,S16/G16*(SUM(H16:J16)),P16/G16*(SUM(H16:J16))),)</f>
        <v>0</v>
      </c>
      <c r="L16" s="163">
        <f>K16*LOOKUP($K$8,Lists!$A$2:$A$812,IF($K$2="Non-Federal",Lists!$D$2:$D$812,Lists!$C$2:$C$812))</f>
        <v>0</v>
      </c>
      <c r="M16" s="276"/>
      <c r="N16" s="162">
        <f t="shared" ref="N16:N29" si="3">IFERROR(IF(S16&gt;0,S16/G16*(SUM(M16)),P16/G16*(SUM(M16))),)</f>
        <v>0</v>
      </c>
      <c r="O16" s="163">
        <f>N16*LOOKUP($K$8,Lists!$A$2:$A$812,IF($K$2="Non-Federal",Lists!$D$2:$D$812,Lists!$C$2:$C$812))</f>
        <v>0</v>
      </c>
      <c r="P16" s="259"/>
      <c r="Q16" s="784"/>
      <c r="R16" s="785"/>
      <c r="S16" s="259">
        <f t="shared" ref="S16:S29" si="4">IF(COUNTIF(NIH,$E$9)&gt;0,(IF(G16&gt;0,IF((P16/G16)*12&gt;NIHSalCap,(NIHSalCap/12)*G16,),)),)</f>
        <v>0</v>
      </c>
      <c r="T16" s="232" t="s">
        <v>238</v>
      </c>
      <c r="U16" s="136" t="s">
        <v>225</v>
      </c>
    </row>
    <row r="17" spans="1:21" s="5" customFormat="1" ht="14.25" customHeight="1">
      <c r="A17" s="208">
        <v>3</v>
      </c>
      <c r="B17" s="781"/>
      <c r="C17" s="781"/>
      <c r="D17" s="781"/>
      <c r="E17" s="399" t="str">
        <f t="shared" si="0"/>
        <v>OK</v>
      </c>
      <c r="F17" s="392" t="str">
        <f t="shared" si="1"/>
        <v/>
      </c>
      <c r="G17" s="270"/>
      <c r="H17" s="222"/>
      <c r="I17" s="221"/>
      <c r="J17" s="221"/>
      <c r="K17" s="162">
        <f t="shared" si="2"/>
        <v>0</v>
      </c>
      <c r="L17" s="163">
        <f>K17*LOOKUP($K$8,Lists!$A$2:$A$812,IF($K$2="Non-Federal",Lists!$D$2:$D$812,Lists!$C$2:$C$812))</f>
        <v>0</v>
      </c>
      <c r="M17" s="276"/>
      <c r="N17" s="162">
        <f t="shared" si="3"/>
        <v>0</v>
      </c>
      <c r="O17" s="163">
        <f>N17*LOOKUP($K$8,Lists!$A$2:$A$812,IF($K$2="Non-Federal",Lists!$D$2:$D$812,Lists!$C$2:$C$812))</f>
        <v>0</v>
      </c>
      <c r="P17" s="259"/>
      <c r="Q17" s="784"/>
      <c r="R17" s="785"/>
      <c r="S17" s="259">
        <f t="shared" si="4"/>
        <v>0</v>
      </c>
      <c r="T17" s="232" t="s">
        <v>239</v>
      </c>
      <c r="U17" s="136" t="s">
        <v>225</v>
      </c>
    </row>
    <row r="18" spans="1:21" s="5" customFormat="1" ht="14.25" customHeight="1">
      <c r="A18" s="208">
        <v>4</v>
      </c>
      <c r="B18" s="781"/>
      <c r="C18" s="781"/>
      <c r="D18" s="781"/>
      <c r="E18" s="399" t="str">
        <f t="shared" si="0"/>
        <v>OK</v>
      </c>
      <c r="F18" s="392" t="str">
        <f t="shared" si="1"/>
        <v/>
      </c>
      <c r="G18" s="270"/>
      <c r="H18" s="222"/>
      <c r="I18" s="221"/>
      <c r="J18" s="221"/>
      <c r="K18" s="162">
        <f t="shared" si="2"/>
        <v>0</v>
      </c>
      <c r="L18" s="163">
        <f>K18*LOOKUP($K$8,Lists!$A$2:$A$812,IF($K$2="Non-Federal",Lists!$D$2:$D$812,Lists!$C$2:$C$812))</f>
        <v>0</v>
      </c>
      <c r="M18" s="276"/>
      <c r="N18" s="162">
        <f t="shared" si="3"/>
        <v>0</v>
      </c>
      <c r="O18" s="163">
        <f>N18*LOOKUP($K$8,Lists!$A$2:$A$812,IF($K$2="Non-Federal",Lists!$D$2:$D$812,Lists!$C$2:$C$812))</f>
        <v>0</v>
      </c>
      <c r="P18" s="259"/>
      <c r="Q18" s="784"/>
      <c r="R18" s="785"/>
      <c r="S18" s="259">
        <f t="shared" si="4"/>
        <v>0</v>
      </c>
      <c r="T18" s="232" t="s">
        <v>238</v>
      </c>
      <c r="U18" s="136" t="s">
        <v>225</v>
      </c>
    </row>
    <row r="19" spans="1:21" s="5" customFormat="1" ht="15">
      <c r="A19" s="208">
        <v>5</v>
      </c>
      <c r="B19" s="781"/>
      <c r="C19" s="781"/>
      <c r="D19" s="781"/>
      <c r="E19" s="399" t="str">
        <f t="shared" si="0"/>
        <v>OK</v>
      </c>
      <c r="F19" s="392" t="str">
        <f t="shared" si="1"/>
        <v/>
      </c>
      <c r="G19" s="270"/>
      <c r="H19" s="222"/>
      <c r="I19" s="221"/>
      <c r="J19" s="221"/>
      <c r="K19" s="162">
        <f t="shared" si="2"/>
        <v>0</v>
      </c>
      <c r="L19" s="163">
        <f>K19*LOOKUP($K$8,Lists!$A$2:$A$812,IF($K$2="Non-Federal",Lists!$D$2:$D$812,Lists!$C$2:$C$812))</f>
        <v>0</v>
      </c>
      <c r="M19" s="276"/>
      <c r="N19" s="162">
        <f t="shared" si="3"/>
        <v>0</v>
      </c>
      <c r="O19" s="163">
        <f>N19*LOOKUP($K$8,Lists!$A$2:$A$812,IF($K$2="Non-Federal",Lists!$D$2:$D$812,Lists!$C$2:$C$812))</f>
        <v>0</v>
      </c>
      <c r="P19" s="259"/>
      <c r="Q19" s="784"/>
      <c r="R19" s="785"/>
      <c r="S19" s="259">
        <f t="shared" si="4"/>
        <v>0</v>
      </c>
      <c r="T19" s="232" t="s">
        <v>239</v>
      </c>
      <c r="U19" s="136" t="s">
        <v>225</v>
      </c>
    </row>
    <row r="20" spans="1:21" s="5" customFormat="1" ht="15" hidden="1">
      <c r="A20" s="208">
        <v>6</v>
      </c>
      <c r="B20" s="781"/>
      <c r="C20" s="781"/>
      <c r="D20" s="781"/>
      <c r="E20" s="399" t="str">
        <f t="shared" si="0"/>
        <v>OK</v>
      </c>
      <c r="F20" s="392" t="str">
        <f t="shared" si="1"/>
        <v/>
      </c>
      <c r="G20" s="270"/>
      <c r="H20" s="222"/>
      <c r="I20" s="221"/>
      <c r="J20" s="221"/>
      <c r="K20" s="162">
        <f t="shared" si="2"/>
        <v>0</v>
      </c>
      <c r="L20" s="163">
        <f>K20*LOOKUP($K$8,Lists!$A$2:$A$812,IF($K$2="Non-Federal",Lists!$D$2:$D$812,Lists!$C$2:$C$812))</f>
        <v>0</v>
      </c>
      <c r="M20" s="276"/>
      <c r="N20" s="162">
        <f t="shared" si="3"/>
        <v>0</v>
      </c>
      <c r="O20" s="163">
        <f>N20*LOOKUP($K$8,Lists!$A$2:$A$812,IF($K$2="Non-Federal",Lists!$D$2:$D$812,Lists!$C$2:$C$812))</f>
        <v>0</v>
      </c>
      <c r="P20" s="259"/>
      <c r="Q20" s="784"/>
      <c r="R20" s="785"/>
      <c r="S20" s="259">
        <f t="shared" si="4"/>
        <v>0</v>
      </c>
      <c r="T20" s="232" t="s">
        <v>238</v>
      </c>
      <c r="U20" s="136" t="s">
        <v>492</v>
      </c>
    </row>
    <row r="21" spans="1:21" s="5" customFormat="1" ht="15" hidden="1">
      <c r="A21" s="208">
        <v>7</v>
      </c>
      <c r="B21" s="781"/>
      <c r="C21" s="781"/>
      <c r="D21" s="781"/>
      <c r="E21" s="399" t="str">
        <f t="shared" si="0"/>
        <v>OK</v>
      </c>
      <c r="F21" s="392" t="str">
        <f t="shared" si="1"/>
        <v/>
      </c>
      <c r="G21" s="270"/>
      <c r="H21" s="222"/>
      <c r="I21" s="221"/>
      <c r="J21" s="221"/>
      <c r="K21" s="162">
        <f t="shared" si="2"/>
        <v>0</v>
      </c>
      <c r="L21" s="163">
        <f>K21*LOOKUP($K$8,Lists!$A$2:$A$812,IF($K$2="Non-Federal",Lists!$D$2:$D$812,Lists!$C$2:$C$812))</f>
        <v>0</v>
      </c>
      <c r="M21" s="276"/>
      <c r="N21" s="162">
        <f t="shared" si="3"/>
        <v>0</v>
      </c>
      <c r="O21" s="163">
        <f>N21*LOOKUP($K$8,Lists!$A$2:$A$812,IF($K$2="Non-Federal",Lists!$D$2:$D$812,Lists!$C$2:$C$812))</f>
        <v>0</v>
      </c>
      <c r="P21" s="259"/>
      <c r="Q21" s="784"/>
      <c r="R21" s="785"/>
      <c r="S21" s="259">
        <f t="shared" si="4"/>
        <v>0</v>
      </c>
      <c r="T21" s="232" t="s">
        <v>239</v>
      </c>
      <c r="U21" s="136" t="s">
        <v>492</v>
      </c>
    </row>
    <row r="22" spans="1:21" s="5" customFormat="1" ht="15" hidden="1">
      <c r="A22" s="208">
        <v>8</v>
      </c>
      <c r="B22" s="781"/>
      <c r="C22" s="781"/>
      <c r="D22" s="781"/>
      <c r="E22" s="399" t="str">
        <f t="shared" si="0"/>
        <v>OK</v>
      </c>
      <c r="F22" s="392" t="str">
        <f t="shared" si="1"/>
        <v/>
      </c>
      <c r="G22" s="270"/>
      <c r="H22" s="222"/>
      <c r="I22" s="221"/>
      <c r="J22" s="221"/>
      <c r="K22" s="162">
        <f t="shared" si="2"/>
        <v>0</v>
      </c>
      <c r="L22" s="163">
        <f>K22*LOOKUP($K$8,Lists!$A$2:$A$812,IF($K$2="Non-Federal",Lists!$D$2:$D$812,Lists!$C$2:$C$812))</f>
        <v>0</v>
      </c>
      <c r="M22" s="276"/>
      <c r="N22" s="162">
        <f t="shared" si="3"/>
        <v>0</v>
      </c>
      <c r="O22" s="163">
        <f>N22*LOOKUP($K$8,Lists!$A$2:$A$812,IF($K$2="Non-Federal",Lists!$D$2:$D$812,Lists!$C$2:$C$812))</f>
        <v>0</v>
      </c>
      <c r="P22" s="259"/>
      <c r="Q22" s="784"/>
      <c r="R22" s="785"/>
      <c r="S22" s="259">
        <f t="shared" si="4"/>
        <v>0</v>
      </c>
      <c r="T22" s="232" t="s">
        <v>238</v>
      </c>
      <c r="U22" s="136" t="s">
        <v>492</v>
      </c>
    </row>
    <row r="23" spans="1:21" s="5" customFormat="1" ht="15" hidden="1">
      <c r="A23" s="208">
        <v>9</v>
      </c>
      <c r="B23" s="781"/>
      <c r="C23" s="781"/>
      <c r="D23" s="781"/>
      <c r="E23" s="399" t="str">
        <f t="shared" si="0"/>
        <v>OK</v>
      </c>
      <c r="F23" s="392" t="str">
        <f t="shared" si="1"/>
        <v/>
      </c>
      <c r="G23" s="270"/>
      <c r="H23" s="222"/>
      <c r="I23" s="221"/>
      <c r="J23" s="221"/>
      <c r="K23" s="162">
        <f t="shared" si="2"/>
        <v>0</v>
      </c>
      <c r="L23" s="163">
        <f>K23*LOOKUP($K$8,Lists!$A$2:$A$812,IF($K$2="Non-Federal",Lists!$D$2:$D$812,Lists!$C$2:$C$812))</f>
        <v>0</v>
      </c>
      <c r="M23" s="276"/>
      <c r="N23" s="162">
        <f t="shared" si="3"/>
        <v>0</v>
      </c>
      <c r="O23" s="163">
        <f>N23*LOOKUP($K$8,Lists!$A$2:$A$812,IF($K$2="Non-Federal",Lists!$D$2:$D$812,Lists!$C$2:$C$812))</f>
        <v>0</v>
      </c>
      <c r="P23" s="259"/>
      <c r="Q23" s="784"/>
      <c r="R23" s="785"/>
      <c r="S23" s="259">
        <f t="shared" si="4"/>
        <v>0</v>
      </c>
      <c r="T23" s="232" t="s">
        <v>239</v>
      </c>
      <c r="U23" s="136" t="s">
        <v>492</v>
      </c>
    </row>
    <row r="24" spans="1:21" s="5" customFormat="1" ht="15" hidden="1">
      <c r="A24" s="208">
        <v>10</v>
      </c>
      <c r="B24" s="781"/>
      <c r="C24" s="781"/>
      <c r="D24" s="781"/>
      <c r="E24" s="399" t="str">
        <f t="shared" si="0"/>
        <v>OK</v>
      </c>
      <c r="F24" s="392" t="str">
        <f t="shared" si="1"/>
        <v/>
      </c>
      <c r="G24" s="270"/>
      <c r="H24" s="222"/>
      <c r="I24" s="221"/>
      <c r="J24" s="221"/>
      <c r="K24" s="162">
        <f t="shared" si="2"/>
        <v>0</v>
      </c>
      <c r="L24" s="163">
        <f>K24*LOOKUP($K$8,Lists!$A$2:$A$812,IF($K$2="Non-Federal",Lists!$D$2:$D$812,Lists!$C$2:$C$812))</f>
        <v>0</v>
      </c>
      <c r="M24" s="276"/>
      <c r="N24" s="162">
        <f t="shared" si="3"/>
        <v>0</v>
      </c>
      <c r="O24" s="163">
        <f>N24*LOOKUP($K$8,Lists!$A$2:$A$812,IF($K$2="Non-Federal",Lists!$D$2:$D$812,Lists!$C$2:$C$812))</f>
        <v>0</v>
      </c>
      <c r="P24" s="259"/>
      <c r="Q24" s="784"/>
      <c r="R24" s="785"/>
      <c r="S24" s="259">
        <f t="shared" si="4"/>
        <v>0</v>
      </c>
      <c r="T24" s="232" t="s">
        <v>238</v>
      </c>
      <c r="U24" s="136" t="s">
        <v>492</v>
      </c>
    </row>
    <row r="25" spans="1:21" s="5" customFormat="1" ht="15" hidden="1">
      <c r="A25" s="208">
        <v>11</v>
      </c>
      <c r="B25" s="781"/>
      <c r="C25" s="781"/>
      <c r="D25" s="781"/>
      <c r="E25" s="399" t="str">
        <f t="shared" si="0"/>
        <v>OK</v>
      </c>
      <c r="F25" s="392" t="str">
        <f t="shared" si="1"/>
        <v/>
      </c>
      <c r="G25" s="270"/>
      <c r="H25" s="222"/>
      <c r="I25" s="221"/>
      <c r="J25" s="221"/>
      <c r="K25" s="162">
        <f t="shared" si="2"/>
        <v>0</v>
      </c>
      <c r="L25" s="163">
        <f>K25*LOOKUP($K$8,Lists!$A$2:$A$812,IF($K$2="Non-Federal",Lists!$D$2:$D$812,Lists!$C$2:$C$812))</f>
        <v>0</v>
      </c>
      <c r="M25" s="276"/>
      <c r="N25" s="162">
        <f t="shared" si="3"/>
        <v>0</v>
      </c>
      <c r="O25" s="163">
        <f>N25*LOOKUP($K$8,Lists!$A$2:$A$812,IF($K$2="Non-Federal",Lists!$D$2:$D$812,Lists!$C$2:$C$812))</f>
        <v>0</v>
      </c>
      <c r="P25" s="259"/>
      <c r="Q25" s="784"/>
      <c r="R25" s="785"/>
      <c r="S25" s="259">
        <f t="shared" si="4"/>
        <v>0</v>
      </c>
      <c r="T25" s="232" t="s">
        <v>239</v>
      </c>
      <c r="U25" s="136" t="s">
        <v>493</v>
      </c>
    </row>
    <row r="26" spans="1:21" s="5" customFormat="1" ht="15" hidden="1">
      <c r="A26" s="208">
        <v>12</v>
      </c>
      <c r="B26" s="781"/>
      <c r="C26" s="781"/>
      <c r="D26" s="781"/>
      <c r="E26" s="399" t="str">
        <f t="shared" si="0"/>
        <v>OK</v>
      </c>
      <c r="F26" s="392" t="str">
        <f t="shared" si="1"/>
        <v/>
      </c>
      <c r="G26" s="270"/>
      <c r="H26" s="222"/>
      <c r="I26" s="221"/>
      <c r="J26" s="221"/>
      <c r="K26" s="162">
        <f t="shared" si="2"/>
        <v>0</v>
      </c>
      <c r="L26" s="163">
        <f>K26*LOOKUP($K$8,Lists!$A$2:$A$812,IF($K$2="Non-Federal",Lists!$D$2:$D$812,Lists!$C$2:$C$812))</f>
        <v>0</v>
      </c>
      <c r="M26" s="276"/>
      <c r="N26" s="162">
        <f t="shared" si="3"/>
        <v>0</v>
      </c>
      <c r="O26" s="163">
        <f>N26*LOOKUP($K$8,Lists!$A$2:$A$812,IF($K$2="Non-Federal",Lists!$D$2:$D$812,Lists!$C$2:$C$812))</f>
        <v>0</v>
      </c>
      <c r="P26" s="259"/>
      <c r="Q26" s="784"/>
      <c r="R26" s="785"/>
      <c r="S26" s="259">
        <f t="shared" si="4"/>
        <v>0</v>
      </c>
      <c r="T26" s="232" t="s">
        <v>238</v>
      </c>
      <c r="U26" s="136" t="s">
        <v>493</v>
      </c>
    </row>
    <row r="27" spans="1:21" s="5" customFormat="1" ht="15" hidden="1">
      <c r="A27" s="208">
        <v>13</v>
      </c>
      <c r="B27" s="781"/>
      <c r="C27" s="781"/>
      <c r="D27" s="781"/>
      <c r="E27" s="399" t="str">
        <f t="shared" si="0"/>
        <v>OK</v>
      </c>
      <c r="F27" s="392" t="str">
        <f t="shared" si="1"/>
        <v/>
      </c>
      <c r="G27" s="270"/>
      <c r="H27" s="222"/>
      <c r="I27" s="221"/>
      <c r="J27" s="221"/>
      <c r="K27" s="162">
        <f t="shared" si="2"/>
        <v>0</v>
      </c>
      <c r="L27" s="163">
        <f>K27*LOOKUP($K$8,Lists!$A$2:$A$812,IF($K$2="Non-Federal",Lists!$D$2:$D$812,Lists!$C$2:$C$812))</f>
        <v>0</v>
      </c>
      <c r="M27" s="276"/>
      <c r="N27" s="162">
        <f t="shared" si="3"/>
        <v>0</v>
      </c>
      <c r="O27" s="163">
        <f>N27*LOOKUP($K$8,Lists!$A$2:$A$812,IF($K$2="Non-Federal",Lists!$D$2:$D$812,Lists!$C$2:$C$812))</f>
        <v>0</v>
      </c>
      <c r="P27" s="259"/>
      <c r="Q27" s="784"/>
      <c r="R27" s="785"/>
      <c r="S27" s="259">
        <f t="shared" si="4"/>
        <v>0</v>
      </c>
      <c r="T27" s="232" t="s">
        <v>239</v>
      </c>
      <c r="U27" s="136" t="s">
        <v>493</v>
      </c>
    </row>
    <row r="28" spans="1:21" s="5" customFormat="1" ht="15" hidden="1">
      <c r="A28" s="208">
        <v>14</v>
      </c>
      <c r="B28" s="781"/>
      <c r="C28" s="781"/>
      <c r="D28" s="781"/>
      <c r="E28" s="399" t="str">
        <f t="shared" si="0"/>
        <v>OK</v>
      </c>
      <c r="F28" s="392" t="str">
        <f t="shared" si="1"/>
        <v/>
      </c>
      <c r="G28" s="270"/>
      <c r="H28" s="222"/>
      <c r="I28" s="221"/>
      <c r="J28" s="221"/>
      <c r="K28" s="162">
        <f t="shared" si="2"/>
        <v>0</v>
      </c>
      <c r="L28" s="163">
        <f>K28*LOOKUP($K$8,Lists!$A$2:$A$812,IF($K$2="Non-Federal",Lists!$D$2:$D$812,Lists!$C$2:$C$812))</f>
        <v>0</v>
      </c>
      <c r="M28" s="276"/>
      <c r="N28" s="162">
        <f t="shared" si="3"/>
        <v>0</v>
      </c>
      <c r="O28" s="163">
        <f>N28*LOOKUP($K$8,Lists!$A$2:$A$812,IF($K$2="Non-Federal",Lists!$D$2:$D$812,Lists!$C$2:$C$812))</f>
        <v>0</v>
      </c>
      <c r="P28" s="259"/>
      <c r="Q28" s="784"/>
      <c r="R28" s="785"/>
      <c r="S28" s="259">
        <f t="shared" si="4"/>
        <v>0</v>
      </c>
      <c r="T28" s="232" t="s">
        <v>238</v>
      </c>
      <c r="U28" s="136" t="s">
        <v>493</v>
      </c>
    </row>
    <row r="29" spans="1:21" s="5" customFormat="1" ht="15" hidden="1">
      <c r="A29" s="208">
        <v>15</v>
      </c>
      <c r="B29" s="781"/>
      <c r="C29" s="781"/>
      <c r="D29" s="781"/>
      <c r="E29" s="399" t="str">
        <f t="shared" si="0"/>
        <v>OK</v>
      </c>
      <c r="F29" s="392" t="str">
        <f t="shared" si="1"/>
        <v/>
      </c>
      <c r="G29" s="270"/>
      <c r="H29" s="222"/>
      <c r="I29" s="221"/>
      <c r="J29" s="221"/>
      <c r="K29" s="162">
        <f t="shared" si="2"/>
        <v>0</v>
      </c>
      <c r="L29" s="163">
        <f>K29*LOOKUP($K$8,Lists!$A$2:$A$812,IF($K$2="Non-Federal",Lists!$D$2:$D$812,Lists!$C$2:$C$812))</f>
        <v>0</v>
      </c>
      <c r="M29" s="276"/>
      <c r="N29" s="162">
        <f t="shared" si="3"/>
        <v>0</v>
      </c>
      <c r="O29" s="163">
        <f>N29*LOOKUP($K$8,Lists!$A$2:$A$812,IF($K$2="Non-Federal",Lists!$D$2:$D$812,Lists!$C$2:$C$812))</f>
        <v>0</v>
      </c>
      <c r="P29" s="259"/>
      <c r="Q29" s="784"/>
      <c r="R29" s="785"/>
      <c r="S29" s="259">
        <f t="shared" si="4"/>
        <v>0</v>
      </c>
      <c r="T29" s="232" t="s">
        <v>239</v>
      </c>
      <c r="U29" s="136" t="s">
        <v>493</v>
      </c>
    </row>
    <row r="30" spans="1:21" s="5" customFormat="1" ht="15">
      <c r="A30" s="842" t="s">
        <v>209</v>
      </c>
      <c r="B30" s="843"/>
      <c r="C30" s="843"/>
      <c r="D30" s="843"/>
      <c r="E30" s="843"/>
      <c r="F30" s="844"/>
      <c r="G30" s="20"/>
      <c r="H30" s="249">
        <f t="shared" ref="H30:O30" si="5">SUM(H15:H29)</f>
        <v>0</v>
      </c>
      <c r="I30" s="250">
        <f t="shared" si="5"/>
        <v>0</v>
      </c>
      <c r="J30" s="250">
        <f t="shared" si="5"/>
        <v>0</v>
      </c>
      <c r="K30" s="164">
        <f t="shared" si="5"/>
        <v>0</v>
      </c>
      <c r="L30" s="163">
        <f t="shared" si="5"/>
        <v>0</v>
      </c>
      <c r="M30" s="276">
        <f t="shared" si="5"/>
        <v>0</v>
      </c>
      <c r="N30" s="164">
        <f t="shared" si="5"/>
        <v>0</v>
      </c>
      <c r="O30" s="163">
        <f t="shared" si="5"/>
        <v>0</v>
      </c>
      <c r="P30" s="199"/>
      <c r="Q30" s="387"/>
      <c r="R30" s="125"/>
      <c r="S30" s="125"/>
      <c r="T30" s="200"/>
      <c r="U30" s="136" t="s">
        <v>225</v>
      </c>
    </row>
    <row r="31" spans="1:21" s="5" customFormat="1" ht="14.25" customHeight="1">
      <c r="A31" s="209" t="s">
        <v>210</v>
      </c>
      <c r="B31" s="193"/>
      <c r="C31" s="193"/>
      <c r="D31" s="181"/>
      <c r="E31" s="181"/>
      <c r="F31" s="181"/>
      <c r="G31" s="21"/>
      <c r="H31" s="18"/>
      <c r="I31" s="19"/>
      <c r="J31" s="19"/>
      <c r="K31" s="33"/>
      <c r="L31" s="423"/>
      <c r="M31" s="425"/>
      <c r="N31" s="33"/>
      <c r="O31" s="34"/>
      <c r="P31" s="219" t="s">
        <v>111</v>
      </c>
      <c r="Q31" s="904" t="s">
        <v>156</v>
      </c>
      <c r="R31" s="904"/>
      <c r="S31" s="904"/>
      <c r="T31" s="446" t="s">
        <v>236</v>
      </c>
      <c r="U31" s="136" t="s">
        <v>225</v>
      </c>
    </row>
    <row r="32" spans="1:21" s="5" customFormat="1" ht="14.25" customHeight="1">
      <c r="A32" s="209" t="s">
        <v>3</v>
      </c>
      <c r="B32" s="460"/>
      <c r="C32" s="204" t="s">
        <v>464</v>
      </c>
      <c r="D32" s="240" t="str">
        <f>"Postdoctoral Associate"&amp;IF(B32&gt;1,"s",)</f>
        <v>Postdoctoral Associate</v>
      </c>
      <c r="E32" s="206"/>
      <c r="F32" s="206"/>
      <c r="G32" s="534">
        <v>12</v>
      </c>
      <c r="H32" s="222">
        <f t="shared" ref="H32:H40" si="6">IF(B32&gt;0,12*B32-M32,0)</f>
        <v>0</v>
      </c>
      <c r="I32" s="223"/>
      <c r="J32" s="223"/>
      <c r="K32" s="162">
        <f t="shared" ref="K32:K40" si="7">IFERROR(P32/12*H32,)</f>
        <v>0</v>
      </c>
      <c r="L32" s="163">
        <f>K32*LOOKUP($K$8,Lists!$A$2:$A$812,IF($K$2="Non-Federal",Lists!$D$2:$D$812,Lists!$C$2:$C$812))</f>
        <v>0</v>
      </c>
      <c r="M32" s="276"/>
      <c r="N32" s="162">
        <f>IFERROR(P32/12*M32,)</f>
        <v>0</v>
      </c>
      <c r="O32" s="163">
        <f>N32*LOOKUP($K$8,Lists!$A$2:$A$812,IF($K$2="Non-Federal",Lists!$D$2:$D$812,Lists!$C$2:$C$812))</f>
        <v>0</v>
      </c>
      <c r="P32" s="259">
        <v>47476</v>
      </c>
      <c r="Q32" s="767"/>
      <c r="R32" s="767"/>
      <c r="S32" s="767"/>
      <c r="T32" s="447" t="s">
        <v>241</v>
      </c>
      <c r="U32" s="136" t="s">
        <v>225</v>
      </c>
    </row>
    <row r="33" spans="1:21" s="5" customFormat="1" ht="14.25" customHeight="1">
      <c r="A33" s="209" t="s">
        <v>495</v>
      </c>
      <c r="B33" s="461"/>
      <c r="C33" s="204" t="s">
        <v>464</v>
      </c>
      <c r="D33" s="240" t="str">
        <f>"Other Professional"&amp;IF(B33&gt;1,"s",)</f>
        <v>Other Professional</v>
      </c>
      <c r="E33" s="206"/>
      <c r="F33" s="206"/>
      <c r="G33" s="534">
        <v>12</v>
      </c>
      <c r="H33" s="222">
        <f t="shared" si="6"/>
        <v>0</v>
      </c>
      <c r="I33" s="223"/>
      <c r="J33" s="223"/>
      <c r="K33" s="162">
        <f t="shared" si="7"/>
        <v>0</v>
      </c>
      <c r="L33" s="163">
        <f>K33*LOOKUP($K$8,Lists!$A$2:$A$812,IF($K$2="Non-Federal",Lists!$D$2:$D$812,Lists!$C$2:$C$812))</f>
        <v>0</v>
      </c>
      <c r="M33" s="276"/>
      <c r="N33" s="162">
        <f t="shared" ref="N33:N40" si="8">IFERROR(P33/12*M33,)</f>
        <v>0</v>
      </c>
      <c r="O33" s="163">
        <f>N33*LOOKUP($K$8,Lists!$A$2:$A$812,IF($K$2="Non-Federal",Lists!$D$2:$D$812,Lists!$C$2:$C$812))</f>
        <v>0</v>
      </c>
      <c r="P33" s="259"/>
      <c r="Q33" s="767"/>
      <c r="R33" s="767"/>
      <c r="S33" s="767"/>
      <c r="T33" s="447" t="s">
        <v>240</v>
      </c>
      <c r="U33" s="136" t="s">
        <v>225</v>
      </c>
    </row>
    <row r="34" spans="1:21" s="5" customFormat="1" ht="14.25" hidden="1" customHeight="1">
      <c r="A34" s="209" t="s">
        <v>496</v>
      </c>
      <c r="B34" s="461"/>
      <c r="C34" s="204" t="s">
        <v>464</v>
      </c>
      <c r="D34" s="240" t="str">
        <f>"Other Professional"&amp;IF(B34&gt;1,"s",)</f>
        <v>Other Professional</v>
      </c>
      <c r="E34" s="240"/>
      <c r="F34" s="240"/>
      <c r="G34" s="534">
        <v>12</v>
      </c>
      <c r="H34" s="222">
        <f t="shared" si="6"/>
        <v>0</v>
      </c>
      <c r="I34" s="223"/>
      <c r="J34" s="223"/>
      <c r="K34" s="162">
        <f t="shared" si="7"/>
        <v>0</v>
      </c>
      <c r="L34" s="163">
        <f>K34*LOOKUP($K$8,Lists!$A$2:$A$812,IF($K$2="Non-Federal",Lists!$D$2:$D$812,Lists!$C$2:$C$812))</f>
        <v>0</v>
      </c>
      <c r="M34" s="276"/>
      <c r="N34" s="162">
        <f t="shared" si="8"/>
        <v>0</v>
      </c>
      <c r="O34" s="163">
        <f>N34*LOOKUP($K$8,Lists!$A$2:$A$812,IF($K$2="Non-Federal",Lists!$D$2:$D$812,Lists!$C$2:$C$812))</f>
        <v>0</v>
      </c>
      <c r="P34" s="259"/>
      <c r="Q34" s="767"/>
      <c r="R34" s="767"/>
      <c r="S34" s="767"/>
      <c r="T34" s="447"/>
      <c r="U34" s="136" t="s">
        <v>500</v>
      </c>
    </row>
    <row r="35" spans="1:21" s="5" customFormat="1" ht="14.25" hidden="1" customHeight="1">
      <c r="A35" s="209" t="s">
        <v>497</v>
      </c>
      <c r="B35" s="461"/>
      <c r="C35" s="204" t="s">
        <v>464</v>
      </c>
      <c r="D35" s="240" t="str">
        <f>"Other Professional"&amp;IF(B35&gt;1,"s",)</f>
        <v>Other Professional</v>
      </c>
      <c r="E35" s="240"/>
      <c r="F35" s="240"/>
      <c r="G35" s="534">
        <v>12</v>
      </c>
      <c r="H35" s="222">
        <f t="shared" si="6"/>
        <v>0</v>
      </c>
      <c r="I35" s="223"/>
      <c r="J35" s="223"/>
      <c r="K35" s="162">
        <f t="shared" si="7"/>
        <v>0</v>
      </c>
      <c r="L35" s="163">
        <f>K35*LOOKUP($K$8,Lists!$A$2:$A$812,IF($K$2="Non-Federal",Lists!$D$2:$D$812,Lists!$C$2:$C$812))</f>
        <v>0</v>
      </c>
      <c r="M35" s="276"/>
      <c r="N35" s="162">
        <f t="shared" si="8"/>
        <v>0</v>
      </c>
      <c r="O35" s="163">
        <f>N35*LOOKUP($K$8,Lists!$A$2:$A$812,IF($K$2="Non-Federal",Lists!$D$2:$D$812,Lists!$C$2:$C$812))</f>
        <v>0</v>
      </c>
      <c r="P35" s="259"/>
      <c r="Q35" s="767"/>
      <c r="R35" s="767"/>
      <c r="S35" s="767"/>
      <c r="T35" s="447"/>
      <c r="U35" s="136" t="s">
        <v>500</v>
      </c>
    </row>
    <row r="36" spans="1:21" s="5" customFormat="1" ht="14.25" hidden="1" customHeight="1">
      <c r="A36" s="209" t="s">
        <v>498</v>
      </c>
      <c r="B36" s="461"/>
      <c r="C36" s="204" t="s">
        <v>464</v>
      </c>
      <c r="D36" s="240" t="str">
        <f>"Other Professional"&amp;IF(B36&gt;1,"s",)</f>
        <v>Other Professional</v>
      </c>
      <c r="E36" s="240"/>
      <c r="F36" s="240"/>
      <c r="G36" s="534">
        <v>12</v>
      </c>
      <c r="H36" s="222">
        <f t="shared" si="6"/>
        <v>0</v>
      </c>
      <c r="I36" s="223"/>
      <c r="J36" s="223"/>
      <c r="K36" s="162">
        <f t="shared" si="7"/>
        <v>0</v>
      </c>
      <c r="L36" s="163">
        <f>K36*LOOKUP($K$8,Lists!$A$2:$A$812,IF($K$2="Non-Federal",Lists!$D$2:$D$812,Lists!$C$2:$C$812))</f>
        <v>0</v>
      </c>
      <c r="M36" s="276"/>
      <c r="N36" s="162">
        <f t="shared" si="8"/>
        <v>0</v>
      </c>
      <c r="O36" s="163">
        <f>N36*LOOKUP($K$8,Lists!$A$2:$A$812,IF($K$2="Non-Federal",Lists!$D$2:$D$812,Lists!$C$2:$C$812))</f>
        <v>0</v>
      </c>
      <c r="P36" s="259"/>
      <c r="Q36" s="767"/>
      <c r="R36" s="767"/>
      <c r="S36" s="767"/>
      <c r="T36" s="447"/>
      <c r="U36" s="136" t="s">
        <v>500</v>
      </c>
    </row>
    <row r="37" spans="1:21" s="5" customFormat="1" ht="14.25" hidden="1" customHeight="1">
      <c r="A37" s="209" t="s">
        <v>499</v>
      </c>
      <c r="B37" s="461"/>
      <c r="C37" s="204" t="s">
        <v>464</v>
      </c>
      <c r="D37" s="240" t="str">
        <f>"Other Professional"&amp;IF(B37&gt;1,"s",)</f>
        <v>Other Professional</v>
      </c>
      <c r="E37" s="240"/>
      <c r="F37" s="240"/>
      <c r="G37" s="534">
        <v>12</v>
      </c>
      <c r="H37" s="222">
        <f t="shared" si="6"/>
        <v>0</v>
      </c>
      <c r="I37" s="223"/>
      <c r="J37" s="223"/>
      <c r="K37" s="162">
        <f t="shared" si="7"/>
        <v>0</v>
      </c>
      <c r="L37" s="163">
        <f>K37*LOOKUP($K$8,Lists!$A$2:$A$812,IF($K$2="Non-Federal",Lists!$D$2:$D$812,Lists!$C$2:$C$812))</f>
        <v>0</v>
      </c>
      <c r="M37" s="276"/>
      <c r="N37" s="162">
        <f t="shared" si="8"/>
        <v>0</v>
      </c>
      <c r="O37" s="163">
        <f>N37*LOOKUP($K$8,Lists!$A$2:$A$812,IF($K$2="Non-Federal",Lists!$D$2:$D$812,Lists!$C$2:$C$812))</f>
        <v>0</v>
      </c>
      <c r="P37" s="259"/>
      <c r="Q37" s="767"/>
      <c r="R37" s="767"/>
      <c r="S37" s="767"/>
      <c r="T37" s="447"/>
      <c r="U37" s="136" t="s">
        <v>500</v>
      </c>
    </row>
    <row r="38" spans="1:21" s="5" customFormat="1" ht="14.25" customHeight="1">
      <c r="A38" s="209" t="s">
        <v>4</v>
      </c>
      <c r="B38" s="461"/>
      <c r="C38" s="204" t="s">
        <v>464</v>
      </c>
      <c r="D38" s="240" t="str">
        <f>"Graduate Student"&amp;IF(B38&gt;1,"s",)</f>
        <v>Graduate Student</v>
      </c>
      <c r="E38" s="206"/>
      <c r="F38" s="206"/>
      <c r="G38" s="534">
        <v>12</v>
      </c>
      <c r="H38" s="222">
        <f t="shared" si="6"/>
        <v>0</v>
      </c>
      <c r="I38" s="223"/>
      <c r="J38" s="223"/>
      <c r="K38" s="162">
        <f t="shared" si="7"/>
        <v>0</v>
      </c>
      <c r="L38" s="163">
        <f>K38*LOOKUP($K$8,Lists!$A$2:$A$812,Lists!$F$2:$F$812)</f>
        <v>0</v>
      </c>
      <c r="M38" s="276"/>
      <c r="N38" s="162">
        <f t="shared" si="8"/>
        <v>0</v>
      </c>
      <c r="O38" s="163">
        <f>N38*LOOKUP($K$8,Lists!$A$2:$A$812,Lists!$F$2:$F$812)</f>
        <v>0</v>
      </c>
      <c r="P38" s="259">
        <f>2737*12</f>
        <v>32844</v>
      </c>
      <c r="Q38" s="767"/>
      <c r="R38" s="767"/>
      <c r="S38" s="767"/>
      <c r="T38" s="447" t="s">
        <v>612</v>
      </c>
      <c r="U38" s="136" t="s">
        <v>225</v>
      </c>
    </row>
    <row r="39" spans="1:21" s="5" customFormat="1" ht="14.25" customHeight="1">
      <c r="A39" s="209" t="s">
        <v>5</v>
      </c>
      <c r="B39" s="461"/>
      <c r="C39" s="204" t="s">
        <v>464</v>
      </c>
      <c r="D39" s="240" t="str">
        <f>"Undergraduate Student"&amp;IF(B39&gt;1,"s",)</f>
        <v>Undergraduate Student</v>
      </c>
      <c r="E39" s="206"/>
      <c r="F39" s="206"/>
      <c r="G39" s="534">
        <v>12</v>
      </c>
      <c r="H39" s="222">
        <f t="shared" si="6"/>
        <v>0</v>
      </c>
      <c r="I39" s="223"/>
      <c r="J39" s="223"/>
      <c r="K39" s="162">
        <f t="shared" si="7"/>
        <v>0</v>
      </c>
      <c r="L39" s="223"/>
      <c r="M39" s="276"/>
      <c r="N39" s="162">
        <f t="shared" si="8"/>
        <v>0</v>
      </c>
      <c r="O39" s="223"/>
      <c r="P39" s="259"/>
      <c r="Q39" s="767"/>
      <c r="R39" s="767"/>
      <c r="S39" s="767"/>
      <c r="T39" s="447" t="s">
        <v>249</v>
      </c>
      <c r="U39" s="136" t="s">
        <v>225</v>
      </c>
    </row>
    <row r="40" spans="1:21" s="5" customFormat="1" ht="14.25" customHeight="1" thickBot="1">
      <c r="A40" s="209" t="s">
        <v>6</v>
      </c>
      <c r="B40" s="461"/>
      <c r="C40" s="204" t="s">
        <v>464</v>
      </c>
      <c r="D40" s="240" t="str">
        <f>"Other"&amp;IF(B40&gt;1,"s",)&amp;" (Carrying Statutory Benefits)"</f>
        <v>Other (Carrying Statutory Benefits)</v>
      </c>
      <c r="E40" s="206"/>
      <c r="F40" s="206"/>
      <c r="G40" s="534">
        <v>12</v>
      </c>
      <c r="H40" s="222">
        <f t="shared" si="6"/>
        <v>0</v>
      </c>
      <c r="I40" s="223"/>
      <c r="J40" s="223"/>
      <c r="K40" s="162">
        <f t="shared" si="7"/>
        <v>0</v>
      </c>
      <c r="L40" s="163">
        <f>K40*LOOKUP($K$8,Lists!$A$2:$A$812,Lists!$E$2:$E$812)</f>
        <v>0</v>
      </c>
      <c r="M40" s="276"/>
      <c r="N40" s="162">
        <f t="shared" si="8"/>
        <v>0</v>
      </c>
      <c r="O40" s="163">
        <f>N40*LOOKUP($K$8,Lists!$A$2:$A$812,Lists!$E$2:$E$812)</f>
        <v>0</v>
      </c>
      <c r="P40" s="259"/>
      <c r="Q40" s="767"/>
      <c r="R40" s="767"/>
      <c r="S40" s="767"/>
      <c r="T40" s="447" t="s">
        <v>253</v>
      </c>
      <c r="U40" s="136" t="s">
        <v>225</v>
      </c>
    </row>
    <row r="41" spans="1:21" s="5" customFormat="1" ht="14.25" customHeight="1" thickBot="1">
      <c r="A41" s="186"/>
      <c r="B41" s="204" t="s">
        <v>92</v>
      </c>
      <c r="C41" s="187"/>
      <c r="D41" s="181"/>
      <c r="E41" s="181"/>
      <c r="F41" s="181"/>
      <c r="G41" s="181"/>
      <c r="H41" s="188"/>
      <c r="I41" s="189"/>
      <c r="J41" s="187"/>
      <c r="K41" s="852">
        <f>SUM(K30:K40)</f>
        <v>0</v>
      </c>
      <c r="L41" s="853"/>
      <c r="M41" s="272"/>
      <c r="N41" s="867">
        <f>SUM(N30:N40)</f>
        <v>0</v>
      </c>
      <c r="O41" s="893"/>
      <c r="P41" s="126"/>
      <c r="Q41" s="388"/>
      <c r="R41" s="201"/>
      <c r="S41" s="445"/>
      <c r="T41" s="127"/>
      <c r="U41" s="136" t="s">
        <v>225</v>
      </c>
    </row>
    <row r="42" spans="1:21" s="5" customFormat="1" ht="14.25" customHeight="1" thickBot="1">
      <c r="A42" s="209" t="s">
        <v>93</v>
      </c>
      <c r="B42" s="187"/>
      <c r="C42" s="187"/>
      <c r="D42" s="178"/>
      <c r="E42" s="178"/>
      <c r="F42" s="190"/>
      <c r="G42" s="191"/>
      <c r="H42" s="192"/>
      <c r="I42" s="189"/>
      <c r="J42" s="187"/>
      <c r="K42" s="852">
        <f>SUM(L30:L40)</f>
        <v>0</v>
      </c>
      <c r="L42" s="853"/>
      <c r="M42" s="272"/>
      <c r="N42" s="867">
        <f>SUM(O30:O40)</f>
        <v>0</v>
      </c>
      <c r="O42" s="893"/>
      <c r="P42" s="128"/>
      <c r="Q42" s="129"/>
      <c r="R42" s="129"/>
      <c r="S42" s="129"/>
      <c r="T42" s="130"/>
      <c r="U42" s="136" t="s">
        <v>225</v>
      </c>
    </row>
    <row r="43" spans="1:21" s="5" customFormat="1" ht="14.25" customHeight="1" thickBot="1">
      <c r="A43" s="170"/>
      <c r="B43" s="210" t="s">
        <v>212</v>
      </c>
      <c r="C43" s="171"/>
      <c r="D43" s="172"/>
      <c r="E43" s="172"/>
      <c r="F43" s="172"/>
      <c r="G43" s="172"/>
      <c r="H43" s="171"/>
      <c r="I43" s="171"/>
      <c r="J43" s="171"/>
      <c r="K43" s="852">
        <f>SUM(K41:K42)</f>
        <v>0</v>
      </c>
      <c r="L43" s="853"/>
      <c r="M43" s="272"/>
      <c r="N43" s="867">
        <f>SUM(N41:N42)</f>
        <v>0</v>
      </c>
      <c r="O43" s="893"/>
      <c r="P43" s="128"/>
      <c r="Q43" s="129"/>
      <c r="R43" s="129"/>
      <c r="S43" s="129"/>
      <c r="T43" s="127"/>
      <c r="U43" s="136" t="s">
        <v>225</v>
      </c>
    </row>
    <row r="44" spans="1:21" s="5" customFormat="1" ht="14.25" customHeight="1" thickBot="1">
      <c r="A44" s="207" t="s">
        <v>213</v>
      </c>
      <c r="B44" s="166"/>
      <c r="C44" s="166"/>
      <c r="D44" s="167"/>
      <c r="E44" s="167"/>
      <c r="F44" s="167"/>
      <c r="G44" s="167"/>
      <c r="H44" s="166"/>
      <c r="I44" s="182"/>
      <c r="J44" s="166"/>
      <c r="K44" s="35"/>
      <c r="L44" s="36"/>
      <c r="M44" s="272"/>
      <c r="N44" s="35"/>
      <c r="O44" s="36"/>
      <c r="P44" s="904" t="s">
        <v>157</v>
      </c>
      <c r="Q44" s="904"/>
      <c r="R44" s="904"/>
      <c r="S44" s="904"/>
      <c r="T44" s="446" t="s">
        <v>236</v>
      </c>
      <c r="U44" s="136" t="s">
        <v>225</v>
      </c>
    </row>
    <row r="45" spans="1:21" s="5" customFormat="1" ht="14.25" customHeight="1" thickBot="1">
      <c r="A45" s="185"/>
      <c r="B45" s="773"/>
      <c r="C45" s="774"/>
      <c r="D45" s="774"/>
      <c r="E45" s="774"/>
      <c r="F45" s="775"/>
      <c r="G45" s="183"/>
      <c r="H45" s="183"/>
      <c r="I45" s="211" t="s">
        <v>162</v>
      </c>
      <c r="J45" s="184"/>
      <c r="K45" s="776"/>
      <c r="L45" s="777"/>
      <c r="M45" s="272"/>
      <c r="N45" s="776"/>
      <c r="O45" s="777"/>
      <c r="P45" s="767"/>
      <c r="Q45" s="767"/>
      <c r="R45" s="767"/>
      <c r="S45" s="767"/>
      <c r="T45" s="447" t="s">
        <v>250</v>
      </c>
      <c r="U45" s="136" t="s">
        <v>225</v>
      </c>
    </row>
    <row r="46" spans="1:21" s="5" customFormat="1" ht="14.25" hidden="1" customHeight="1" thickBot="1">
      <c r="A46" s="185"/>
      <c r="B46" s="773"/>
      <c r="C46" s="774"/>
      <c r="D46" s="774"/>
      <c r="E46" s="774"/>
      <c r="F46" s="775"/>
      <c r="G46" s="183"/>
      <c r="H46" s="183"/>
      <c r="I46" s="211" t="s">
        <v>163</v>
      </c>
      <c r="J46" s="184"/>
      <c r="K46" s="776"/>
      <c r="L46" s="777"/>
      <c r="M46" s="272"/>
      <c r="N46" s="776"/>
      <c r="O46" s="777"/>
      <c r="P46" s="129"/>
      <c r="Q46" s="129"/>
      <c r="R46" s="129"/>
      <c r="S46" s="129"/>
      <c r="T46" s="127"/>
      <c r="U46" s="136" t="s">
        <v>494</v>
      </c>
    </row>
    <row r="47" spans="1:21" s="5" customFormat="1" ht="14.25" hidden="1" customHeight="1" thickBot="1">
      <c r="A47" s="185"/>
      <c r="B47" s="773"/>
      <c r="C47" s="774"/>
      <c r="D47" s="774"/>
      <c r="E47" s="774"/>
      <c r="F47" s="775"/>
      <c r="G47" s="183"/>
      <c r="H47" s="183"/>
      <c r="I47" s="211" t="s">
        <v>164</v>
      </c>
      <c r="J47" s="184"/>
      <c r="K47" s="776"/>
      <c r="L47" s="777"/>
      <c r="M47" s="272"/>
      <c r="N47" s="776"/>
      <c r="O47" s="777"/>
      <c r="P47" s="129"/>
      <c r="Q47" s="129"/>
      <c r="R47" s="129"/>
      <c r="S47" s="129"/>
      <c r="T47" s="127"/>
      <c r="U47" s="136" t="s">
        <v>494</v>
      </c>
    </row>
    <row r="48" spans="1:21" s="5" customFormat="1" ht="14.25" hidden="1" customHeight="1" thickBot="1">
      <c r="A48" s="185"/>
      <c r="B48" s="773"/>
      <c r="C48" s="774"/>
      <c r="D48" s="774"/>
      <c r="E48" s="774"/>
      <c r="F48" s="775"/>
      <c r="G48" s="183"/>
      <c r="H48" s="183"/>
      <c r="I48" s="211" t="s">
        <v>165</v>
      </c>
      <c r="J48" s="184"/>
      <c r="K48" s="776"/>
      <c r="L48" s="777"/>
      <c r="M48" s="272"/>
      <c r="N48" s="776"/>
      <c r="O48" s="777"/>
      <c r="P48" s="129"/>
      <c r="Q48" s="129"/>
      <c r="R48" s="129"/>
      <c r="S48" s="129"/>
      <c r="T48" s="127"/>
      <c r="U48" s="136" t="s">
        <v>494</v>
      </c>
    </row>
    <row r="49" spans="1:21" s="5" customFormat="1" ht="14.25" hidden="1" customHeight="1" thickBot="1">
      <c r="A49" s="185"/>
      <c r="B49" s="773"/>
      <c r="C49" s="774"/>
      <c r="D49" s="774"/>
      <c r="E49" s="774"/>
      <c r="F49" s="775"/>
      <c r="G49" s="183"/>
      <c r="H49" s="183"/>
      <c r="I49" s="211" t="s">
        <v>166</v>
      </c>
      <c r="J49" s="184"/>
      <c r="K49" s="776"/>
      <c r="L49" s="777"/>
      <c r="M49" s="272"/>
      <c r="N49" s="776"/>
      <c r="O49" s="777"/>
      <c r="P49" s="129"/>
      <c r="Q49" s="129"/>
      <c r="R49" s="129"/>
      <c r="S49" s="129"/>
      <c r="T49" s="127"/>
      <c r="U49" s="136" t="s">
        <v>494</v>
      </c>
    </row>
    <row r="50" spans="1:21" s="5" customFormat="1" ht="14.25" customHeight="1" thickBot="1">
      <c r="A50" s="165"/>
      <c r="B50" s="215" t="s">
        <v>214</v>
      </c>
      <c r="C50" s="179"/>
      <c r="D50" s="233"/>
      <c r="E50" s="233"/>
      <c r="F50" s="233"/>
      <c r="G50" s="233"/>
      <c r="H50" s="178"/>
      <c r="I50" s="178"/>
      <c r="J50" s="439"/>
      <c r="K50" s="862">
        <f>SUM(K45:K49)</f>
        <v>0</v>
      </c>
      <c r="L50" s="863"/>
      <c r="M50" s="272"/>
      <c r="N50" s="900">
        <f>SUM(N45:N49)</f>
        <v>0</v>
      </c>
      <c r="O50" s="901"/>
      <c r="P50" s="129"/>
      <c r="Q50" s="129"/>
      <c r="R50" s="129"/>
      <c r="S50" s="129"/>
      <c r="T50" s="127"/>
      <c r="U50" s="136" t="s">
        <v>225</v>
      </c>
    </row>
    <row r="51" spans="1:21" s="5" customFormat="1" ht="14.25" customHeight="1">
      <c r="A51" s="212" t="s">
        <v>215</v>
      </c>
      <c r="B51" s="210"/>
      <c r="C51" s="210"/>
      <c r="D51" s="429"/>
      <c r="E51" s="429"/>
      <c r="F51" s="438"/>
      <c r="G51" s="440" t="s">
        <v>465</v>
      </c>
      <c r="H51" s="858" t="s">
        <v>94</v>
      </c>
      <c r="I51" s="859"/>
      <c r="J51" s="859"/>
      <c r="K51" s="854">
        <f>IF(AND($A$5&lt;=$K$5,SUM('Travel Calculator'!$L$14:$M$14)&gt;0),('Travel Calculator'!$L$9*(1-'Travel Calculator'!$N$4)),)</f>
        <v>0</v>
      </c>
      <c r="L51" s="855"/>
      <c r="M51" s="272"/>
      <c r="N51" s="854">
        <f>IF(AND($A$5&lt;=$K$5,SUM('Travel Calculator'!$L$14:$M$14)&gt;0),('Travel Calculator'!$L$9*('Travel Calculator'!$N$4)),)</f>
        <v>0</v>
      </c>
      <c r="O51" s="855"/>
      <c r="P51" s="129"/>
      <c r="Q51" s="129"/>
      <c r="R51" s="129"/>
      <c r="S51" s="129"/>
      <c r="T51" s="127"/>
      <c r="U51" s="136" t="s">
        <v>225</v>
      </c>
    </row>
    <row r="52" spans="1:21" s="5" customFormat="1" ht="14.25" customHeight="1" thickBot="1">
      <c r="A52" s="212"/>
      <c r="B52" s="210"/>
      <c r="C52" s="210"/>
      <c r="D52" s="429"/>
      <c r="E52" s="429"/>
      <c r="F52" s="438"/>
      <c r="G52" s="440" t="s">
        <v>466</v>
      </c>
      <c r="H52" s="858" t="s">
        <v>95</v>
      </c>
      <c r="I52" s="859"/>
      <c r="J52" s="859"/>
      <c r="K52" s="864">
        <f>IF(AND($A$5&lt;=$K$5,SUM('Travel Calculator'!$L$14:$M$14)&gt;0),('Travel Calculator'!$M$9*(1-'Travel Calculator'!$N$4)),)</f>
        <v>0</v>
      </c>
      <c r="L52" s="865"/>
      <c r="M52" s="272"/>
      <c r="N52" s="864">
        <f>IF(AND($A$5&lt;=$K$5,SUM('Travel Calculator'!$L$14:$M$14)&gt;0),('Travel Calculator'!$M$9*('Travel Calculator'!$N$4)),)</f>
        <v>0</v>
      </c>
      <c r="O52" s="865"/>
      <c r="P52" s="904" t="s">
        <v>158</v>
      </c>
      <c r="Q52" s="904"/>
      <c r="R52" s="904"/>
      <c r="S52" s="904"/>
      <c r="T52" s="446" t="s">
        <v>236</v>
      </c>
      <c r="U52" s="136" t="s">
        <v>225</v>
      </c>
    </row>
    <row r="53" spans="1:21" s="5" customFormat="1" ht="14.25" customHeight="1" thickBot="1">
      <c r="A53" s="196"/>
      <c r="B53" s="202"/>
      <c r="C53" s="202"/>
      <c r="D53" s="216"/>
      <c r="E53" s="216"/>
      <c r="F53" s="216"/>
      <c r="G53" s="216"/>
      <c r="H53" s="860" t="s">
        <v>110</v>
      </c>
      <c r="I53" s="860"/>
      <c r="J53" s="861"/>
      <c r="K53" s="852">
        <f>K51+K52</f>
        <v>0</v>
      </c>
      <c r="L53" s="853"/>
      <c r="M53" s="272"/>
      <c r="N53" s="867">
        <f>N51+N52</f>
        <v>0</v>
      </c>
      <c r="O53" s="868"/>
      <c r="P53" s="767"/>
      <c r="Q53" s="767"/>
      <c r="R53" s="767"/>
      <c r="S53" s="767"/>
      <c r="T53" s="447" t="s">
        <v>252</v>
      </c>
      <c r="U53" s="136" t="s">
        <v>225</v>
      </c>
    </row>
    <row r="54" spans="1:21" s="5" customFormat="1" ht="14.25" customHeight="1">
      <c r="A54" s="212" t="s">
        <v>216</v>
      </c>
      <c r="B54" s="210"/>
      <c r="C54" s="210"/>
      <c r="D54" s="213"/>
      <c r="E54" s="213"/>
      <c r="F54" s="213"/>
      <c r="G54" s="213"/>
      <c r="H54" s="210"/>
      <c r="I54" s="217"/>
      <c r="J54" s="210"/>
      <c r="K54" s="37"/>
      <c r="L54" s="38"/>
      <c r="M54" s="272"/>
      <c r="N54" s="37"/>
      <c r="O54" s="451"/>
      <c r="P54" s="904" t="s">
        <v>230</v>
      </c>
      <c r="Q54" s="904"/>
      <c r="R54" s="904"/>
      <c r="S54" s="904"/>
      <c r="T54" s="446" t="s">
        <v>236</v>
      </c>
      <c r="U54" s="136" t="s">
        <v>225</v>
      </c>
    </row>
    <row r="55" spans="1:21" s="5" customFormat="1" ht="14.25" customHeight="1">
      <c r="A55" s="212"/>
      <c r="B55" s="218">
        <v>1</v>
      </c>
      <c r="C55" s="780" t="s">
        <v>217</v>
      </c>
      <c r="D55" s="780"/>
      <c r="E55" s="780"/>
      <c r="F55" s="780"/>
      <c r="G55" s="780"/>
      <c r="H55" s="780"/>
      <c r="I55" s="780"/>
      <c r="J55" s="858"/>
      <c r="K55" s="776">
        <v>0</v>
      </c>
      <c r="L55" s="777"/>
      <c r="M55" s="272"/>
      <c r="N55" s="776"/>
      <c r="O55" s="869"/>
      <c r="P55" s="767"/>
      <c r="Q55" s="767"/>
      <c r="R55" s="767"/>
      <c r="S55" s="767"/>
      <c r="T55" s="447" t="s">
        <v>242</v>
      </c>
      <c r="U55" s="136" t="s">
        <v>225</v>
      </c>
    </row>
    <row r="56" spans="1:21" s="5" customFormat="1" ht="14.25" customHeight="1">
      <c r="A56" s="212"/>
      <c r="B56" s="218">
        <v>2</v>
      </c>
      <c r="C56" s="780" t="s">
        <v>218</v>
      </c>
      <c r="D56" s="780"/>
      <c r="E56" s="780"/>
      <c r="F56" s="780"/>
      <c r="G56" s="780"/>
      <c r="H56" s="780"/>
      <c r="I56" s="780"/>
      <c r="J56" s="858"/>
      <c r="K56" s="776"/>
      <c r="L56" s="777"/>
      <c r="M56" s="272"/>
      <c r="N56" s="776"/>
      <c r="O56" s="869"/>
      <c r="P56" s="767"/>
      <c r="Q56" s="767"/>
      <c r="R56" s="767"/>
      <c r="S56" s="767"/>
      <c r="T56" s="447" t="s">
        <v>243</v>
      </c>
      <c r="U56" s="136" t="s">
        <v>225</v>
      </c>
    </row>
    <row r="57" spans="1:21" s="5" customFormat="1" ht="14.25" customHeight="1">
      <c r="A57" s="212"/>
      <c r="B57" s="218">
        <v>3</v>
      </c>
      <c r="C57" s="780" t="s">
        <v>219</v>
      </c>
      <c r="D57" s="780"/>
      <c r="E57" s="780"/>
      <c r="F57" s="780"/>
      <c r="G57" s="780"/>
      <c r="H57" s="780"/>
      <c r="I57" s="780"/>
      <c r="J57" s="858"/>
      <c r="K57" s="776"/>
      <c r="L57" s="777"/>
      <c r="M57" s="272"/>
      <c r="N57" s="776"/>
      <c r="O57" s="869"/>
      <c r="P57" s="767"/>
      <c r="Q57" s="767"/>
      <c r="R57" s="767"/>
      <c r="S57" s="767"/>
      <c r="T57" s="447" t="s">
        <v>244</v>
      </c>
      <c r="U57" s="136" t="s">
        <v>225</v>
      </c>
    </row>
    <row r="58" spans="1:21" s="5" customFormat="1" ht="14.25" customHeight="1">
      <c r="A58" s="212"/>
      <c r="B58" s="218">
        <v>4</v>
      </c>
      <c r="C58" s="780" t="s">
        <v>220</v>
      </c>
      <c r="D58" s="780"/>
      <c r="E58" s="780"/>
      <c r="F58" s="780"/>
      <c r="G58" s="780"/>
      <c r="H58" s="780"/>
      <c r="I58" s="780"/>
      <c r="J58" s="858"/>
      <c r="K58" s="776"/>
      <c r="L58" s="777"/>
      <c r="M58" s="272"/>
      <c r="N58" s="776"/>
      <c r="O58" s="869"/>
      <c r="P58" s="767"/>
      <c r="Q58" s="767"/>
      <c r="R58" s="767"/>
      <c r="S58" s="767"/>
      <c r="T58" s="447" t="s">
        <v>245</v>
      </c>
      <c r="U58" s="136" t="s">
        <v>225</v>
      </c>
    </row>
    <row r="59" spans="1:21" s="5" customFormat="1" ht="14.25" customHeight="1">
      <c r="A59" s="212"/>
      <c r="B59" s="218">
        <v>5</v>
      </c>
      <c r="C59" s="780" t="s">
        <v>221</v>
      </c>
      <c r="D59" s="780"/>
      <c r="E59" s="780"/>
      <c r="F59" s="780"/>
      <c r="G59" s="780"/>
      <c r="H59" s="780"/>
      <c r="I59" s="780"/>
      <c r="J59" s="858"/>
      <c r="K59" s="771">
        <f>SUM((H38/12)*LOOKUP(K8,Lists!A2:A812,Lists!K2:K812))</f>
        <v>0</v>
      </c>
      <c r="L59" s="772"/>
      <c r="M59" s="272"/>
      <c r="N59" s="917">
        <f>SUM((M38/12)*LOOKUP(K8,Lists!A2:A812,Lists!K2:K812))</f>
        <v>0</v>
      </c>
      <c r="O59" s="918"/>
      <c r="P59" s="904" t="s">
        <v>160</v>
      </c>
      <c r="Q59" s="904"/>
      <c r="R59" s="904"/>
      <c r="S59" s="904"/>
      <c r="T59" s="446" t="s">
        <v>236</v>
      </c>
      <c r="U59" s="136" t="s">
        <v>225</v>
      </c>
    </row>
    <row r="60" spans="1:21" s="5" customFormat="1" ht="14.25" customHeight="1">
      <c r="A60" s="212"/>
      <c r="B60" s="218">
        <v>6</v>
      </c>
      <c r="C60" s="780" t="s">
        <v>222</v>
      </c>
      <c r="D60" s="780"/>
      <c r="E60" s="780"/>
      <c r="F60" s="780"/>
      <c r="G60" s="780"/>
      <c r="H60" s="780"/>
      <c r="I60" s="780"/>
      <c r="J60" s="858"/>
      <c r="K60" s="776"/>
      <c r="L60" s="777"/>
      <c r="M60" s="272"/>
      <c r="N60" s="776"/>
      <c r="O60" s="869"/>
      <c r="P60" s="767"/>
      <c r="Q60" s="767"/>
      <c r="R60" s="767"/>
      <c r="S60" s="767"/>
      <c r="T60" s="447" t="s">
        <v>246</v>
      </c>
      <c r="U60" s="136" t="s">
        <v>225</v>
      </c>
    </row>
    <row r="61" spans="1:21" s="5" customFormat="1" ht="14.25" customHeight="1" thickBot="1">
      <c r="A61" s="212"/>
      <c r="B61" s="218">
        <v>7</v>
      </c>
      <c r="C61" s="780" t="s">
        <v>289</v>
      </c>
      <c r="D61" s="780"/>
      <c r="E61" s="780"/>
      <c r="F61" s="780"/>
      <c r="G61" s="780"/>
      <c r="H61" s="780"/>
      <c r="I61" s="780"/>
      <c r="J61" s="858"/>
      <c r="K61" s="776"/>
      <c r="L61" s="777"/>
      <c r="M61" s="272"/>
      <c r="N61" s="776"/>
      <c r="O61" s="869"/>
      <c r="P61" s="219" t="s">
        <v>149</v>
      </c>
      <c r="Q61" s="904" t="s">
        <v>159</v>
      </c>
      <c r="R61" s="904"/>
      <c r="S61" s="904"/>
      <c r="T61" s="446" t="s">
        <v>236</v>
      </c>
      <c r="U61" s="136" t="s">
        <v>225</v>
      </c>
    </row>
    <row r="62" spans="1:21" s="5" customFormat="1" ht="14.25" customHeight="1" thickBot="1">
      <c r="A62" s="196"/>
      <c r="B62" s="275">
        <v>8</v>
      </c>
      <c r="C62" s="780" t="s">
        <v>573</v>
      </c>
      <c r="D62" s="780"/>
      <c r="E62" s="778" t="s">
        <v>298</v>
      </c>
      <c r="F62" s="779"/>
      <c r="G62" s="768">
        <f>'Subaward Calculator'!B8</f>
        <v>0</v>
      </c>
      <c r="H62" s="769"/>
      <c r="I62" s="770"/>
      <c r="J62" s="452">
        <f>IF(K62&lt;25000,25000-K62,0)</f>
        <v>25000</v>
      </c>
      <c r="K62" s="782">
        <f>'Subaward Calculator'!E9</f>
        <v>0</v>
      </c>
      <c r="L62" s="866"/>
      <c r="M62" s="272"/>
      <c r="N62" s="782">
        <f>'Subaward Calculator'!G9</f>
        <v>0</v>
      </c>
      <c r="O62" s="783"/>
      <c r="P62" s="592">
        <f>'Subaward Calculator'!B9</f>
        <v>0</v>
      </c>
      <c r="Q62" s="767"/>
      <c r="R62" s="767"/>
      <c r="S62" s="767"/>
      <c r="T62" s="447" t="s">
        <v>247</v>
      </c>
      <c r="U62" s="136" t="s">
        <v>225</v>
      </c>
    </row>
    <row r="63" spans="1:21" s="5" customFormat="1" ht="14.25" hidden="1" customHeight="1" thickBot="1">
      <c r="A63" s="212"/>
      <c r="B63" s="275">
        <v>9</v>
      </c>
      <c r="C63" s="780" t="s">
        <v>574</v>
      </c>
      <c r="D63" s="780"/>
      <c r="E63" s="778" t="s">
        <v>298</v>
      </c>
      <c r="F63" s="779"/>
      <c r="G63" s="768">
        <f>'Subaward Calculator'!B11</f>
        <v>0</v>
      </c>
      <c r="H63" s="769"/>
      <c r="I63" s="770"/>
      <c r="J63" s="452">
        <f t="shared" ref="J63:J73" si="9">IF(K63&lt;25000,25000-K63,0)</f>
        <v>25000</v>
      </c>
      <c r="K63" s="782">
        <f>'Subaward Calculator'!E12</f>
        <v>0</v>
      </c>
      <c r="L63" s="866"/>
      <c r="M63" s="272"/>
      <c r="N63" s="782">
        <f>'Subaward Calculator'!G12</f>
        <v>0</v>
      </c>
      <c r="O63" s="783"/>
      <c r="P63" s="592">
        <f>'Subaward Calculator'!B12</f>
        <v>0</v>
      </c>
      <c r="Q63" s="767"/>
      <c r="R63" s="767"/>
      <c r="S63" s="767"/>
      <c r="T63" s="447" t="s">
        <v>248</v>
      </c>
      <c r="U63" s="136" t="s">
        <v>228</v>
      </c>
    </row>
    <row r="64" spans="1:21" s="5" customFormat="1" ht="14.25" hidden="1" customHeight="1" thickBot="1">
      <c r="A64" s="212"/>
      <c r="B64" s="275">
        <v>10</v>
      </c>
      <c r="C64" s="780" t="s">
        <v>575</v>
      </c>
      <c r="D64" s="780"/>
      <c r="E64" s="778" t="s">
        <v>298</v>
      </c>
      <c r="F64" s="779"/>
      <c r="G64" s="768">
        <f>'Subaward Calculator'!B14</f>
        <v>0</v>
      </c>
      <c r="H64" s="769"/>
      <c r="I64" s="770"/>
      <c r="J64" s="452">
        <f t="shared" si="9"/>
        <v>25000</v>
      </c>
      <c r="K64" s="782">
        <f>'Subaward Calculator'!E15</f>
        <v>0</v>
      </c>
      <c r="L64" s="866"/>
      <c r="M64" s="272"/>
      <c r="N64" s="782">
        <f>'Subaward Calculator'!G15</f>
        <v>0</v>
      </c>
      <c r="O64" s="783"/>
      <c r="P64" s="592">
        <f>'Subaward Calculator'!B15</f>
        <v>0</v>
      </c>
      <c r="Q64" s="767"/>
      <c r="R64" s="767"/>
      <c r="S64" s="767"/>
      <c r="T64" s="447" t="s">
        <v>251</v>
      </c>
      <c r="U64" s="136" t="s">
        <v>228</v>
      </c>
    </row>
    <row r="65" spans="1:21" s="5" customFormat="1" ht="14.25" hidden="1" customHeight="1" thickBot="1">
      <c r="A65" s="212"/>
      <c r="B65" s="275">
        <v>11</v>
      </c>
      <c r="C65" s="780" t="s">
        <v>576</v>
      </c>
      <c r="D65" s="780"/>
      <c r="E65" s="778" t="s">
        <v>298</v>
      </c>
      <c r="F65" s="779"/>
      <c r="G65" s="768">
        <f>'Subaward Calculator'!B17</f>
        <v>0</v>
      </c>
      <c r="H65" s="769"/>
      <c r="I65" s="770"/>
      <c r="J65" s="452">
        <f t="shared" si="9"/>
        <v>25000</v>
      </c>
      <c r="K65" s="782">
        <f>'Subaward Calculator'!E18</f>
        <v>0</v>
      </c>
      <c r="L65" s="866"/>
      <c r="M65" s="272"/>
      <c r="N65" s="782">
        <f>'Subaward Calculator'!G18</f>
        <v>0</v>
      </c>
      <c r="O65" s="783"/>
      <c r="P65" s="592">
        <f>'Subaward Calculator'!B18</f>
        <v>0</v>
      </c>
      <c r="Q65" s="767"/>
      <c r="R65" s="767"/>
      <c r="S65" s="767"/>
      <c r="T65" s="447" t="s">
        <v>247</v>
      </c>
      <c r="U65" s="136" t="s">
        <v>228</v>
      </c>
    </row>
    <row r="66" spans="1:21" s="5" customFormat="1" ht="14.25" hidden="1" customHeight="1" thickBot="1">
      <c r="A66" s="212"/>
      <c r="B66" s="275">
        <v>12</v>
      </c>
      <c r="C66" s="780" t="s">
        <v>577</v>
      </c>
      <c r="D66" s="780"/>
      <c r="E66" s="778" t="s">
        <v>298</v>
      </c>
      <c r="F66" s="779"/>
      <c r="G66" s="768">
        <f>'Subaward Calculator'!B20</f>
        <v>0</v>
      </c>
      <c r="H66" s="769"/>
      <c r="I66" s="770"/>
      <c r="J66" s="452">
        <f t="shared" si="9"/>
        <v>25000</v>
      </c>
      <c r="K66" s="782">
        <f>'Subaward Calculator'!E21</f>
        <v>0</v>
      </c>
      <c r="L66" s="866"/>
      <c r="M66" s="272"/>
      <c r="N66" s="782">
        <f>'Subaward Calculator'!G21</f>
        <v>0</v>
      </c>
      <c r="O66" s="783"/>
      <c r="P66" s="592">
        <f>'Subaward Calculator'!B21</f>
        <v>0</v>
      </c>
      <c r="Q66" s="767"/>
      <c r="R66" s="767"/>
      <c r="S66" s="767"/>
      <c r="T66" s="447" t="s">
        <v>248</v>
      </c>
      <c r="U66" s="136" t="s">
        <v>228</v>
      </c>
    </row>
    <row r="67" spans="1:21" s="5" customFormat="1" ht="14.25" hidden="1" customHeight="1" thickBot="1">
      <c r="A67" s="212"/>
      <c r="B67" s="275">
        <v>13</v>
      </c>
      <c r="C67" s="780" t="s">
        <v>578</v>
      </c>
      <c r="D67" s="780"/>
      <c r="E67" s="778" t="s">
        <v>298</v>
      </c>
      <c r="F67" s="779"/>
      <c r="G67" s="768">
        <f>'Subaward Calculator'!B23</f>
        <v>0</v>
      </c>
      <c r="H67" s="769"/>
      <c r="I67" s="770"/>
      <c r="J67" s="452">
        <f t="shared" si="9"/>
        <v>25000</v>
      </c>
      <c r="K67" s="782">
        <f>'Subaward Calculator'!E24</f>
        <v>0</v>
      </c>
      <c r="L67" s="866"/>
      <c r="M67" s="272"/>
      <c r="N67" s="782">
        <f>'Subaward Calculator'!G24</f>
        <v>0</v>
      </c>
      <c r="O67" s="783"/>
      <c r="P67" s="592">
        <f>'Subaward Calculator'!B24</f>
        <v>0</v>
      </c>
      <c r="Q67" s="767"/>
      <c r="R67" s="767"/>
      <c r="S67" s="767"/>
      <c r="T67" s="447" t="s">
        <v>251</v>
      </c>
      <c r="U67" s="136" t="s">
        <v>228</v>
      </c>
    </row>
    <row r="68" spans="1:21" s="5" customFormat="1" ht="14.25" hidden="1" customHeight="1" thickBot="1">
      <c r="A68" s="212"/>
      <c r="B68" s="275">
        <v>14</v>
      </c>
      <c r="C68" s="780" t="s">
        <v>579</v>
      </c>
      <c r="D68" s="780"/>
      <c r="E68" s="778" t="s">
        <v>298</v>
      </c>
      <c r="F68" s="779"/>
      <c r="G68" s="768">
        <f>'Subaward Calculator'!B26</f>
        <v>0</v>
      </c>
      <c r="H68" s="769"/>
      <c r="I68" s="770"/>
      <c r="J68" s="452">
        <f t="shared" si="9"/>
        <v>25000</v>
      </c>
      <c r="K68" s="782">
        <f>'Subaward Calculator'!E27</f>
        <v>0</v>
      </c>
      <c r="L68" s="866"/>
      <c r="M68" s="272"/>
      <c r="N68" s="782">
        <f>'Subaward Calculator'!G27</f>
        <v>0</v>
      </c>
      <c r="O68" s="783"/>
      <c r="P68" s="592">
        <f>'Subaward Calculator'!B27</f>
        <v>0</v>
      </c>
      <c r="Q68" s="767"/>
      <c r="R68" s="767"/>
      <c r="S68" s="767"/>
      <c r="T68" s="447" t="s">
        <v>247</v>
      </c>
      <c r="U68" s="136" t="s">
        <v>229</v>
      </c>
    </row>
    <row r="69" spans="1:21" s="5" customFormat="1" ht="14.25" hidden="1" customHeight="1" thickBot="1">
      <c r="A69" s="212"/>
      <c r="B69" s="275">
        <v>15</v>
      </c>
      <c r="C69" s="780" t="s">
        <v>580</v>
      </c>
      <c r="D69" s="780"/>
      <c r="E69" s="778" t="s">
        <v>298</v>
      </c>
      <c r="F69" s="779"/>
      <c r="G69" s="768">
        <f>'Subaward Calculator'!B29</f>
        <v>0</v>
      </c>
      <c r="H69" s="769"/>
      <c r="I69" s="770"/>
      <c r="J69" s="452">
        <f t="shared" si="9"/>
        <v>25000</v>
      </c>
      <c r="K69" s="782">
        <f>'Subaward Calculator'!E30</f>
        <v>0</v>
      </c>
      <c r="L69" s="866"/>
      <c r="M69" s="272"/>
      <c r="N69" s="782">
        <f>'Subaward Calculator'!G30</f>
        <v>0</v>
      </c>
      <c r="O69" s="783"/>
      <c r="P69" s="592">
        <f>'Subaward Calculator'!B30</f>
        <v>0</v>
      </c>
      <c r="Q69" s="767"/>
      <c r="R69" s="767"/>
      <c r="S69" s="767"/>
      <c r="T69" s="447" t="s">
        <v>248</v>
      </c>
      <c r="U69" s="136" t="s">
        <v>229</v>
      </c>
    </row>
    <row r="70" spans="1:21" s="5" customFormat="1" ht="14.25" hidden="1" customHeight="1" thickBot="1">
      <c r="A70" s="212"/>
      <c r="B70" s="275">
        <v>16</v>
      </c>
      <c r="C70" s="780" t="s">
        <v>581</v>
      </c>
      <c r="D70" s="780"/>
      <c r="E70" s="778" t="s">
        <v>298</v>
      </c>
      <c r="F70" s="779"/>
      <c r="G70" s="768">
        <f>'Subaward Calculator'!B32</f>
        <v>0</v>
      </c>
      <c r="H70" s="769"/>
      <c r="I70" s="770"/>
      <c r="J70" s="452">
        <f t="shared" si="9"/>
        <v>25000</v>
      </c>
      <c r="K70" s="782">
        <f>'Subaward Calculator'!E33</f>
        <v>0</v>
      </c>
      <c r="L70" s="866"/>
      <c r="M70" s="272"/>
      <c r="N70" s="782">
        <f>'Subaward Calculator'!G33</f>
        <v>0</v>
      </c>
      <c r="O70" s="783"/>
      <c r="P70" s="592">
        <f>'Subaward Calculator'!B33</f>
        <v>0</v>
      </c>
      <c r="Q70" s="767"/>
      <c r="R70" s="767"/>
      <c r="S70" s="767"/>
      <c r="T70" s="447" t="s">
        <v>251</v>
      </c>
      <c r="U70" s="136" t="s">
        <v>229</v>
      </c>
    </row>
    <row r="71" spans="1:21" s="5" customFormat="1" ht="14.25" hidden="1" customHeight="1" thickBot="1">
      <c r="A71" s="212"/>
      <c r="B71" s="275">
        <v>17</v>
      </c>
      <c r="C71" s="780" t="s">
        <v>582</v>
      </c>
      <c r="D71" s="780"/>
      <c r="E71" s="778" t="s">
        <v>298</v>
      </c>
      <c r="F71" s="779"/>
      <c r="G71" s="768">
        <f>'Subaward Calculator'!B35</f>
        <v>0</v>
      </c>
      <c r="H71" s="769"/>
      <c r="I71" s="770"/>
      <c r="J71" s="452">
        <f t="shared" si="9"/>
        <v>25000</v>
      </c>
      <c r="K71" s="782">
        <f>'Subaward Calculator'!E36</f>
        <v>0</v>
      </c>
      <c r="L71" s="866"/>
      <c r="M71" s="272"/>
      <c r="N71" s="782">
        <f>'Subaward Calculator'!G36</f>
        <v>0</v>
      </c>
      <c r="O71" s="783"/>
      <c r="P71" s="592">
        <f>'Subaward Calculator'!B36</f>
        <v>0</v>
      </c>
      <c r="Q71" s="767"/>
      <c r="R71" s="767"/>
      <c r="S71" s="767"/>
      <c r="T71" s="447" t="s">
        <v>247</v>
      </c>
      <c r="U71" s="136" t="s">
        <v>229</v>
      </c>
    </row>
    <row r="72" spans="1:21" s="5" customFormat="1" ht="14.25" hidden="1" customHeight="1" thickBot="1">
      <c r="A72" s="212"/>
      <c r="B72" s="275">
        <v>18</v>
      </c>
      <c r="C72" s="780" t="s">
        <v>583</v>
      </c>
      <c r="D72" s="780"/>
      <c r="E72" s="778" t="s">
        <v>298</v>
      </c>
      <c r="F72" s="779"/>
      <c r="G72" s="768">
        <f>'Subaward Calculator'!B38</f>
        <v>0</v>
      </c>
      <c r="H72" s="769"/>
      <c r="I72" s="770"/>
      <c r="J72" s="452">
        <f t="shared" si="9"/>
        <v>25000</v>
      </c>
      <c r="K72" s="782">
        <f>'Subaward Calculator'!E39</f>
        <v>0</v>
      </c>
      <c r="L72" s="866"/>
      <c r="M72" s="272"/>
      <c r="N72" s="782">
        <f>'Subaward Calculator'!G39</f>
        <v>0</v>
      </c>
      <c r="O72" s="783"/>
      <c r="P72" s="592">
        <f>'Subaward Calculator'!B39</f>
        <v>0</v>
      </c>
      <c r="Q72" s="767"/>
      <c r="R72" s="767"/>
      <c r="S72" s="767"/>
      <c r="T72" s="447" t="s">
        <v>248</v>
      </c>
      <c r="U72" s="136" t="s">
        <v>229</v>
      </c>
    </row>
    <row r="73" spans="1:21" s="5" customFormat="1" ht="14.25" hidden="1" customHeight="1" thickBot="1">
      <c r="A73" s="212"/>
      <c r="B73" s="275">
        <v>19</v>
      </c>
      <c r="C73" s="780" t="s">
        <v>584</v>
      </c>
      <c r="D73" s="780"/>
      <c r="E73" s="778" t="s">
        <v>298</v>
      </c>
      <c r="F73" s="779"/>
      <c r="G73" s="768">
        <f>'Subaward Calculator'!B41</f>
        <v>0</v>
      </c>
      <c r="H73" s="769"/>
      <c r="I73" s="770"/>
      <c r="J73" s="452">
        <f t="shared" si="9"/>
        <v>25000</v>
      </c>
      <c r="K73" s="782">
        <f>'Subaward Calculator'!E42</f>
        <v>0</v>
      </c>
      <c r="L73" s="866"/>
      <c r="M73" s="272"/>
      <c r="N73" s="782">
        <f>'Subaward Calculator'!G42</f>
        <v>0</v>
      </c>
      <c r="O73" s="783"/>
      <c r="P73" s="592">
        <f>'Subaward Calculator'!B42</f>
        <v>0</v>
      </c>
      <c r="Q73" s="767"/>
      <c r="R73" s="767"/>
      <c r="S73" s="767"/>
      <c r="T73" s="447" t="s">
        <v>251</v>
      </c>
      <c r="U73" s="136" t="s">
        <v>229</v>
      </c>
    </row>
    <row r="74" spans="1:21" s="5" customFormat="1" ht="14.25" customHeight="1" thickBot="1">
      <c r="A74" s="212" t="s">
        <v>96</v>
      </c>
      <c r="B74" s="171"/>
      <c r="C74" s="171"/>
      <c r="D74" s="174"/>
      <c r="E74" s="175"/>
      <c r="F74" s="175"/>
      <c r="G74" s="175"/>
      <c r="H74" s="171"/>
      <c r="I74" s="173"/>
      <c r="J74" s="171"/>
      <c r="K74" s="852">
        <f>SUM(K55:K73)</f>
        <v>0</v>
      </c>
      <c r="L74" s="853"/>
      <c r="M74" s="272"/>
      <c r="N74" s="867">
        <f>SUM(N55:N73)</f>
        <v>0</v>
      </c>
      <c r="O74" s="893"/>
      <c r="P74" s="280"/>
      <c r="Q74" s="272"/>
      <c r="R74" s="272"/>
      <c r="S74" s="272"/>
      <c r="T74" s="281"/>
      <c r="U74" s="136" t="s">
        <v>225</v>
      </c>
    </row>
    <row r="75" spans="1:21" s="5" customFormat="1" ht="14.25" customHeight="1" thickBot="1">
      <c r="A75" s="212" t="s">
        <v>589</v>
      </c>
      <c r="B75" s="171"/>
      <c r="C75" s="171"/>
      <c r="D75" s="172"/>
      <c r="E75" s="172"/>
      <c r="F75" s="172"/>
      <c r="G75" s="172"/>
      <c r="H75" s="171"/>
      <c r="I75" s="173"/>
      <c r="J75" s="171"/>
      <c r="K75" s="852">
        <f>SUM(K43+K50+K53+K74)</f>
        <v>0</v>
      </c>
      <c r="L75" s="853"/>
      <c r="M75" s="272"/>
      <c r="N75" s="867">
        <f>SUM(N43+N50+N53+N74)</f>
        <v>0</v>
      </c>
      <c r="O75" s="893"/>
      <c r="P75" s="280"/>
      <c r="Q75" s="272"/>
      <c r="R75" s="272"/>
      <c r="S75" s="272"/>
      <c r="T75" s="282"/>
      <c r="U75" s="136" t="s">
        <v>225</v>
      </c>
    </row>
    <row r="76" spans="1:21" s="5" customFormat="1" ht="14.25" customHeight="1" thickBot="1">
      <c r="A76" s="212" t="str">
        <f>IF('Appendix C-Grants.gov Form Info'!J1&gt;0,IF(AND(SUM(K62:K73)&gt;0,'Subaward Calculator'!AD46=0),"","     Total NU Direct Costs and Subaward Direct Costs"),"")</f>
        <v/>
      </c>
      <c r="B76" s="171"/>
      <c r="C76" s="171"/>
      <c r="D76" s="172"/>
      <c r="E76" s="172"/>
      <c r="F76" s="172"/>
      <c r="G76" s="172"/>
      <c r="H76" s="171"/>
      <c r="I76" s="173"/>
      <c r="J76" s="171"/>
      <c r="K76" s="852" t="str">
        <f>IF('Appendix C-Grants.gov Form Info'!J1&gt;0,IF(AND(SUM(K62:K73)&gt;0,'Subaward Calculator'!AD46=0),"",SUM(K43+K50+K53+K74)-'Subaward Calculator'!E46+'Subaward Calculator'!E44),"")</f>
        <v/>
      </c>
      <c r="L76" s="853"/>
      <c r="M76" s="272"/>
      <c r="N76" s="588"/>
      <c r="O76" s="284"/>
      <c r="P76" s="272"/>
      <c r="Q76" s="272"/>
      <c r="R76" s="272"/>
      <c r="S76" s="272"/>
      <c r="T76" s="282"/>
      <c r="U76" s="136" t="s">
        <v>225</v>
      </c>
    </row>
    <row r="77" spans="1:21" s="5" customFormat="1" ht="14.25" customHeight="1">
      <c r="A77" s="787"/>
      <c r="B77" s="788"/>
      <c r="C77" s="788"/>
      <c r="D77" s="786" t="str">
        <f>IF(OR($L$2="No F&amp;A",$L$2="Custom"),"","Current Fiscal Year Base Rate =")</f>
        <v>Current Fiscal Year Base Rate =</v>
      </c>
      <c r="E77" s="786"/>
      <c r="F77" s="786"/>
      <c r="G77" s="916">
        <f>IF($L$2="No F&amp;A",$L$2,IF($L$2="Custom","Enter Custom Rate:",(VLOOKUP((IF($K$8&gt;=DATE(YEAR($K$8),9,1),DATE(YEAR($K$8),9,1),DATE(YEAR($K$8)-1,9,1))),Lists!A:Q,(MATCH('BP1'!$K$2&amp;" "&amp;'BP1'!$L$2,Lists!$M$1:$Q$1,0)+12),1))))</f>
        <v>0.57999999999999996</v>
      </c>
      <c r="H77" s="916"/>
      <c r="I77" s="856">
        <v>0.1</v>
      </c>
      <c r="J77" s="857"/>
      <c r="K77" s="453"/>
      <c r="L77" s="65"/>
      <c r="M77" s="272"/>
      <c r="N77" s="283"/>
      <c r="O77" s="284"/>
      <c r="P77" s="272"/>
      <c r="Q77" s="272"/>
      <c r="R77" s="272"/>
      <c r="S77" s="272"/>
      <c r="T77" s="8"/>
      <c r="U77" s="136" t="s">
        <v>225</v>
      </c>
    </row>
    <row r="78" spans="1:21" s="5" customFormat="1" ht="14.25" customHeight="1" thickBot="1">
      <c r="A78" s="894" t="str">
        <f>IF(K3="MTDC","Modified Total Direct Costs (MTDC) Base =","Total Direct Costs (TDC) Base =")</f>
        <v>Modified Total Direct Costs (MTDC) Base =</v>
      </c>
      <c r="B78" s="895"/>
      <c r="C78" s="895"/>
      <c r="D78" s="895"/>
      <c r="E78" s="895"/>
      <c r="F78" s="895"/>
      <c r="G78" s="562">
        <f>IF(K3="MTDC",IF('BP1'!K5&gt;0,K75-K50-K62-K63-K64-K65-K66-K67-K68-K69-K70-K71-K72-K73-K59-K61+IF(K62&lt;25000,K62,25000)+IF(K63&lt;25000,K63,25000)+IF(K64&lt;25000,K64,25000)+IF(K65&lt;25000,K65,25000)+IF(K66&lt;25000,K66,25000)+IF(K67&lt;25000,K67,25000)+IF(K68&lt;25000,K68,25000)+IF(K69&lt;25000,K69,25000)+IF(K70&lt;25000,K70,25000)+IF(K71&lt;25000,K71,25000)+IF(K72&lt;25000,K72,25000)+IF(K73&lt;25000,K73,25000),0),IF('BP1'!K5&gt;0,K75,0))</f>
        <v>0</v>
      </c>
      <c r="H78" s="168"/>
      <c r="I78" s="168"/>
      <c r="J78" s="288"/>
      <c r="K78" s="453"/>
      <c r="L78" s="454"/>
      <c r="M78" s="272"/>
      <c r="N78" s="899" t="s">
        <v>295</v>
      </c>
      <c r="O78" s="899"/>
      <c r="P78" s="272"/>
      <c r="Q78" s="272"/>
      <c r="R78" s="272"/>
      <c r="S78" s="272"/>
      <c r="T78" s="8"/>
      <c r="U78" s="136" t="s">
        <v>225</v>
      </c>
    </row>
    <row r="79" spans="1:21" s="5" customFormat="1" ht="14.25" customHeight="1" thickBot="1">
      <c r="A79" s="896">
        <f>IF(K3="MTDC",IF(G79&gt;0,"Modified Total Direct Costs (MTDC) Cost-Share Base =",),IF(G79&gt;0,"Total Direct Costs (TDC) Cost-Share Base =",))</f>
        <v>0</v>
      </c>
      <c r="B79" s="897"/>
      <c r="C79" s="897"/>
      <c r="D79" s="897"/>
      <c r="E79" s="897"/>
      <c r="F79" s="897"/>
      <c r="G79" s="614">
        <f>IF(K3="MTDC",IF('BP1'!K5&gt;0,N75-N50-N59-N61-N62-N63-N64-N65-N66-N67-N68-N69-N70-N71-N72-N73,0),IF('BP1'!K5&gt;0,N75,0))</f>
        <v>0</v>
      </c>
      <c r="H79" s="898" t="s">
        <v>223</v>
      </c>
      <c r="I79" s="898"/>
      <c r="J79" s="898"/>
      <c r="K79" s="852">
        <f ca="1">IF($L$2="No F&amp;A",0,(IF($L$2="Custom",$I$77,(AVERAGEIFS(INDIRECT(SUBSTITUTE(SUBSTITUTE(CONCATENATE($K$2,$L$2)," ",""),"-","")),StartDateList,"&gt;="&amp;(DATE(YEAR($K$8),MONTH($K$8),1)),StartDateList,"&lt;="&amp;$K$10))))*$G$78)</f>
        <v>0</v>
      </c>
      <c r="L79" s="853"/>
      <c r="M79" s="422"/>
      <c r="N79" s="867">
        <f ca="1">IF($L$2="No F&amp;A",0,(IF($L$2="Custom",$I$77,(AVERAGEIFS(INDIRECT(SUBSTITUTE(SUBSTITUTE(CONCATENATE($K$2,$L$2)," ",""),"-","")),StartDateList,"&gt;="&amp;(DATE(YEAR($K$8),MONTH($K$8),1)),StartDateList,"&lt;="&amp;$K$10))))*$G$79)</f>
        <v>0</v>
      </c>
      <c r="O79" s="893"/>
      <c r="P79" s="272"/>
      <c r="Q79" s="272"/>
      <c r="R79" s="272"/>
      <c r="S79" s="272"/>
      <c r="T79" s="8"/>
      <c r="U79" s="136" t="s">
        <v>225</v>
      </c>
    </row>
    <row r="80" spans="1:21" s="5" customFormat="1" ht="14.25" customHeight="1" thickBot="1">
      <c r="A80" s="212" t="s">
        <v>98</v>
      </c>
      <c r="B80" s="171"/>
      <c r="C80" s="171"/>
      <c r="D80" s="172"/>
      <c r="E80" s="172"/>
      <c r="F80" s="172"/>
      <c r="G80" s="172"/>
      <c r="H80" s="171"/>
      <c r="I80" s="173"/>
      <c r="J80" s="171"/>
      <c r="K80" s="852">
        <f ca="1">ROUND(K75,0)+ROUND(K79,0)</f>
        <v>0</v>
      </c>
      <c r="L80" s="853"/>
      <c r="M80" s="422"/>
      <c r="N80" s="870">
        <f ca="1">ROUND(N75,0)+ROUND(N79,0)</f>
        <v>0</v>
      </c>
      <c r="O80" s="871"/>
      <c r="P80" s="280"/>
      <c r="Q80" s="272"/>
      <c r="R80" s="272"/>
      <c r="S80" s="272"/>
      <c r="T80" s="8"/>
      <c r="U80" s="136" t="s">
        <v>225</v>
      </c>
    </row>
    <row r="81" spans="1:16384" ht="14.25" customHeight="1" thickBot="1">
      <c r="M81" s="272"/>
      <c r="P81" s="4"/>
      <c r="Q81" s="4"/>
      <c r="R81" s="4"/>
      <c r="S81" s="4"/>
      <c r="T81" s="4"/>
      <c r="U81" s="136" t="s">
        <v>225</v>
      </c>
    </row>
    <row r="82" spans="1:16384" ht="14.25" customHeight="1" thickBot="1">
      <c r="A82" s="212" t="s">
        <v>591</v>
      </c>
      <c r="B82" s="171"/>
      <c r="C82" s="171"/>
      <c r="D82" s="172"/>
      <c r="E82" s="172"/>
      <c r="F82" s="172"/>
      <c r="G82" s="172"/>
      <c r="H82" s="171"/>
      <c r="I82" s="173"/>
      <c r="J82" s="171"/>
      <c r="K82" s="852">
        <f>'BP1'!K75+'BP2'!K75+'BP3'!K75+'BP4'!K75+'BP5'!K75</f>
        <v>0</v>
      </c>
      <c r="L82" s="853"/>
      <c r="M82" s="272"/>
      <c r="N82" s="867">
        <f ca="1">'BP1'!N75+'BP2'!N75+'BP3'!N75+'BP4'!N75+'BP5'!N75</f>
        <v>0</v>
      </c>
      <c r="O82" s="893"/>
      <c r="P82" s="4"/>
      <c r="Q82" s="4"/>
      <c r="R82" s="4"/>
      <c r="S82" s="4"/>
      <c r="T82" s="4"/>
      <c r="U82" s="136" t="s">
        <v>225</v>
      </c>
    </row>
    <row r="83" spans="1:16384"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852">
        <f>IF(AND(SUM(K62:K73)&gt;0,'Subaward Calculator'!AD46=0),"",'BP1'!K75+'BP2'!K75+'BP3'!K75+'BP4'!K75+'BP5'!K75-'Subaward Calculator'!AD46+'Subaward Calculator'!AD44)</f>
        <v>0</v>
      </c>
      <c r="L83" s="853"/>
      <c r="M83" s="272"/>
      <c r="N83" s="612"/>
      <c r="O83" s="612"/>
      <c r="P83" s="4"/>
      <c r="Q83" s="4"/>
      <c r="R83" s="4"/>
      <c r="S83" s="4"/>
      <c r="T83" s="4"/>
      <c r="U83" s="136" t="s">
        <v>225</v>
      </c>
    </row>
    <row r="84" spans="1:16384" s="138" customFormat="1" ht="14.25" customHeight="1" thickBot="1">
      <c r="A84" s="212" t="s">
        <v>471</v>
      </c>
      <c r="B84" s="171"/>
      <c r="C84" s="171"/>
      <c r="D84" s="172"/>
      <c r="E84" s="172"/>
      <c r="F84" s="172"/>
      <c r="G84" s="172"/>
      <c r="H84" s="171"/>
      <c r="I84" s="173"/>
      <c r="J84" s="171"/>
      <c r="K84" s="852">
        <f ca="1">'BP1'!K80+'BP2'!K80+'BP3'!K80+'BP4'!K80+'BP5'!K80</f>
        <v>0</v>
      </c>
      <c r="L84" s="853"/>
      <c r="M84" s="272"/>
      <c r="N84" s="867">
        <f ca="1">'BP1'!N80+'BP2'!N80+'BP3'!N80+'BP4'!N80+'BP5'!N80</f>
        <v>0</v>
      </c>
      <c r="O84" s="893"/>
      <c r="P84" s="4"/>
      <c r="Q84" s="4"/>
      <c r="R84" s="4"/>
      <c r="S84" s="4"/>
      <c r="T84" s="4"/>
      <c r="U84" s="136" t="s">
        <v>225</v>
      </c>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c r="AML84" s="1"/>
      <c r="AMM84" s="1"/>
      <c r="AMN84" s="1"/>
      <c r="AMO84" s="1"/>
      <c r="AMP84" s="1"/>
      <c r="AMQ84" s="1"/>
      <c r="AMR84" s="1"/>
      <c r="AMS84" s="1"/>
      <c r="AMT84" s="1"/>
      <c r="AMU84" s="1"/>
      <c r="AMV84" s="1"/>
      <c r="AMW84" s="1"/>
      <c r="AMX84" s="1"/>
      <c r="AMY84" s="1"/>
      <c r="AMZ84" s="1"/>
      <c r="ANA84" s="1"/>
      <c r="ANB84" s="1"/>
      <c r="ANC84" s="1"/>
      <c r="AND84" s="1"/>
      <c r="ANE84" s="1"/>
      <c r="ANF84" s="1"/>
      <c r="ANG84" s="1"/>
      <c r="ANH84" s="1"/>
      <c r="ANI84" s="1"/>
      <c r="ANJ84" s="1"/>
      <c r="ANK84" s="1"/>
      <c r="ANL84" s="1"/>
      <c r="ANM84" s="1"/>
      <c r="ANN84" s="1"/>
      <c r="ANO84" s="1"/>
      <c r="ANP84" s="1"/>
      <c r="ANQ84" s="1"/>
      <c r="ANR84" s="1"/>
      <c r="ANS84" s="1"/>
      <c r="ANT84" s="1"/>
      <c r="ANU84" s="1"/>
      <c r="ANV84" s="1"/>
      <c r="ANW84" s="1"/>
      <c r="ANX84" s="1"/>
      <c r="ANY84" s="1"/>
      <c r="ANZ84" s="1"/>
      <c r="AOA84" s="1"/>
      <c r="AOB84" s="1"/>
      <c r="AOC84" s="1"/>
      <c r="AOD84" s="1"/>
      <c r="AOE84" s="1"/>
      <c r="AOF84" s="1"/>
      <c r="AOG84" s="1"/>
      <c r="AOH84" s="1"/>
      <c r="AOI84" s="1"/>
      <c r="AOJ84" s="1"/>
      <c r="AOK84" s="1"/>
      <c r="AOL84" s="1"/>
      <c r="AOM84" s="1"/>
      <c r="AON84" s="1"/>
      <c r="AOO84" s="1"/>
      <c r="AOP84" s="1"/>
      <c r="AOQ84" s="1"/>
      <c r="AOR84" s="1"/>
      <c r="AOS84" s="1"/>
      <c r="AOT84" s="1"/>
      <c r="AOU84" s="1"/>
      <c r="AOV84" s="1"/>
      <c r="AOW84" s="1"/>
      <c r="AOX84" s="1"/>
      <c r="AOY84" s="1"/>
      <c r="AOZ84" s="1"/>
      <c r="APA84" s="1"/>
      <c r="APB84" s="1"/>
      <c r="APC84" s="1"/>
      <c r="APD84" s="1"/>
      <c r="APE84" s="1"/>
      <c r="APF84" s="1"/>
      <c r="APG84" s="1"/>
      <c r="APH84" s="1"/>
      <c r="API84" s="1"/>
      <c r="APJ84" s="1"/>
      <c r="APK84" s="1"/>
      <c r="APL84" s="1"/>
      <c r="APM84" s="1"/>
      <c r="APN84" s="1"/>
      <c r="APO84" s="1"/>
      <c r="APP84" s="1"/>
      <c r="APQ84" s="1"/>
      <c r="APR84" s="1"/>
      <c r="APS84" s="1"/>
      <c r="APT84" s="1"/>
      <c r="APU84" s="1"/>
      <c r="APV84" s="1"/>
      <c r="APW84" s="1"/>
      <c r="APX84" s="1"/>
      <c r="APY84" s="1"/>
      <c r="APZ84" s="1"/>
      <c r="AQA84" s="1"/>
      <c r="AQB84" s="1"/>
      <c r="AQC84" s="1"/>
      <c r="AQD84" s="1"/>
      <c r="AQE84" s="1"/>
      <c r="AQF84" s="1"/>
      <c r="AQG84" s="1"/>
      <c r="AQH84" s="1"/>
      <c r="AQI84" s="1"/>
      <c r="AQJ84" s="1"/>
      <c r="AQK84" s="1"/>
      <c r="AQL84" s="1"/>
      <c r="AQM84" s="1"/>
      <c r="AQN84" s="1"/>
      <c r="AQO84" s="1"/>
      <c r="AQP84" s="1"/>
      <c r="AQQ84" s="1"/>
      <c r="AQR84" s="1"/>
      <c r="AQS84" s="1"/>
      <c r="AQT84" s="1"/>
      <c r="AQU84" s="1"/>
      <c r="AQV84" s="1"/>
      <c r="AQW84" s="1"/>
      <c r="AQX84" s="1"/>
      <c r="AQY84" s="1"/>
      <c r="AQZ84" s="1"/>
      <c r="ARA84" s="1"/>
      <c r="ARB84" s="1"/>
      <c r="ARC84" s="1"/>
      <c r="ARD84" s="1"/>
      <c r="ARE84" s="1"/>
      <c r="ARF84" s="1"/>
      <c r="ARG84" s="1"/>
      <c r="ARH84" s="1"/>
      <c r="ARI84" s="1"/>
      <c r="ARJ84" s="1"/>
      <c r="ARK84" s="1"/>
      <c r="ARL84" s="1"/>
      <c r="ARM84" s="1"/>
      <c r="ARN84" s="1"/>
      <c r="ARO84" s="1"/>
      <c r="ARP84" s="1"/>
      <c r="ARQ84" s="1"/>
      <c r="ARR84" s="1"/>
      <c r="ARS84" s="1"/>
      <c r="ART84" s="1"/>
      <c r="ARU84" s="1"/>
      <c r="ARV84" s="1"/>
      <c r="ARW84" s="1"/>
      <c r="ARX84" s="1"/>
      <c r="ARY84" s="1"/>
      <c r="ARZ84" s="1"/>
      <c r="ASA84" s="1"/>
      <c r="ASB84" s="1"/>
      <c r="ASC84" s="1"/>
      <c r="ASD84" s="1"/>
      <c r="ASE84" s="1"/>
      <c r="ASF84" s="1"/>
      <c r="ASG84" s="1"/>
      <c r="ASH84" s="1"/>
      <c r="ASI84" s="1"/>
      <c r="ASJ84" s="1"/>
      <c r="ASK84" s="1"/>
      <c r="ASL84" s="1"/>
      <c r="ASM84" s="1"/>
      <c r="ASN84" s="1"/>
      <c r="ASO84" s="1"/>
      <c r="ASP84" s="1"/>
      <c r="ASQ84" s="1"/>
      <c r="ASR84" s="1"/>
      <c r="ASS84" s="1"/>
      <c r="AST84" s="1"/>
      <c r="ASU84" s="1"/>
      <c r="ASV84" s="1"/>
      <c r="ASW84" s="1"/>
      <c r="ASX84" s="1"/>
      <c r="ASY84" s="1"/>
      <c r="ASZ84" s="1"/>
      <c r="ATA84" s="1"/>
      <c r="ATB84" s="1"/>
      <c r="ATC84" s="1"/>
      <c r="ATD84" s="1"/>
      <c r="ATE84" s="1"/>
      <c r="ATF84" s="1"/>
      <c r="ATG84" s="1"/>
      <c r="ATH84" s="1"/>
      <c r="ATI84" s="1"/>
      <c r="ATJ84" s="1"/>
      <c r="ATK84" s="1"/>
      <c r="ATL84" s="1"/>
      <c r="ATM84" s="1"/>
      <c r="ATN84" s="1"/>
      <c r="ATO84" s="1"/>
      <c r="ATP84" s="1"/>
      <c r="ATQ84" s="1"/>
      <c r="ATR84" s="1"/>
      <c r="ATS84" s="1"/>
      <c r="ATT84" s="1"/>
      <c r="ATU84" s="1"/>
      <c r="ATV84" s="1"/>
      <c r="ATW84" s="1"/>
      <c r="ATX84" s="1"/>
      <c r="ATY84" s="1"/>
      <c r="ATZ84" s="1"/>
      <c r="AUA84" s="1"/>
      <c r="AUB84" s="1"/>
      <c r="AUC84" s="1"/>
      <c r="AUD84" s="1"/>
      <c r="AUE84" s="1"/>
      <c r="AUF84" s="1"/>
      <c r="AUG84" s="1"/>
      <c r="AUH84" s="1"/>
      <c r="AUI84" s="1"/>
      <c r="AUJ84" s="1"/>
      <c r="AUK84" s="1"/>
      <c r="AUL84" s="1"/>
      <c r="AUM84" s="1"/>
      <c r="AUN84" s="1"/>
      <c r="AUO84" s="1"/>
      <c r="AUP84" s="1"/>
      <c r="AUQ84" s="1"/>
      <c r="AUR84" s="1"/>
      <c r="AUS84" s="1"/>
      <c r="AUT84" s="1"/>
      <c r="AUU84" s="1"/>
      <c r="AUV84" s="1"/>
      <c r="AUW84" s="1"/>
      <c r="AUX84" s="1"/>
      <c r="AUY84" s="1"/>
      <c r="AUZ84" s="1"/>
      <c r="AVA84" s="1"/>
      <c r="AVB84" s="1"/>
      <c r="AVC84" s="1"/>
      <c r="AVD84" s="1"/>
      <c r="AVE84" s="1"/>
      <c r="AVF84" s="1"/>
      <c r="AVG84" s="1"/>
      <c r="AVH84" s="1"/>
      <c r="AVI84" s="1"/>
      <c r="AVJ84" s="1"/>
      <c r="AVK84" s="1"/>
      <c r="AVL84" s="1"/>
      <c r="AVM84" s="1"/>
      <c r="AVN84" s="1"/>
      <c r="AVO84" s="1"/>
      <c r="AVP84" s="1"/>
      <c r="AVQ84" s="1"/>
      <c r="AVR84" s="1"/>
      <c r="AVS84" s="1"/>
      <c r="AVT84" s="1"/>
      <c r="AVU84" s="1"/>
      <c r="AVV84" s="1"/>
      <c r="AVW84" s="1"/>
      <c r="AVX84" s="1"/>
      <c r="AVY84" s="1"/>
      <c r="AVZ84" s="1"/>
      <c r="AWA84" s="1"/>
      <c r="AWB84" s="1"/>
      <c r="AWC84" s="1"/>
      <c r="AWD84" s="1"/>
      <c r="AWE84" s="1"/>
      <c r="AWF84" s="1"/>
      <c r="AWG84" s="1"/>
      <c r="AWH84" s="1"/>
      <c r="AWI84" s="1"/>
      <c r="AWJ84" s="1"/>
      <c r="AWK84" s="1"/>
      <c r="AWL84" s="1"/>
      <c r="AWM84" s="1"/>
      <c r="AWN84" s="1"/>
      <c r="AWO84" s="1"/>
      <c r="AWP84" s="1"/>
      <c r="AWQ84" s="1"/>
      <c r="AWR84" s="1"/>
      <c r="AWS84" s="1"/>
      <c r="AWT84" s="1"/>
      <c r="AWU84" s="1"/>
      <c r="AWV84" s="1"/>
      <c r="AWW84" s="1"/>
      <c r="AWX84" s="1"/>
      <c r="AWY84" s="1"/>
      <c r="AWZ84" s="1"/>
      <c r="AXA84" s="1"/>
      <c r="AXB84" s="1"/>
      <c r="AXC84" s="1"/>
      <c r="AXD84" s="1"/>
      <c r="AXE84" s="1"/>
      <c r="AXF84" s="1"/>
      <c r="AXG84" s="1"/>
      <c r="AXH84" s="1"/>
      <c r="AXI84" s="1"/>
      <c r="AXJ84" s="1"/>
      <c r="AXK84" s="1"/>
      <c r="AXL84" s="1"/>
      <c r="AXM84" s="1"/>
      <c r="AXN84" s="1"/>
      <c r="AXO84" s="1"/>
      <c r="AXP84" s="1"/>
      <c r="AXQ84" s="1"/>
      <c r="AXR84" s="1"/>
      <c r="AXS84" s="1"/>
      <c r="AXT84" s="1"/>
      <c r="AXU84" s="1"/>
      <c r="AXV84" s="1"/>
      <c r="AXW84" s="1"/>
      <c r="AXX84" s="1"/>
      <c r="AXY84" s="1"/>
      <c r="AXZ84" s="1"/>
      <c r="AYA84" s="1"/>
      <c r="AYB84" s="1"/>
      <c r="AYC84" s="1"/>
      <c r="AYD84" s="1"/>
      <c r="AYE84" s="1"/>
      <c r="AYF84" s="1"/>
      <c r="AYG84" s="1"/>
      <c r="AYH84" s="1"/>
      <c r="AYI84" s="1"/>
      <c r="AYJ84" s="1"/>
      <c r="AYK84" s="1"/>
      <c r="AYL84" s="1"/>
      <c r="AYM84" s="1"/>
      <c r="AYN84" s="1"/>
      <c r="AYO84" s="1"/>
      <c r="AYP84" s="1"/>
      <c r="AYQ84" s="1"/>
      <c r="AYR84" s="1"/>
      <c r="AYS84" s="1"/>
      <c r="AYT84" s="1"/>
      <c r="AYU84" s="1"/>
      <c r="AYV84" s="1"/>
      <c r="AYW84" s="1"/>
      <c r="AYX84" s="1"/>
      <c r="AYY84" s="1"/>
      <c r="AYZ84" s="1"/>
      <c r="AZA84" s="1"/>
      <c r="AZB84" s="1"/>
      <c r="AZC84" s="1"/>
      <c r="AZD84" s="1"/>
      <c r="AZE84" s="1"/>
      <c r="AZF84" s="1"/>
      <c r="AZG84" s="1"/>
      <c r="AZH84" s="1"/>
      <c r="AZI84" s="1"/>
      <c r="AZJ84" s="1"/>
      <c r="AZK84" s="1"/>
      <c r="AZL84" s="1"/>
      <c r="AZM84" s="1"/>
      <c r="AZN84" s="1"/>
      <c r="AZO84" s="1"/>
      <c r="AZP84" s="1"/>
      <c r="AZQ84" s="1"/>
      <c r="AZR84" s="1"/>
      <c r="AZS84" s="1"/>
      <c r="AZT84" s="1"/>
      <c r="AZU84" s="1"/>
      <c r="AZV84" s="1"/>
      <c r="AZW84" s="1"/>
      <c r="AZX84" s="1"/>
      <c r="AZY84" s="1"/>
      <c r="AZZ84" s="1"/>
      <c r="BAA84" s="1"/>
      <c r="BAB84" s="1"/>
      <c r="BAC84" s="1"/>
      <c r="BAD84" s="1"/>
      <c r="BAE84" s="1"/>
      <c r="BAF84" s="1"/>
      <c r="BAG84" s="1"/>
      <c r="BAH84" s="1"/>
      <c r="BAI84" s="1"/>
      <c r="BAJ84" s="1"/>
      <c r="BAK84" s="1"/>
      <c r="BAL84" s="1"/>
      <c r="BAM84" s="1"/>
      <c r="BAN84" s="1"/>
      <c r="BAO84" s="1"/>
      <c r="BAP84" s="1"/>
      <c r="BAQ84" s="1"/>
      <c r="BAR84" s="1"/>
      <c r="BAS84" s="1"/>
      <c r="BAT84" s="1"/>
      <c r="BAU84" s="1"/>
      <c r="BAV84" s="1"/>
      <c r="BAW84" s="1"/>
      <c r="BAX84" s="1"/>
      <c r="BAY84" s="1"/>
      <c r="BAZ84" s="1"/>
      <c r="BBA84" s="1"/>
      <c r="BBB84" s="1"/>
      <c r="BBC84" s="1"/>
      <c r="BBD84" s="1"/>
      <c r="BBE84" s="1"/>
      <c r="BBF84" s="1"/>
      <c r="BBG84" s="1"/>
      <c r="BBH84" s="1"/>
      <c r="BBI84" s="1"/>
      <c r="BBJ84" s="1"/>
      <c r="BBK84" s="1"/>
      <c r="BBL84" s="1"/>
      <c r="BBM84" s="1"/>
      <c r="BBN84" s="1"/>
      <c r="BBO84" s="1"/>
      <c r="BBP84" s="1"/>
      <c r="BBQ84" s="1"/>
      <c r="BBR84" s="1"/>
      <c r="BBS84" s="1"/>
      <c r="BBT84" s="1"/>
      <c r="BBU84" s="1"/>
      <c r="BBV84" s="1"/>
      <c r="BBW84" s="1"/>
      <c r="BBX84" s="1"/>
      <c r="BBY84" s="1"/>
      <c r="BBZ84" s="1"/>
      <c r="BCA84" s="1"/>
      <c r="BCB84" s="1"/>
      <c r="BCC84" s="1"/>
      <c r="BCD84" s="1"/>
      <c r="BCE84" s="1"/>
      <c r="BCF84" s="1"/>
      <c r="BCG84" s="1"/>
      <c r="BCH84" s="1"/>
      <c r="BCI84" s="1"/>
      <c r="BCJ84" s="1"/>
      <c r="BCK84" s="1"/>
      <c r="BCL84" s="1"/>
      <c r="BCM84" s="1"/>
      <c r="BCN84" s="1"/>
      <c r="BCO84" s="1"/>
      <c r="BCP84" s="1"/>
      <c r="BCQ84" s="1"/>
      <c r="BCR84" s="1"/>
      <c r="BCS84" s="1"/>
      <c r="BCT84" s="1"/>
      <c r="BCU84" s="1"/>
      <c r="BCV84" s="1"/>
      <c r="BCW84" s="1"/>
      <c r="BCX84" s="1"/>
      <c r="BCY84" s="1"/>
      <c r="BCZ84" s="1"/>
      <c r="BDA84" s="1"/>
      <c r="BDB84" s="1"/>
      <c r="BDC84" s="1"/>
      <c r="BDD84" s="1"/>
      <c r="BDE84" s="1"/>
      <c r="BDF84" s="1"/>
      <c r="BDG84" s="1"/>
      <c r="BDH84" s="1"/>
      <c r="BDI84" s="1"/>
      <c r="BDJ84" s="1"/>
      <c r="BDK84" s="1"/>
      <c r="BDL84" s="1"/>
      <c r="BDM84" s="1"/>
      <c r="BDN84" s="1"/>
      <c r="BDO84" s="1"/>
      <c r="BDP84" s="1"/>
      <c r="BDQ84" s="1"/>
      <c r="BDR84" s="1"/>
      <c r="BDS84" s="1"/>
      <c r="BDT84" s="1"/>
      <c r="BDU84" s="1"/>
      <c r="BDV84" s="1"/>
      <c r="BDW84" s="1"/>
      <c r="BDX84" s="1"/>
      <c r="BDY84" s="1"/>
      <c r="BDZ84" s="1"/>
      <c r="BEA84" s="1"/>
      <c r="BEB84" s="1"/>
      <c r="BEC84" s="1"/>
      <c r="BED84" s="1"/>
      <c r="BEE84" s="1"/>
      <c r="BEF84" s="1"/>
      <c r="BEG84" s="1"/>
      <c r="BEH84" s="1"/>
      <c r="BEI84" s="1"/>
      <c r="BEJ84" s="1"/>
      <c r="BEK84" s="1"/>
      <c r="BEL84" s="1"/>
      <c r="BEM84" s="1"/>
      <c r="BEN84" s="1"/>
      <c r="BEO84" s="1"/>
      <c r="BEP84" s="1"/>
      <c r="BEQ84" s="1"/>
      <c r="BER84" s="1"/>
      <c r="BES84" s="1"/>
      <c r="BET84" s="1"/>
      <c r="BEU84" s="1"/>
      <c r="BEV84" s="1"/>
      <c r="BEW84" s="1"/>
      <c r="BEX84" s="1"/>
      <c r="BEY84" s="1"/>
      <c r="BEZ84" s="1"/>
      <c r="BFA84" s="1"/>
      <c r="BFB84" s="1"/>
      <c r="BFC84" s="1"/>
      <c r="BFD84" s="1"/>
      <c r="BFE84" s="1"/>
      <c r="BFF84" s="1"/>
      <c r="BFG84" s="1"/>
      <c r="BFH84" s="1"/>
      <c r="BFI84" s="1"/>
      <c r="BFJ84" s="1"/>
      <c r="BFK84" s="1"/>
      <c r="BFL84" s="1"/>
      <c r="BFM84" s="1"/>
      <c r="BFN84" s="1"/>
      <c r="BFO84" s="1"/>
      <c r="BFP84" s="1"/>
      <c r="BFQ84" s="1"/>
      <c r="BFR84" s="1"/>
      <c r="BFS84" s="1"/>
      <c r="BFT84" s="1"/>
      <c r="BFU84" s="1"/>
      <c r="BFV84" s="1"/>
      <c r="BFW84" s="1"/>
      <c r="BFX84" s="1"/>
      <c r="BFY84" s="1"/>
      <c r="BFZ84" s="1"/>
      <c r="BGA84" s="1"/>
      <c r="BGB84" s="1"/>
      <c r="BGC84" s="1"/>
      <c r="BGD84" s="1"/>
      <c r="BGE84" s="1"/>
      <c r="BGF84" s="1"/>
      <c r="BGG84" s="1"/>
      <c r="BGH84" s="1"/>
      <c r="BGI84" s="1"/>
      <c r="BGJ84" s="1"/>
      <c r="BGK84" s="1"/>
      <c r="BGL84" s="1"/>
      <c r="BGM84" s="1"/>
      <c r="BGN84" s="1"/>
      <c r="BGO84" s="1"/>
      <c r="BGP84" s="1"/>
      <c r="BGQ84" s="1"/>
      <c r="BGR84" s="1"/>
      <c r="BGS84" s="1"/>
      <c r="BGT84" s="1"/>
      <c r="BGU84" s="1"/>
      <c r="BGV84" s="1"/>
      <c r="BGW84" s="1"/>
      <c r="BGX84" s="1"/>
      <c r="BGY84" s="1"/>
      <c r="BGZ84" s="1"/>
      <c r="BHA84" s="1"/>
      <c r="BHB84" s="1"/>
      <c r="BHC84" s="1"/>
      <c r="BHD84" s="1"/>
      <c r="BHE84" s="1"/>
      <c r="BHF84" s="1"/>
      <c r="BHG84" s="1"/>
      <c r="BHH84" s="1"/>
      <c r="BHI84" s="1"/>
      <c r="BHJ84" s="1"/>
      <c r="BHK84" s="1"/>
      <c r="BHL84" s="1"/>
      <c r="BHM84" s="1"/>
      <c r="BHN84" s="1"/>
      <c r="BHO84" s="1"/>
      <c r="BHP84" s="1"/>
      <c r="BHQ84" s="1"/>
      <c r="BHR84" s="1"/>
      <c r="BHS84" s="1"/>
      <c r="BHT84" s="1"/>
      <c r="BHU84" s="1"/>
      <c r="BHV84" s="1"/>
      <c r="BHW84" s="1"/>
      <c r="BHX84" s="1"/>
      <c r="BHY84" s="1"/>
      <c r="BHZ84" s="1"/>
      <c r="BIA84" s="1"/>
      <c r="BIB84" s="1"/>
      <c r="BIC84" s="1"/>
      <c r="BID84" s="1"/>
      <c r="BIE84" s="1"/>
      <c r="BIF84" s="1"/>
      <c r="BIG84" s="1"/>
      <c r="BIH84" s="1"/>
      <c r="BII84" s="1"/>
      <c r="BIJ84" s="1"/>
      <c r="BIK84" s="1"/>
      <c r="BIL84" s="1"/>
      <c r="BIM84" s="1"/>
      <c r="BIN84" s="1"/>
      <c r="BIO84" s="1"/>
      <c r="BIP84" s="1"/>
      <c r="BIQ84" s="1"/>
      <c r="BIR84" s="1"/>
      <c r="BIS84" s="1"/>
      <c r="BIT84" s="1"/>
      <c r="BIU84" s="1"/>
      <c r="BIV84" s="1"/>
      <c r="BIW84" s="1"/>
      <c r="BIX84" s="1"/>
      <c r="BIY84" s="1"/>
      <c r="BIZ84" s="1"/>
      <c r="BJA84" s="1"/>
      <c r="BJB84" s="1"/>
      <c r="BJC84" s="1"/>
      <c r="BJD84" s="1"/>
      <c r="BJE84" s="1"/>
      <c r="BJF84" s="1"/>
      <c r="BJG84" s="1"/>
      <c r="BJH84" s="1"/>
      <c r="BJI84" s="1"/>
      <c r="BJJ84" s="1"/>
      <c r="BJK84" s="1"/>
      <c r="BJL84" s="1"/>
      <c r="BJM84" s="1"/>
      <c r="BJN84" s="1"/>
      <c r="BJO84" s="1"/>
      <c r="BJP84" s="1"/>
      <c r="BJQ84" s="1"/>
      <c r="BJR84" s="1"/>
      <c r="BJS84" s="1"/>
      <c r="BJT84" s="1"/>
      <c r="BJU84" s="1"/>
      <c r="BJV84" s="1"/>
      <c r="BJW84" s="1"/>
      <c r="BJX84" s="1"/>
      <c r="BJY84" s="1"/>
      <c r="BJZ84" s="1"/>
      <c r="BKA84" s="1"/>
      <c r="BKB84" s="1"/>
      <c r="BKC84" s="1"/>
      <c r="BKD84" s="1"/>
      <c r="BKE84" s="1"/>
      <c r="BKF84" s="1"/>
      <c r="BKG84" s="1"/>
      <c r="BKH84" s="1"/>
      <c r="BKI84" s="1"/>
      <c r="BKJ84" s="1"/>
      <c r="BKK84" s="1"/>
      <c r="BKL84" s="1"/>
      <c r="BKM84" s="1"/>
      <c r="BKN84" s="1"/>
      <c r="BKO84" s="1"/>
      <c r="BKP84" s="1"/>
      <c r="BKQ84" s="1"/>
      <c r="BKR84" s="1"/>
      <c r="BKS84" s="1"/>
      <c r="BKT84" s="1"/>
      <c r="BKU84" s="1"/>
      <c r="BKV84" s="1"/>
      <c r="BKW84" s="1"/>
      <c r="BKX84" s="1"/>
      <c r="BKY84" s="1"/>
      <c r="BKZ84" s="1"/>
      <c r="BLA84" s="1"/>
      <c r="BLB84" s="1"/>
      <c r="BLC84" s="1"/>
      <c r="BLD84" s="1"/>
      <c r="BLE84" s="1"/>
      <c r="BLF84" s="1"/>
      <c r="BLG84" s="1"/>
      <c r="BLH84" s="1"/>
      <c r="BLI84" s="1"/>
      <c r="BLJ84" s="1"/>
      <c r="BLK84" s="1"/>
      <c r="BLL84" s="1"/>
      <c r="BLM84" s="1"/>
      <c r="BLN84" s="1"/>
      <c r="BLO84" s="1"/>
      <c r="BLP84" s="1"/>
      <c r="BLQ84" s="1"/>
      <c r="BLR84" s="1"/>
      <c r="BLS84" s="1"/>
      <c r="BLT84" s="1"/>
      <c r="BLU84" s="1"/>
      <c r="BLV84" s="1"/>
      <c r="BLW84" s="1"/>
      <c r="BLX84" s="1"/>
      <c r="BLY84" s="1"/>
      <c r="BLZ84" s="1"/>
      <c r="BMA84" s="1"/>
      <c r="BMB84" s="1"/>
      <c r="BMC84" s="1"/>
      <c r="BMD84" s="1"/>
      <c r="BME84" s="1"/>
      <c r="BMF84" s="1"/>
      <c r="BMG84" s="1"/>
      <c r="BMH84" s="1"/>
      <c r="BMI84" s="1"/>
      <c r="BMJ84" s="1"/>
      <c r="BMK84" s="1"/>
      <c r="BML84" s="1"/>
      <c r="BMM84" s="1"/>
      <c r="BMN84" s="1"/>
      <c r="BMO84" s="1"/>
      <c r="BMP84" s="1"/>
      <c r="BMQ84" s="1"/>
      <c r="BMR84" s="1"/>
      <c r="BMS84" s="1"/>
      <c r="BMT84" s="1"/>
      <c r="BMU84" s="1"/>
      <c r="BMV84" s="1"/>
      <c r="BMW84" s="1"/>
      <c r="BMX84" s="1"/>
      <c r="BMY84" s="1"/>
      <c r="BMZ84" s="1"/>
      <c r="BNA84" s="1"/>
      <c r="BNB84" s="1"/>
      <c r="BNC84" s="1"/>
      <c r="BND84" s="1"/>
      <c r="BNE84" s="1"/>
      <c r="BNF84" s="1"/>
      <c r="BNG84" s="1"/>
      <c r="BNH84" s="1"/>
      <c r="BNI84" s="1"/>
      <c r="BNJ84" s="1"/>
      <c r="BNK84" s="1"/>
      <c r="BNL84" s="1"/>
      <c r="BNM84" s="1"/>
      <c r="BNN84" s="1"/>
      <c r="BNO84" s="1"/>
      <c r="BNP84" s="1"/>
      <c r="BNQ84" s="1"/>
      <c r="BNR84" s="1"/>
      <c r="BNS84" s="1"/>
      <c r="BNT84" s="1"/>
      <c r="BNU84" s="1"/>
      <c r="BNV84" s="1"/>
      <c r="BNW84" s="1"/>
      <c r="BNX84" s="1"/>
      <c r="BNY84" s="1"/>
      <c r="BNZ84" s="1"/>
      <c r="BOA84" s="1"/>
      <c r="BOB84" s="1"/>
      <c r="BOC84" s="1"/>
      <c r="BOD84" s="1"/>
      <c r="BOE84" s="1"/>
      <c r="BOF84" s="1"/>
      <c r="BOG84" s="1"/>
      <c r="BOH84" s="1"/>
      <c r="BOI84" s="1"/>
      <c r="BOJ84" s="1"/>
      <c r="BOK84" s="1"/>
      <c r="BOL84" s="1"/>
      <c r="BOM84" s="1"/>
      <c r="BON84" s="1"/>
      <c r="BOO84" s="1"/>
      <c r="BOP84" s="1"/>
      <c r="BOQ84" s="1"/>
      <c r="BOR84" s="1"/>
      <c r="BOS84" s="1"/>
      <c r="BOT84" s="1"/>
      <c r="BOU84" s="1"/>
      <c r="BOV84" s="1"/>
      <c r="BOW84" s="1"/>
      <c r="BOX84" s="1"/>
      <c r="BOY84" s="1"/>
      <c r="BOZ84" s="1"/>
      <c r="BPA84" s="1"/>
      <c r="BPB84" s="1"/>
      <c r="BPC84" s="1"/>
      <c r="BPD84" s="1"/>
      <c r="BPE84" s="1"/>
      <c r="BPF84" s="1"/>
      <c r="BPG84" s="1"/>
      <c r="BPH84" s="1"/>
      <c r="BPI84" s="1"/>
      <c r="BPJ84" s="1"/>
      <c r="BPK84" s="1"/>
      <c r="BPL84" s="1"/>
      <c r="BPM84" s="1"/>
      <c r="BPN84" s="1"/>
      <c r="BPO84" s="1"/>
      <c r="BPP84" s="1"/>
      <c r="BPQ84" s="1"/>
      <c r="BPR84" s="1"/>
      <c r="BPS84" s="1"/>
      <c r="BPT84" s="1"/>
      <c r="BPU84" s="1"/>
      <c r="BPV84" s="1"/>
      <c r="BPW84" s="1"/>
      <c r="BPX84" s="1"/>
      <c r="BPY84" s="1"/>
      <c r="BPZ84" s="1"/>
      <c r="BQA84" s="1"/>
      <c r="BQB84" s="1"/>
      <c r="BQC84" s="1"/>
      <c r="BQD84" s="1"/>
      <c r="BQE84" s="1"/>
      <c r="BQF84" s="1"/>
      <c r="BQG84" s="1"/>
      <c r="BQH84" s="1"/>
      <c r="BQI84" s="1"/>
      <c r="BQJ84" s="1"/>
      <c r="BQK84" s="1"/>
      <c r="BQL84" s="1"/>
      <c r="BQM84" s="1"/>
      <c r="BQN84" s="1"/>
      <c r="BQO84" s="1"/>
      <c r="BQP84" s="1"/>
      <c r="BQQ84" s="1"/>
      <c r="BQR84" s="1"/>
      <c r="BQS84" s="1"/>
      <c r="BQT84" s="1"/>
      <c r="BQU84" s="1"/>
      <c r="BQV84" s="1"/>
      <c r="BQW84" s="1"/>
      <c r="BQX84" s="1"/>
      <c r="BQY84" s="1"/>
      <c r="BQZ84" s="1"/>
      <c r="BRA84" s="1"/>
      <c r="BRB84" s="1"/>
      <c r="BRC84" s="1"/>
      <c r="BRD84" s="1"/>
      <c r="BRE84" s="1"/>
      <c r="BRF84" s="1"/>
      <c r="BRG84" s="1"/>
      <c r="BRH84" s="1"/>
      <c r="BRI84" s="1"/>
      <c r="BRJ84" s="1"/>
      <c r="BRK84" s="1"/>
      <c r="BRL84" s="1"/>
      <c r="BRM84" s="1"/>
      <c r="BRN84" s="1"/>
      <c r="BRO84" s="1"/>
      <c r="BRP84" s="1"/>
      <c r="BRQ84" s="1"/>
      <c r="BRR84" s="1"/>
      <c r="BRS84" s="1"/>
      <c r="BRT84" s="1"/>
      <c r="BRU84" s="1"/>
      <c r="BRV84" s="1"/>
      <c r="BRW84" s="1"/>
      <c r="BRX84" s="1"/>
      <c r="BRY84" s="1"/>
      <c r="BRZ84" s="1"/>
      <c r="BSA84" s="1"/>
      <c r="BSB84" s="1"/>
      <c r="BSC84" s="1"/>
      <c r="BSD84" s="1"/>
      <c r="BSE84" s="1"/>
      <c r="BSF84" s="1"/>
      <c r="BSG84" s="1"/>
      <c r="BSH84" s="1"/>
      <c r="BSI84" s="1"/>
      <c r="BSJ84" s="1"/>
      <c r="BSK84" s="1"/>
      <c r="BSL84" s="1"/>
      <c r="BSM84" s="1"/>
      <c r="BSN84" s="1"/>
      <c r="BSO84" s="1"/>
      <c r="BSP84" s="1"/>
      <c r="BSQ84" s="1"/>
      <c r="BSR84" s="1"/>
      <c r="BSS84" s="1"/>
      <c r="BST84" s="1"/>
      <c r="BSU84" s="1"/>
      <c r="BSV84" s="1"/>
      <c r="BSW84" s="1"/>
      <c r="BSX84" s="1"/>
      <c r="BSY84" s="1"/>
      <c r="BSZ84" s="1"/>
      <c r="BTA84" s="1"/>
      <c r="BTB84" s="1"/>
      <c r="BTC84" s="1"/>
      <c r="BTD84" s="1"/>
      <c r="BTE84" s="1"/>
      <c r="BTF84" s="1"/>
      <c r="BTG84" s="1"/>
      <c r="BTH84" s="1"/>
      <c r="BTI84" s="1"/>
      <c r="BTJ84" s="1"/>
      <c r="BTK84" s="1"/>
      <c r="BTL84" s="1"/>
      <c r="BTM84" s="1"/>
      <c r="BTN84" s="1"/>
      <c r="BTO84" s="1"/>
      <c r="BTP84" s="1"/>
      <c r="BTQ84" s="1"/>
      <c r="BTR84" s="1"/>
      <c r="BTS84" s="1"/>
      <c r="BTT84" s="1"/>
      <c r="BTU84" s="1"/>
      <c r="BTV84" s="1"/>
      <c r="BTW84" s="1"/>
      <c r="BTX84" s="1"/>
      <c r="BTY84" s="1"/>
      <c r="BTZ84" s="1"/>
      <c r="BUA84" s="1"/>
      <c r="BUB84" s="1"/>
      <c r="BUC84" s="1"/>
      <c r="BUD84" s="1"/>
      <c r="BUE84" s="1"/>
      <c r="BUF84" s="1"/>
      <c r="BUG84" s="1"/>
      <c r="BUH84" s="1"/>
      <c r="BUI84" s="1"/>
      <c r="BUJ84" s="1"/>
      <c r="BUK84" s="1"/>
      <c r="BUL84" s="1"/>
      <c r="BUM84" s="1"/>
      <c r="BUN84" s="1"/>
      <c r="BUO84" s="1"/>
      <c r="BUP84" s="1"/>
      <c r="BUQ84" s="1"/>
      <c r="BUR84" s="1"/>
      <c r="BUS84" s="1"/>
      <c r="BUT84" s="1"/>
      <c r="BUU84" s="1"/>
      <c r="BUV84" s="1"/>
      <c r="BUW84" s="1"/>
      <c r="BUX84" s="1"/>
      <c r="BUY84" s="1"/>
      <c r="BUZ84" s="1"/>
      <c r="BVA84" s="1"/>
      <c r="BVB84" s="1"/>
      <c r="BVC84" s="1"/>
      <c r="BVD84" s="1"/>
      <c r="BVE84" s="1"/>
      <c r="BVF84" s="1"/>
      <c r="BVG84" s="1"/>
      <c r="BVH84" s="1"/>
      <c r="BVI84" s="1"/>
      <c r="BVJ84" s="1"/>
      <c r="BVK84" s="1"/>
      <c r="BVL84" s="1"/>
      <c r="BVM84" s="1"/>
      <c r="BVN84" s="1"/>
      <c r="BVO84" s="1"/>
      <c r="BVP84" s="1"/>
      <c r="BVQ84" s="1"/>
      <c r="BVR84" s="1"/>
      <c r="BVS84" s="1"/>
      <c r="BVT84" s="1"/>
      <c r="BVU84" s="1"/>
      <c r="BVV84" s="1"/>
      <c r="BVW84" s="1"/>
      <c r="BVX84" s="1"/>
      <c r="BVY84" s="1"/>
      <c r="BVZ84" s="1"/>
      <c r="BWA84" s="1"/>
      <c r="BWB84" s="1"/>
      <c r="BWC84" s="1"/>
      <c r="BWD84" s="1"/>
      <c r="BWE84" s="1"/>
      <c r="BWF84" s="1"/>
      <c r="BWG84" s="1"/>
      <c r="BWH84" s="1"/>
      <c r="BWI84" s="1"/>
      <c r="BWJ84" s="1"/>
      <c r="BWK84" s="1"/>
      <c r="BWL84" s="1"/>
      <c r="BWM84" s="1"/>
      <c r="BWN84" s="1"/>
      <c r="BWO84" s="1"/>
      <c r="BWP84" s="1"/>
      <c r="BWQ84" s="1"/>
      <c r="BWR84" s="1"/>
      <c r="BWS84" s="1"/>
      <c r="BWT84" s="1"/>
      <c r="BWU84" s="1"/>
      <c r="BWV84" s="1"/>
      <c r="BWW84" s="1"/>
      <c r="BWX84" s="1"/>
      <c r="BWY84" s="1"/>
      <c r="BWZ84" s="1"/>
      <c r="BXA84" s="1"/>
      <c r="BXB84" s="1"/>
      <c r="BXC84" s="1"/>
      <c r="BXD84" s="1"/>
      <c r="BXE84" s="1"/>
      <c r="BXF84" s="1"/>
      <c r="BXG84" s="1"/>
      <c r="BXH84" s="1"/>
      <c r="BXI84" s="1"/>
      <c r="BXJ84" s="1"/>
      <c r="BXK84" s="1"/>
      <c r="BXL84" s="1"/>
      <c r="BXM84" s="1"/>
      <c r="BXN84" s="1"/>
      <c r="BXO84" s="1"/>
      <c r="BXP84" s="1"/>
      <c r="BXQ84" s="1"/>
      <c r="BXR84" s="1"/>
      <c r="BXS84" s="1"/>
      <c r="BXT84" s="1"/>
      <c r="BXU84" s="1"/>
      <c r="BXV84" s="1"/>
      <c r="BXW84" s="1"/>
      <c r="BXX84" s="1"/>
      <c r="BXY84" s="1"/>
      <c r="BXZ84" s="1"/>
      <c r="BYA84" s="1"/>
      <c r="BYB84" s="1"/>
      <c r="BYC84" s="1"/>
      <c r="BYD84" s="1"/>
      <c r="BYE84" s="1"/>
      <c r="BYF84" s="1"/>
      <c r="BYG84" s="1"/>
      <c r="BYH84" s="1"/>
      <c r="BYI84" s="1"/>
      <c r="BYJ84" s="1"/>
      <c r="BYK84" s="1"/>
      <c r="BYL84" s="1"/>
      <c r="BYM84" s="1"/>
      <c r="BYN84" s="1"/>
      <c r="BYO84" s="1"/>
      <c r="BYP84" s="1"/>
      <c r="BYQ84" s="1"/>
      <c r="BYR84" s="1"/>
      <c r="BYS84" s="1"/>
      <c r="BYT84" s="1"/>
      <c r="BYU84" s="1"/>
      <c r="BYV84" s="1"/>
      <c r="BYW84" s="1"/>
      <c r="BYX84" s="1"/>
      <c r="BYY84" s="1"/>
      <c r="BYZ84" s="1"/>
      <c r="BZA84" s="1"/>
      <c r="BZB84" s="1"/>
      <c r="BZC84" s="1"/>
      <c r="BZD84" s="1"/>
      <c r="BZE84" s="1"/>
      <c r="BZF84" s="1"/>
      <c r="BZG84" s="1"/>
      <c r="BZH84" s="1"/>
      <c r="BZI84" s="1"/>
      <c r="BZJ84" s="1"/>
      <c r="BZK84" s="1"/>
      <c r="BZL84" s="1"/>
      <c r="BZM84" s="1"/>
      <c r="BZN84" s="1"/>
      <c r="BZO84" s="1"/>
      <c r="BZP84" s="1"/>
      <c r="BZQ84" s="1"/>
      <c r="BZR84" s="1"/>
      <c r="BZS84" s="1"/>
      <c r="BZT84" s="1"/>
      <c r="BZU84" s="1"/>
      <c r="BZV84" s="1"/>
      <c r="BZW84" s="1"/>
      <c r="BZX84" s="1"/>
      <c r="BZY84" s="1"/>
      <c r="BZZ84" s="1"/>
      <c r="CAA84" s="1"/>
      <c r="CAB84" s="1"/>
      <c r="CAC84" s="1"/>
      <c r="CAD84" s="1"/>
      <c r="CAE84" s="1"/>
      <c r="CAF84" s="1"/>
      <c r="CAG84" s="1"/>
      <c r="CAH84" s="1"/>
      <c r="CAI84" s="1"/>
      <c r="CAJ84" s="1"/>
      <c r="CAK84" s="1"/>
      <c r="CAL84" s="1"/>
      <c r="CAM84" s="1"/>
      <c r="CAN84" s="1"/>
      <c r="CAO84" s="1"/>
      <c r="CAP84" s="1"/>
      <c r="CAQ84" s="1"/>
      <c r="CAR84" s="1"/>
      <c r="CAS84" s="1"/>
      <c r="CAT84" s="1"/>
      <c r="CAU84" s="1"/>
      <c r="CAV84" s="1"/>
      <c r="CAW84" s="1"/>
      <c r="CAX84" s="1"/>
      <c r="CAY84" s="1"/>
      <c r="CAZ84" s="1"/>
      <c r="CBA84" s="1"/>
      <c r="CBB84" s="1"/>
      <c r="CBC84" s="1"/>
      <c r="CBD84" s="1"/>
      <c r="CBE84" s="1"/>
      <c r="CBF84" s="1"/>
      <c r="CBG84" s="1"/>
      <c r="CBH84" s="1"/>
      <c r="CBI84" s="1"/>
      <c r="CBJ84" s="1"/>
      <c r="CBK84" s="1"/>
      <c r="CBL84" s="1"/>
      <c r="CBM84" s="1"/>
      <c r="CBN84" s="1"/>
      <c r="CBO84" s="1"/>
      <c r="CBP84" s="1"/>
      <c r="CBQ84" s="1"/>
      <c r="CBR84" s="1"/>
      <c r="CBS84" s="1"/>
      <c r="CBT84" s="1"/>
      <c r="CBU84" s="1"/>
      <c r="CBV84" s="1"/>
      <c r="CBW84" s="1"/>
      <c r="CBX84" s="1"/>
      <c r="CBY84" s="1"/>
      <c r="CBZ84" s="1"/>
      <c r="CCA84" s="1"/>
      <c r="CCB84" s="1"/>
      <c r="CCC84" s="1"/>
      <c r="CCD84" s="1"/>
      <c r="CCE84" s="1"/>
      <c r="CCF84" s="1"/>
      <c r="CCG84" s="1"/>
      <c r="CCH84" s="1"/>
      <c r="CCI84" s="1"/>
      <c r="CCJ84" s="1"/>
      <c r="CCK84" s="1"/>
      <c r="CCL84" s="1"/>
      <c r="CCM84" s="1"/>
      <c r="CCN84" s="1"/>
      <c r="CCO84" s="1"/>
      <c r="CCP84" s="1"/>
      <c r="CCQ84" s="1"/>
      <c r="CCR84" s="1"/>
      <c r="CCS84" s="1"/>
      <c r="CCT84" s="1"/>
      <c r="CCU84" s="1"/>
      <c r="CCV84" s="1"/>
      <c r="CCW84" s="1"/>
      <c r="CCX84" s="1"/>
      <c r="CCY84" s="1"/>
      <c r="CCZ84" s="1"/>
      <c r="CDA84" s="1"/>
      <c r="CDB84" s="1"/>
      <c r="CDC84" s="1"/>
      <c r="CDD84" s="1"/>
      <c r="CDE84" s="1"/>
      <c r="CDF84" s="1"/>
      <c r="CDG84" s="1"/>
      <c r="CDH84" s="1"/>
      <c r="CDI84" s="1"/>
      <c r="CDJ84" s="1"/>
      <c r="CDK84" s="1"/>
      <c r="CDL84" s="1"/>
      <c r="CDM84" s="1"/>
      <c r="CDN84" s="1"/>
      <c r="CDO84" s="1"/>
      <c r="CDP84" s="1"/>
      <c r="CDQ84" s="1"/>
      <c r="CDR84" s="1"/>
      <c r="CDS84" s="1"/>
      <c r="CDT84" s="1"/>
      <c r="CDU84" s="1"/>
      <c r="CDV84" s="1"/>
      <c r="CDW84" s="1"/>
      <c r="CDX84" s="1"/>
      <c r="CDY84" s="1"/>
      <c r="CDZ84" s="1"/>
      <c r="CEA84" s="1"/>
      <c r="CEB84" s="1"/>
      <c r="CEC84" s="1"/>
      <c r="CED84" s="1"/>
      <c r="CEE84" s="1"/>
      <c r="CEF84" s="1"/>
      <c r="CEG84" s="1"/>
      <c r="CEH84" s="1"/>
      <c r="CEI84" s="1"/>
      <c r="CEJ84" s="1"/>
      <c r="CEK84" s="1"/>
      <c r="CEL84" s="1"/>
      <c r="CEM84" s="1"/>
      <c r="CEN84" s="1"/>
      <c r="CEO84" s="1"/>
      <c r="CEP84" s="1"/>
      <c r="CEQ84" s="1"/>
      <c r="CER84" s="1"/>
      <c r="CES84" s="1"/>
      <c r="CET84" s="1"/>
      <c r="CEU84" s="1"/>
      <c r="CEV84" s="1"/>
      <c r="CEW84" s="1"/>
      <c r="CEX84" s="1"/>
      <c r="CEY84" s="1"/>
      <c r="CEZ84" s="1"/>
      <c r="CFA84" s="1"/>
      <c r="CFB84" s="1"/>
      <c r="CFC84" s="1"/>
      <c r="CFD84" s="1"/>
      <c r="CFE84" s="1"/>
      <c r="CFF84" s="1"/>
      <c r="CFG84" s="1"/>
      <c r="CFH84" s="1"/>
      <c r="CFI84" s="1"/>
      <c r="CFJ84" s="1"/>
      <c r="CFK84" s="1"/>
      <c r="CFL84" s="1"/>
      <c r="CFM84" s="1"/>
      <c r="CFN84" s="1"/>
      <c r="CFO84" s="1"/>
      <c r="CFP84" s="1"/>
      <c r="CFQ84" s="1"/>
      <c r="CFR84" s="1"/>
      <c r="CFS84" s="1"/>
      <c r="CFT84" s="1"/>
      <c r="CFU84" s="1"/>
      <c r="CFV84" s="1"/>
      <c r="CFW84" s="1"/>
      <c r="CFX84" s="1"/>
      <c r="CFY84" s="1"/>
      <c r="CFZ84" s="1"/>
      <c r="CGA84" s="1"/>
      <c r="CGB84" s="1"/>
      <c r="CGC84" s="1"/>
      <c r="CGD84" s="1"/>
      <c r="CGE84" s="1"/>
      <c r="CGF84" s="1"/>
      <c r="CGG84" s="1"/>
      <c r="CGH84" s="1"/>
      <c r="CGI84" s="1"/>
      <c r="CGJ84" s="1"/>
      <c r="CGK84" s="1"/>
      <c r="CGL84" s="1"/>
      <c r="CGM84" s="1"/>
      <c r="CGN84" s="1"/>
      <c r="CGO84" s="1"/>
      <c r="CGP84" s="1"/>
      <c r="CGQ84" s="1"/>
      <c r="CGR84" s="1"/>
      <c r="CGS84" s="1"/>
      <c r="CGT84" s="1"/>
      <c r="CGU84" s="1"/>
      <c r="CGV84" s="1"/>
      <c r="CGW84" s="1"/>
      <c r="CGX84" s="1"/>
      <c r="CGY84" s="1"/>
      <c r="CGZ84" s="1"/>
      <c r="CHA84" s="1"/>
      <c r="CHB84" s="1"/>
      <c r="CHC84" s="1"/>
      <c r="CHD84" s="1"/>
      <c r="CHE84" s="1"/>
      <c r="CHF84" s="1"/>
      <c r="CHG84" s="1"/>
      <c r="CHH84" s="1"/>
      <c r="CHI84" s="1"/>
      <c r="CHJ84" s="1"/>
      <c r="CHK84" s="1"/>
      <c r="CHL84" s="1"/>
      <c r="CHM84" s="1"/>
      <c r="CHN84" s="1"/>
      <c r="CHO84" s="1"/>
      <c r="CHP84" s="1"/>
      <c r="CHQ84" s="1"/>
      <c r="CHR84" s="1"/>
      <c r="CHS84" s="1"/>
      <c r="CHT84" s="1"/>
      <c r="CHU84" s="1"/>
      <c r="CHV84" s="1"/>
      <c r="CHW84" s="1"/>
      <c r="CHX84" s="1"/>
      <c r="CHY84" s="1"/>
      <c r="CHZ84" s="1"/>
      <c r="CIA84" s="1"/>
      <c r="CIB84" s="1"/>
      <c r="CIC84" s="1"/>
      <c r="CID84" s="1"/>
      <c r="CIE84" s="1"/>
      <c r="CIF84" s="1"/>
      <c r="CIG84" s="1"/>
      <c r="CIH84" s="1"/>
      <c r="CII84" s="1"/>
      <c r="CIJ84" s="1"/>
      <c r="CIK84" s="1"/>
      <c r="CIL84" s="1"/>
      <c r="CIM84" s="1"/>
      <c r="CIN84" s="1"/>
      <c r="CIO84" s="1"/>
      <c r="CIP84" s="1"/>
      <c r="CIQ84" s="1"/>
      <c r="CIR84" s="1"/>
      <c r="CIS84" s="1"/>
      <c r="CIT84" s="1"/>
      <c r="CIU84" s="1"/>
      <c r="CIV84" s="1"/>
      <c r="CIW84" s="1"/>
      <c r="CIX84" s="1"/>
      <c r="CIY84" s="1"/>
      <c r="CIZ84" s="1"/>
      <c r="CJA84" s="1"/>
      <c r="CJB84" s="1"/>
      <c r="CJC84" s="1"/>
      <c r="CJD84" s="1"/>
      <c r="CJE84" s="1"/>
      <c r="CJF84" s="1"/>
      <c r="CJG84" s="1"/>
      <c r="CJH84" s="1"/>
      <c r="CJI84" s="1"/>
      <c r="CJJ84" s="1"/>
      <c r="CJK84" s="1"/>
      <c r="CJL84" s="1"/>
      <c r="CJM84" s="1"/>
      <c r="CJN84" s="1"/>
      <c r="CJO84" s="1"/>
      <c r="CJP84" s="1"/>
      <c r="CJQ84" s="1"/>
      <c r="CJR84" s="1"/>
      <c r="CJS84" s="1"/>
      <c r="CJT84" s="1"/>
      <c r="CJU84" s="1"/>
      <c r="CJV84" s="1"/>
      <c r="CJW84" s="1"/>
      <c r="CJX84" s="1"/>
      <c r="CJY84" s="1"/>
      <c r="CJZ84" s="1"/>
      <c r="CKA84" s="1"/>
      <c r="CKB84" s="1"/>
      <c r="CKC84" s="1"/>
      <c r="CKD84" s="1"/>
      <c r="CKE84" s="1"/>
      <c r="CKF84" s="1"/>
      <c r="CKG84" s="1"/>
      <c r="CKH84" s="1"/>
      <c r="CKI84" s="1"/>
      <c r="CKJ84" s="1"/>
      <c r="CKK84" s="1"/>
      <c r="CKL84" s="1"/>
      <c r="CKM84" s="1"/>
      <c r="CKN84" s="1"/>
      <c r="CKO84" s="1"/>
      <c r="CKP84" s="1"/>
      <c r="CKQ84" s="1"/>
      <c r="CKR84" s="1"/>
      <c r="CKS84" s="1"/>
      <c r="CKT84" s="1"/>
      <c r="CKU84" s="1"/>
      <c r="CKV84" s="1"/>
      <c r="CKW84" s="1"/>
      <c r="CKX84" s="1"/>
      <c r="CKY84" s="1"/>
      <c r="CKZ84" s="1"/>
      <c r="CLA84" s="1"/>
      <c r="CLB84" s="1"/>
      <c r="CLC84" s="1"/>
      <c r="CLD84" s="1"/>
      <c r="CLE84" s="1"/>
      <c r="CLF84" s="1"/>
      <c r="CLG84" s="1"/>
      <c r="CLH84" s="1"/>
      <c r="CLI84" s="1"/>
      <c r="CLJ84" s="1"/>
      <c r="CLK84" s="1"/>
      <c r="CLL84" s="1"/>
      <c r="CLM84" s="1"/>
      <c r="CLN84" s="1"/>
      <c r="CLO84" s="1"/>
      <c r="CLP84" s="1"/>
      <c r="CLQ84" s="1"/>
      <c r="CLR84" s="1"/>
      <c r="CLS84" s="1"/>
      <c r="CLT84" s="1"/>
      <c r="CLU84" s="1"/>
      <c r="CLV84" s="1"/>
      <c r="CLW84" s="1"/>
      <c r="CLX84" s="1"/>
      <c r="CLY84" s="1"/>
      <c r="CLZ84" s="1"/>
      <c r="CMA84" s="1"/>
      <c r="CMB84" s="1"/>
      <c r="CMC84" s="1"/>
      <c r="CMD84" s="1"/>
      <c r="CME84" s="1"/>
      <c r="CMF84" s="1"/>
      <c r="CMG84" s="1"/>
      <c r="CMH84" s="1"/>
      <c r="CMI84" s="1"/>
      <c r="CMJ84" s="1"/>
      <c r="CMK84" s="1"/>
      <c r="CML84" s="1"/>
      <c r="CMM84" s="1"/>
      <c r="CMN84" s="1"/>
      <c r="CMO84" s="1"/>
      <c r="CMP84" s="1"/>
      <c r="CMQ84" s="1"/>
      <c r="CMR84" s="1"/>
      <c r="CMS84" s="1"/>
      <c r="CMT84" s="1"/>
      <c r="CMU84" s="1"/>
      <c r="CMV84" s="1"/>
      <c r="CMW84" s="1"/>
      <c r="CMX84" s="1"/>
      <c r="CMY84" s="1"/>
      <c r="CMZ84" s="1"/>
      <c r="CNA84" s="1"/>
      <c r="CNB84" s="1"/>
      <c r="CNC84" s="1"/>
      <c r="CND84" s="1"/>
      <c r="CNE84" s="1"/>
      <c r="CNF84" s="1"/>
      <c r="CNG84" s="1"/>
      <c r="CNH84" s="1"/>
      <c r="CNI84" s="1"/>
      <c r="CNJ84" s="1"/>
      <c r="CNK84" s="1"/>
      <c r="CNL84" s="1"/>
      <c r="CNM84" s="1"/>
      <c r="CNN84" s="1"/>
      <c r="CNO84" s="1"/>
      <c r="CNP84" s="1"/>
      <c r="CNQ84" s="1"/>
      <c r="CNR84" s="1"/>
      <c r="CNS84" s="1"/>
      <c r="CNT84" s="1"/>
      <c r="CNU84" s="1"/>
      <c r="CNV84" s="1"/>
      <c r="CNW84" s="1"/>
      <c r="CNX84" s="1"/>
      <c r="CNY84" s="1"/>
      <c r="CNZ84" s="1"/>
      <c r="COA84" s="1"/>
      <c r="COB84" s="1"/>
      <c r="COC84" s="1"/>
      <c r="COD84" s="1"/>
      <c r="COE84" s="1"/>
      <c r="COF84" s="1"/>
      <c r="COG84" s="1"/>
      <c r="COH84" s="1"/>
      <c r="COI84" s="1"/>
      <c r="COJ84" s="1"/>
      <c r="COK84" s="1"/>
      <c r="COL84" s="1"/>
      <c r="COM84" s="1"/>
      <c r="CON84" s="1"/>
      <c r="COO84" s="1"/>
      <c r="COP84" s="1"/>
      <c r="COQ84" s="1"/>
      <c r="COR84" s="1"/>
      <c r="COS84" s="1"/>
      <c r="COT84" s="1"/>
      <c r="COU84" s="1"/>
      <c r="COV84" s="1"/>
      <c r="COW84" s="1"/>
      <c r="COX84" s="1"/>
      <c r="COY84" s="1"/>
      <c r="COZ84" s="1"/>
      <c r="CPA84" s="1"/>
      <c r="CPB84" s="1"/>
      <c r="CPC84" s="1"/>
      <c r="CPD84" s="1"/>
      <c r="CPE84" s="1"/>
      <c r="CPF84" s="1"/>
      <c r="CPG84" s="1"/>
      <c r="CPH84" s="1"/>
      <c r="CPI84" s="1"/>
      <c r="CPJ84" s="1"/>
      <c r="CPK84" s="1"/>
      <c r="CPL84" s="1"/>
      <c r="CPM84" s="1"/>
      <c r="CPN84" s="1"/>
      <c r="CPO84" s="1"/>
      <c r="CPP84" s="1"/>
      <c r="CPQ84" s="1"/>
      <c r="CPR84" s="1"/>
      <c r="CPS84" s="1"/>
      <c r="CPT84" s="1"/>
      <c r="CPU84" s="1"/>
      <c r="CPV84" s="1"/>
      <c r="CPW84" s="1"/>
      <c r="CPX84" s="1"/>
      <c r="CPY84" s="1"/>
      <c r="CPZ84" s="1"/>
      <c r="CQA84" s="1"/>
      <c r="CQB84" s="1"/>
      <c r="CQC84" s="1"/>
      <c r="CQD84" s="1"/>
      <c r="CQE84" s="1"/>
      <c r="CQF84" s="1"/>
      <c r="CQG84" s="1"/>
      <c r="CQH84" s="1"/>
      <c r="CQI84" s="1"/>
      <c r="CQJ84" s="1"/>
      <c r="CQK84" s="1"/>
      <c r="CQL84" s="1"/>
      <c r="CQM84" s="1"/>
      <c r="CQN84" s="1"/>
      <c r="CQO84" s="1"/>
      <c r="CQP84" s="1"/>
      <c r="CQQ84" s="1"/>
      <c r="CQR84" s="1"/>
      <c r="CQS84" s="1"/>
      <c r="CQT84" s="1"/>
      <c r="CQU84" s="1"/>
      <c r="CQV84" s="1"/>
      <c r="CQW84" s="1"/>
      <c r="CQX84" s="1"/>
      <c r="CQY84" s="1"/>
      <c r="CQZ84" s="1"/>
      <c r="CRA84" s="1"/>
      <c r="CRB84" s="1"/>
      <c r="CRC84" s="1"/>
      <c r="CRD84" s="1"/>
      <c r="CRE84" s="1"/>
      <c r="CRF84" s="1"/>
      <c r="CRG84" s="1"/>
      <c r="CRH84" s="1"/>
      <c r="CRI84" s="1"/>
      <c r="CRJ84" s="1"/>
      <c r="CRK84" s="1"/>
      <c r="CRL84" s="1"/>
      <c r="CRM84" s="1"/>
      <c r="CRN84" s="1"/>
      <c r="CRO84" s="1"/>
      <c r="CRP84" s="1"/>
      <c r="CRQ84" s="1"/>
      <c r="CRR84" s="1"/>
      <c r="CRS84" s="1"/>
      <c r="CRT84" s="1"/>
      <c r="CRU84" s="1"/>
      <c r="CRV84" s="1"/>
      <c r="CRW84" s="1"/>
      <c r="CRX84" s="1"/>
      <c r="CRY84" s="1"/>
      <c r="CRZ84" s="1"/>
      <c r="CSA84" s="1"/>
      <c r="CSB84" s="1"/>
      <c r="CSC84" s="1"/>
      <c r="CSD84" s="1"/>
      <c r="CSE84" s="1"/>
      <c r="CSF84" s="1"/>
      <c r="CSG84" s="1"/>
      <c r="CSH84" s="1"/>
      <c r="CSI84" s="1"/>
      <c r="CSJ84" s="1"/>
      <c r="CSK84" s="1"/>
      <c r="CSL84" s="1"/>
      <c r="CSM84" s="1"/>
      <c r="CSN84" s="1"/>
      <c r="CSO84" s="1"/>
      <c r="CSP84" s="1"/>
      <c r="CSQ84" s="1"/>
      <c r="CSR84" s="1"/>
      <c r="CSS84" s="1"/>
      <c r="CST84" s="1"/>
      <c r="CSU84" s="1"/>
      <c r="CSV84" s="1"/>
      <c r="CSW84" s="1"/>
      <c r="CSX84" s="1"/>
      <c r="CSY84" s="1"/>
      <c r="CSZ84" s="1"/>
      <c r="CTA84" s="1"/>
      <c r="CTB84" s="1"/>
      <c r="CTC84" s="1"/>
      <c r="CTD84" s="1"/>
      <c r="CTE84" s="1"/>
      <c r="CTF84" s="1"/>
      <c r="CTG84" s="1"/>
      <c r="CTH84" s="1"/>
      <c r="CTI84" s="1"/>
      <c r="CTJ84" s="1"/>
      <c r="CTK84" s="1"/>
      <c r="CTL84" s="1"/>
      <c r="CTM84" s="1"/>
      <c r="CTN84" s="1"/>
      <c r="CTO84" s="1"/>
      <c r="CTP84" s="1"/>
      <c r="CTQ84" s="1"/>
      <c r="CTR84" s="1"/>
      <c r="CTS84" s="1"/>
      <c r="CTT84" s="1"/>
      <c r="CTU84" s="1"/>
      <c r="CTV84" s="1"/>
      <c r="CTW84" s="1"/>
      <c r="CTX84" s="1"/>
      <c r="CTY84" s="1"/>
      <c r="CTZ84" s="1"/>
      <c r="CUA84" s="1"/>
      <c r="CUB84" s="1"/>
      <c r="CUC84" s="1"/>
      <c r="CUD84" s="1"/>
      <c r="CUE84" s="1"/>
      <c r="CUF84" s="1"/>
      <c r="CUG84" s="1"/>
      <c r="CUH84" s="1"/>
      <c r="CUI84" s="1"/>
      <c r="CUJ84" s="1"/>
      <c r="CUK84" s="1"/>
      <c r="CUL84" s="1"/>
      <c r="CUM84" s="1"/>
      <c r="CUN84" s="1"/>
      <c r="CUO84" s="1"/>
      <c r="CUP84" s="1"/>
      <c r="CUQ84" s="1"/>
      <c r="CUR84" s="1"/>
      <c r="CUS84" s="1"/>
      <c r="CUT84" s="1"/>
      <c r="CUU84" s="1"/>
      <c r="CUV84" s="1"/>
      <c r="CUW84" s="1"/>
      <c r="CUX84" s="1"/>
      <c r="CUY84" s="1"/>
      <c r="CUZ84" s="1"/>
      <c r="CVA84" s="1"/>
      <c r="CVB84" s="1"/>
      <c r="CVC84" s="1"/>
      <c r="CVD84" s="1"/>
      <c r="CVE84" s="1"/>
      <c r="CVF84" s="1"/>
      <c r="CVG84" s="1"/>
      <c r="CVH84" s="1"/>
      <c r="CVI84" s="1"/>
      <c r="CVJ84" s="1"/>
      <c r="CVK84" s="1"/>
      <c r="CVL84" s="1"/>
      <c r="CVM84" s="1"/>
      <c r="CVN84" s="1"/>
      <c r="CVO84" s="1"/>
      <c r="CVP84" s="1"/>
      <c r="CVQ84" s="1"/>
      <c r="CVR84" s="1"/>
      <c r="CVS84" s="1"/>
      <c r="CVT84" s="1"/>
      <c r="CVU84" s="1"/>
      <c r="CVV84" s="1"/>
      <c r="CVW84" s="1"/>
      <c r="CVX84" s="1"/>
      <c r="CVY84" s="1"/>
      <c r="CVZ84" s="1"/>
      <c r="CWA84" s="1"/>
      <c r="CWB84" s="1"/>
      <c r="CWC84" s="1"/>
      <c r="CWD84" s="1"/>
      <c r="CWE84" s="1"/>
      <c r="CWF84" s="1"/>
      <c r="CWG84" s="1"/>
      <c r="CWH84" s="1"/>
      <c r="CWI84" s="1"/>
      <c r="CWJ84" s="1"/>
      <c r="CWK84" s="1"/>
      <c r="CWL84" s="1"/>
      <c r="CWM84" s="1"/>
      <c r="CWN84" s="1"/>
      <c r="CWO84" s="1"/>
      <c r="CWP84" s="1"/>
      <c r="CWQ84" s="1"/>
      <c r="CWR84" s="1"/>
      <c r="CWS84" s="1"/>
      <c r="CWT84" s="1"/>
      <c r="CWU84" s="1"/>
      <c r="CWV84" s="1"/>
      <c r="CWW84" s="1"/>
      <c r="CWX84" s="1"/>
      <c r="CWY84" s="1"/>
      <c r="CWZ84" s="1"/>
      <c r="CXA84" s="1"/>
      <c r="CXB84" s="1"/>
      <c r="CXC84" s="1"/>
      <c r="CXD84" s="1"/>
      <c r="CXE84" s="1"/>
      <c r="CXF84" s="1"/>
      <c r="CXG84" s="1"/>
      <c r="CXH84" s="1"/>
      <c r="CXI84" s="1"/>
      <c r="CXJ84" s="1"/>
      <c r="CXK84" s="1"/>
      <c r="CXL84" s="1"/>
      <c r="CXM84" s="1"/>
      <c r="CXN84" s="1"/>
      <c r="CXO84" s="1"/>
      <c r="CXP84" s="1"/>
      <c r="CXQ84" s="1"/>
      <c r="CXR84" s="1"/>
      <c r="CXS84" s="1"/>
      <c r="CXT84" s="1"/>
      <c r="CXU84" s="1"/>
      <c r="CXV84" s="1"/>
      <c r="CXW84" s="1"/>
      <c r="CXX84" s="1"/>
      <c r="CXY84" s="1"/>
      <c r="CXZ84" s="1"/>
      <c r="CYA84" s="1"/>
      <c r="CYB84" s="1"/>
      <c r="CYC84" s="1"/>
      <c r="CYD84" s="1"/>
      <c r="CYE84" s="1"/>
      <c r="CYF84" s="1"/>
      <c r="CYG84" s="1"/>
      <c r="CYH84" s="1"/>
      <c r="CYI84" s="1"/>
      <c r="CYJ84" s="1"/>
      <c r="CYK84" s="1"/>
      <c r="CYL84" s="1"/>
      <c r="CYM84" s="1"/>
      <c r="CYN84" s="1"/>
      <c r="CYO84" s="1"/>
      <c r="CYP84" s="1"/>
      <c r="CYQ84" s="1"/>
      <c r="CYR84" s="1"/>
      <c r="CYS84" s="1"/>
      <c r="CYT84" s="1"/>
      <c r="CYU84" s="1"/>
      <c r="CYV84" s="1"/>
      <c r="CYW84" s="1"/>
      <c r="CYX84" s="1"/>
      <c r="CYY84" s="1"/>
      <c r="CYZ84" s="1"/>
      <c r="CZA84" s="1"/>
      <c r="CZB84" s="1"/>
      <c r="CZC84" s="1"/>
      <c r="CZD84" s="1"/>
      <c r="CZE84" s="1"/>
      <c r="CZF84" s="1"/>
      <c r="CZG84" s="1"/>
      <c r="CZH84" s="1"/>
      <c r="CZI84" s="1"/>
      <c r="CZJ84" s="1"/>
      <c r="CZK84" s="1"/>
      <c r="CZL84" s="1"/>
      <c r="CZM84" s="1"/>
      <c r="CZN84" s="1"/>
      <c r="CZO84" s="1"/>
      <c r="CZP84" s="1"/>
      <c r="CZQ84" s="1"/>
      <c r="CZR84" s="1"/>
      <c r="CZS84" s="1"/>
      <c r="CZT84" s="1"/>
      <c r="CZU84" s="1"/>
      <c r="CZV84" s="1"/>
      <c r="CZW84" s="1"/>
      <c r="CZX84" s="1"/>
      <c r="CZY84" s="1"/>
      <c r="CZZ84" s="1"/>
      <c r="DAA84" s="1"/>
      <c r="DAB84" s="1"/>
      <c r="DAC84" s="1"/>
      <c r="DAD84" s="1"/>
      <c r="DAE84" s="1"/>
      <c r="DAF84" s="1"/>
      <c r="DAG84" s="1"/>
      <c r="DAH84" s="1"/>
      <c r="DAI84" s="1"/>
      <c r="DAJ84" s="1"/>
      <c r="DAK84" s="1"/>
      <c r="DAL84" s="1"/>
      <c r="DAM84" s="1"/>
      <c r="DAN84" s="1"/>
      <c r="DAO84" s="1"/>
      <c r="DAP84" s="1"/>
      <c r="DAQ84" s="1"/>
      <c r="DAR84" s="1"/>
      <c r="DAS84" s="1"/>
      <c r="DAT84" s="1"/>
      <c r="DAU84" s="1"/>
      <c r="DAV84" s="1"/>
      <c r="DAW84" s="1"/>
      <c r="DAX84" s="1"/>
      <c r="DAY84" s="1"/>
      <c r="DAZ84" s="1"/>
      <c r="DBA84" s="1"/>
      <c r="DBB84" s="1"/>
      <c r="DBC84" s="1"/>
      <c r="DBD84" s="1"/>
      <c r="DBE84" s="1"/>
      <c r="DBF84" s="1"/>
      <c r="DBG84" s="1"/>
      <c r="DBH84" s="1"/>
      <c r="DBI84" s="1"/>
      <c r="DBJ84" s="1"/>
      <c r="DBK84" s="1"/>
      <c r="DBL84" s="1"/>
      <c r="DBM84" s="1"/>
      <c r="DBN84" s="1"/>
      <c r="DBO84" s="1"/>
      <c r="DBP84" s="1"/>
      <c r="DBQ84" s="1"/>
      <c r="DBR84" s="1"/>
      <c r="DBS84" s="1"/>
      <c r="DBT84" s="1"/>
      <c r="DBU84" s="1"/>
      <c r="DBV84" s="1"/>
      <c r="DBW84" s="1"/>
      <c r="DBX84" s="1"/>
      <c r="DBY84" s="1"/>
      <c r="DBZ84" s="1"/>
      <c r="DCA84" s="1"/>
      <c r="DCB84" s="1"/>
      <c r="DCC84" s="1"/>
      <c r="DCD84" s="1"/>
      <c r="DCE84" s="1"/>
      <c r="DCF84" s="1"/>
      <c r="DCG84" s="1"/>
      <c r="DCH84" s="1"/>
      <c r="DCI84" s="1"/>
      <c r="DCJ84" s="1"/>
      <c r="DCK84" s="1"/>
      <c r="DCL84" s="1"/>
      <c r="DCM84" s="1"/>
      <c r="DCN84" s="1"/>
      <c r="DCO84" s="1"/>
      <c r="DCP84" s="1"/>
      <c r="DCQ84" s="1"/>
      <c r="DCR84" s="1"/>
      <c r="DCS84" s="1"/>
      <c r="DCT84" s="1"/>
      <c r="DCU84" s="1"/>
      <c r="DCV84" s="1"/>
      <c r="DCW84" s="1"/>
      <c r="DCX84" s="1"/>
      <c r="DCY84" s="1"/>
      <c r="DCZ84" s="1"/>
      <c r="DDA84" s="1"/>
      <c r="DDB84" s="1"/>
      <c r="DDC84" s="1"/>
      <c r="DDD84" s="1"/>
      <c r="DDE84" s="1"/>
      <c r="DDF84" s="1"/>
      <c r="DDG84" s="1"/>
      <c r="DDH84" s="1"/>
      <c r="DDI84" s="1"/>
      <c r="DDJ84" s="1"/>
      <c r="DDK84" s="1"/>
      <c r="DDL84" s="1"/>
      <c r="DDM84" s="1"/>
      <c r="DDN84" s="1"/>
      <c r="DDO84" s="1"/>
      <c r="DDP84" s="1"/>
      <c r="DDQ84" s="1"/>
      <c r="DDR84" s="1"/>
      <c r="DDS84" s="1"/>
      <c r="DDT84" s="1"/>
      <c r="DDU84" s="1"/>
      <c r="DDV84" s="1"/>
      <c r="DDW84" s="1"/>
      <c r="DDX84" s="1"/>
      <c r="DDY84" s="1"/>
      <c r="DDZ84" s="1"/>
      <c r="DEA84" s="1"/>
      <c r="DEB84" s="1"/>
      <c r="DEC84" s="1"/>
      <c r="DED84" s="1"/>
      <c r="DEE84" s="1"/>
      <c r="DEF84" s="1"/>
      <c r="DEG84" s="1"/>
      <c r="DEH84" s="1"/>
      <c r="DEI84" s="1"/>
      <c r="DEJ84" s="1"/>
      <c r="DEK84" s="1"/>
      <c r="DEL84" s="1"/>
      <c r="DEM84" s="1"/>
      <c r="DEN84" s="1"/>
      <c r="DEO84" s="1"/>
      <c r="DEP84" s="1"/>
      <c r="DEQ84" s="1"/>
      <c r="DER84" s="1"/>
      <c r="DES84" s="1"/>
      <c r="DET84" s="1"/>
      <c r="DEU84" s="1"/>
      <c r="DEV84" s="1"/>
      <c r="DEW84" s="1"/>
      <c r="DEX84" s="1"/>
      <c r="DEY84" s="1"/>
      <c r="DEZ84" s="1"/>
      <c r="DFA84" s="1"/>
      <c r="DFB84" s="1"/>
      <c r="DFC84" s="1"/>
      <c r="DFD84" s="1"/>
      <c r="DFE84" s="1"/>
      <c r="DFF84" s="1"/>
      <c r="DFG84" s="1"/>
      <c r="DFH84" s="1"/>
      <c r="DFI84" s="1"/>
      <c r="DFJ84" s="1"/>
      <c r="DFK84" s="1"/>
      <c r="DFL84" s="1"/>
      <c r="DFM84" s="1"/>
      <c r="DFN84" s="1"/>
      <c r="DFO84" s="1"/>
      <c r="DFP84" s="1"/>
      <c r="DFQ84" s="1"/>
      <c r="DFR84" s="1"/>
      <c r="DFS84" s="1"/>
      <c r="DFT84" s="1"/>
      <c r="DFU84" s="1"/>
      <c r="DFV84" s="1"/>
      <c r="DFW84" s="1"/>
      <c r="DFX84" s="1"/>
      <c r="DFY84" s="1"/>
      <c r="DFZ84" s="1"/>
      <c r="DGA84" s="1"/>
      <c r="DGB84" s="1"/>
      <c r="DGC84" s="1"/>
      <c r="DGD84" s="1"/>
      <c r="DGE84" s="1"/>
      <c r="DGF84" s="1"/>
      <c r="DGG84" s="1"/>
      <c r="DGH84" s="1"/>
      <c r="DGI84" s="1"/>
      <c r="DGJ84" s="1"/>
      <c r="DGK84" s="1"/>
      <c r="DGL84" s="1"/>
      <c r="DGM84" s="1"/>
      <c r="DGN84" s="1"/>
      <c r="DGO84" s="1"/>
      <c r="DGP84" s="1"/>
      <c r="DGQ84" s="1"/>
      <c r="DGR84" s="1"/>
      <c r="DGS84" s="1"/>
      <c r="DGT84" s="1"/>
      <c r="DGU84" s="1"/>
      <c r="DGV84" s="1"/>
      <c r="DGW84" s="1"/>
      <c r="DGX84" s="1"/>
      <c r="DGY84" s="1"/>
      <c r="DGZ84" s="1"/>
      <c r="DHA84" s="1"/>
      <c r="DHB84" s="1"/>
      <c r="DHC84" s="1"/>
      <c r="DHD84" s="1"/>
      <c r="DHE84" s="1"/>
      <c r="DHF84" s="1"/>
      <c r="DHG84" s="1"/>
      <c r="DHH84" s="1"/>
      <c r="DHI84" s="1"/>
      <c r="DHJ84" s="1"/>
      <c r="DHK84" s="1"/>
      <c r="DHL84" s="1"/>
      <c r="DHM84" s="1"/>
      <c r="DHN84" s="1"/>
      <c r="DHO84" s="1"/>
      <c r="DHP84" s="1"/>
      <c r="DHQ84" s="1"/>
      <c r="DHR84" s="1"/>
      <c r="DHS84" s="1"/>
      <c r="DHT84" s="1"/>
      <c r="DHU84" s="1"/>
      <c r="DHV84" s="1"/>
      <c r="DHW84" s="1"/>
      <c r="DHX84" s="1"/>
      <c r="DHY84" s="1"/>
      <c r="DHZ84" s="1"/>
      <c r="DIA84" s="1"/>
      <c r="DIB84" s="1"/>
      <c r="DIC84" s="1"/>
      <c r="DID84" s="1"/>
      <c r="DIE84" s="1"/>
      <c r="DIF84" s="1"/>
      <c r="DIG84" s="1"/>
      <c r="DIH84" s="1"/>
      <c r="DII84" s="1"/>
      <c r="DIJ84" s="1"/>
      <c r="DIK84" s="1"/>
      <c r="DIL84" s="1"/>
      <c r="DIM84" s="1"/>
      <c r="DIN84" s="1"/>
      <c r="DIO84" s="1"/>
      <c r="DIP84" s="1"/>
      <c r="DIQ84" s="1"/>
      <c r="DIR84" s="1"/>
      <c r="DIS84" s="1"/>
      <c r="DIT84" s="1"/>
      <c r="DIU84" s="1"/>
      <c r="DIV84" s="1"/>
      <c r="DIW84" s="1"/>
      <c r="DIX84" s="1"/>
      <c r="DIY84" s="1"/>
      <c r="DIZ84" s="1"/>
      <c r="DJA84" s="1"/>
      <c r="DJB84" s="1"/>
      <c r="DJC84" s="1"/>
      <c r="DJD84" s="1"/>
      <c r="DJE84" s="1"/>
      <c r="DJF84" s="1"/>
      <c r="DJG84" s="1"/>
      <c r="DJH84" s="1"/>
      <c r="DJI84" s="1"/>
      <c r="DJJ84" s="1"/>
      <c r="DJK84" s="1"/>
      <c r="DJL84" s="1"/>
      <c r="DJM84" s="1"/>
      <c r="DJN84" s="1"/>
      <c r="DJO84" s="1"/>
      <c r="DJP84" s="1"/>
      <c r="DJQ84" s="1"/>
      <c r="DJR84" s="1"/>
      <c r="DJS84" s="1"/>
      <c r="DJT84" s="1"/>
      <c r="DJU84" s="1"/>
      <c r="DJV84" s="1"/>
      <c r="DJW84" s="1"/>
      <c r="DJX84" s="1"/>
      <c r="DJY84" s="1"/>
      <c r="DJZ84" s="1"/>
      <c r="DKA84" s="1"/>
      <c r="DKB84" s="1"/>
      <c r="DKC84" s="1"/>
      <c r="DKD84" s="1"/>
      <c r="DKE84" s="1"/>
      <c r="DKF84" s="1"/>
      <c r="DKG84" s="1"/>
      <c r="DKH84" s="1"/>
      <c r="DKI84" s="1"/>
      <c r="DKJ84" s="1"/>
      <c r="DKK84" s="1"/>
      <c r="DKL84" s="1"/>
      <c r="DKM84" s="1"/>
      <c r="DKN84" s="1"/>
      <c r="DKO84" s="1"/>
      <c r="DKP84" s="1"/>
      <c r="DKQ84" s="1"/>
      <c r="DKR84" s="1"/>
      <c r="DKS84" s="1"/>
      <c r="DKT84" s="1"/>
      <c r="DKU84" s="1"/>
      <c r="DKV84" s="1"/>
      <c r="DKW84" s="1"/>
      <c r="DKX84" s="1"/>
      <c r="DKY84" s="1"/>
      <c r="DKZ84" s="1"/>
      <c r="DLA84" s="1"/>
      <c r="DLB84" s="1"/>
      <c r="DLC84" s="1"/>
      <c r="DLD84" s="1"/>
      <c r="DLE84" s="1"/>
      <c r="DLF84" s="1"/>
      <c r="DLG84" s="1"/>
      <c r="DLH84" s="1"/>
      <c r="DLI84" s="1"/>
      <c r="DLJ84" s="1"/>
      <c r="DLK84" s="1"/>
      <c r="DLL84" s="1"/>
      <c r="DLM84" s="1"/>
      <c r="DLN84" s="1"/>
      <c r="DLO84" s="1"/>
      <c r="DLP84" s="1"/>
      <c r="DLQ84" s="1"/>
      <c r="DLR84" s="1"/>
      <c r="DLS84" s="1"/>
      <c r="DLT84" s="1"/>
      <c r="DLU84" s="1"/>
      <c r="DLV84" s="1"/>
      <c r="DLW84" s="1"/>
      <c r="DLX84" s="1"/>
      <c r="DLY84" s="1"/>
      <c r="DLZ84" s="1"/>
      <c r="DMA84" s="1"/>
      <c r="DMB84" s="1"/>
      <c r="DMC84" s="1"/>
      <c r="DMD84" s="1"/>
      <c r="DME84" s="1"/>
      <c r="DMF84" s="1"/>
      <c r="DMG84" s="1"/>
      <c r="DMH84" s="1"/>
      <c r="DMI84" s="1"/>
      <c r="DMJ84" s="1"/>
      <c r="DMK84" s="1"/>
      <c r="DML84" s="1"/>
      <c r="DMM84" s="1"/>
      <c r="DMN84" s="1"/>
      <c r="DMO84" s="1"/>
      <c r="DMP84" s="1"/>
      <c r="DMQ84" s="1"/>
      <c r="DMR84" s="1"/>
      <c r="DMS84" s="1"/>
      <c r="DMT84" s="1"/>
      <c r="DMU84" s="1"/>
      <c r="DMV84" s="1"/>
      <c r="DMW84" s="1"/>
      <c r="DMX84" s="1"/>
      <c r="DMY84" s="1"/>
      <c r="DMZ84" s="1"/>
      <c r="DNA84" s="1"/>
      <c r="DNB84" s="1"/>
      <c r="DNC84" s="1"/>
      <c r="DND84" s="1"/>
      <c r="DNE84" s="1"/>
      <c r="DNF84" s="1"/>
      <c r="DNG84" s="1"/>
      <c r="DNH84" s="1"/>
      <c r="DNI84" s="1"/>
      <c r="DNJ84" s="1"/>
      <c r="DNK84" s="1"/>
      <c r="DNL84" s="1"/>
      <c r="DNM84" s="1"/>
      <c r="DNN84" s="1"/>
      <c r="DNO84" s="1"/>
      <c r="DNP84" s="1"/>
      <c r="DNQ84" s="1"/>
      <c r="DNR84" s="1"/>
      <c r="DNS84" s="1"/>
      <c r="DNT84" s="1"/>
      <c r="DNU84" s="1"/>
      <c r="DNV84" s="1"/>
      <c r="DNW84" s="1"/>
      <c r="DNX84" s="1"/>
      <c r="DNY84" s="1"/>
      <c r="DNZ84" s="1"/>
      <c r="DOA84" s="1"/>
      <c r="DOB84" s="1"/>
      <c r="DOC84" s="1"/>
      <c r="DOD84" s="1"/>
      <c r="DOE84" s="1"/>
      <c r="DOF84" s="1"/>
      <c r="DOG84" s="1"/>
      <c r="DOH84" s="1"/>
      <c r="DOI84" s="1"/>
      <c r="DOJ84" s="1"/>
      <c r="DOK84" s="1"/>
      <c r="DOL84" s="1"/>
      <c r="DOM84" s="1"/>
      <c r="DON84" s="1"/>
      <c r="DOO84" s="1"/>
      <c r="DOP84" s="1"/>
      <c r="DOQ84" s="1"/>
      <c r="DOR84" s="1"/>
      <c r="DOS84" s="1"/>
      <c r="DOT84" s="1"/>
      <c r="DOU84" s="1"/>
      <c r="DOV84" s="1"/>
      <c r="DOW84" s="1"/>
      <c r="DOX84" s="1"/>
      <c r="DOY84" s="1"/>
      <c r="DOZ84" s="1"/>
      <c r="DPA84" s="1"/>
      <c r="DPB84" s="1"/>
      <c r="DPC84" s="1"/>
      <c r="DPD84" s="1"/>
      <c r="DPE84" s="1"/>
      <c r="DPF84" s="1"/>
      <c r="DPG84" s="1"/>
      <c r="DPH84" s="1"/>
      <c r="DPI84" s="1"/>
      <c r="DPJ84" s="1"/>
      <c r="DPK84" s="1"/>
      <c r="DPL84" s="1"/>
      <c r="DPM84" s="1"/>
      <c r="DPN84" s="1"/>
      <c r="DPO84" s="1"/>
      <c r="DPP84" s="1"/>
      <c r="DPQ84" s="1"/>
      <c r="DPR84" s="1"/>
      <c r="DPS84" s="1"/>
      <c r="DPT84" s="1"/>
      <c r="DPU84" s="1"/>
      <c r="DPV84" s="1"/>
      <c r="DPW84" s="1"/>
      <c r="DPX84" s="1"/>
      <c r="DPY84" s="1"/>
      <c r="DPZ84" s="1"/>
      <c r="DQA84" s="1"/>
      <c r="DQB84" s="1"/>
      <c r="DQC84" s="1"/>
      <c r="DQD84" s="1"/>
      <c r="DQE84" s="1"/>
      <c r="DQF84" s="1"/>
      <c r="DQG84" s="1"/>
      <c r="DQH84" s="1"/>
      <c r="DQI84" s="1"/>
      <c r="DQJ84" s="1"/>
      <c r="DQK84" s="1"/>
      <c r="DQL84" s="1"/>
      <c r="DQM84" s="1"/>
      <c r="DQN84" s="1"/>
      <c r="DQO84" s="1"/>
      <c r="DQP84" s="1"/>
      <c r="DQQ84" s="1"/>
      <c r="DQR84" s="1"/>
      <c r="DQS84" s="1"/>
      <c r="DQT84" s="1"/>
      <c r="DQU84" s="1"/>
      <c r="DQV84" s="1"/>
      <c r="DQW84" s="1"/>
      <c r="DQX84" s="1"/>
      <c r="DQY84" s="1"/>
      <c r="DQZ84" s="1"/>
      <c r="DRA84" s="1"/>
      <c r="DRB84" s="1"/>
      <c r="DRC84" s="1"/>
      <c r="DRD84" s="1"/>
      <c r="DRE84" s="1"/>
      <c r="DRF84" s="1"/>
      <c r="DRG84" s="1"/>
      <c r="DRH84" s="1"/>
      <c r="DRI84" s="1"/>
      <c r="DRJ84" s="1"/>
      <c r="DRK84" s="1"/>
      <c r="DRL84" s="1"/>
      <c r="DRM84" s="1"/>
      <c r="DRN84" s="1"/>
      <c r="DRO84" s="1"/>
      <c r="DRP84" s="1"/>
      <c r="DRQ84" s="1"/>
      <c r="DRR84" s="1"/>
      <c r="DRS84" s="1"/>
      <c r="DRT84" s="1"/>
      <c r="DRU84" s="1"/>
      <c r="DRV84" s="1"/>
      <c r="DRW84" s="1"/>
      <c r="DRX84" s="1"/>
      <c r="DRY84" s="1"/>
      <c r="DRZ84" s="1"/>
      <c r="DSA84" s="1"/>
      <c r="DSB84" s="1"/>
      <c r="DSC84" s="1"/>
      <c r="DSD84" s="1"/>
      <c r="DSE84" s="1"/>
      <c r="DSF84" s="1"/>
      <c r="DSG84" s="1"/>
      <c r="DSH84" s="1"/>
      <c r="DSI84" s="1"/>
      <c r="DSJ84" s="1"/>
      <c r="DSK84" s="1"/>
      <c r="DSL84" s="1"/>
      <c r="DSM84" s="1"/>
      <c r="DSN84" s="1"/>
      <c r="DSO84" s="1"/>
      <c r="DSP84" s="1"/>
      <c r="DSQ84" s="1"/>
      <c r="DSR84" s="1"/>
      <c r="DSS84" s="1"/>
      <c r="DST84" s="1"/>
      <c r="DSU84" s="1"/>
      <c r="DSV84" s="1"/>
      <c r="DSW84" s="1"/>
      <c r="DSX84" s="1"/>
      <c r="DSY84" s="1"/>
      <c r="DSZ84" s="1"/>
      <c r="DTA84" s="1"/>
      <c r="DTB84" s="1"/>
      <c r="DTC84" s="1"/>
      <c r="DTD84" s="1"/>
      <c r="DTE84" s="1"/>
      <c r="DTF84" s="1"/>
      <c r="DTG84" s="1"/>
      <c r="DTH84" s="1"/>
      <c r="DTI84" s="1"/>
      <c r="DTJ84" s="1"/>
      <c r="DTK84" s="1"/>
      <c r="DTL84" s="1"/>
      <c r="DTM84" s="1"/>
      <c r="DTN84" s="1"/>
      <c r="DTO84" s="1"/>
      <c r="DTP84" s="1"/>
      <c r="DTQ84" s="1"/>
      <c r="DTR84" s="1"/>
      <c r="DTS84" s="1"/>
      <c r="DTT84" s="1"/>
      <c r="DTU84" s="1"/>
      <c r="DTV84" s="1"/>
      <c r="DTW84" s="1"/>
      <c r="DTX84" s="1"/>
      <c r="DTY84" s="1"/>
      <c r="DTZ84" s="1"/>
      <c r="DUA84" s="1"/>
      <c r="DUB84" s="1"/>
      <c r="DUC84" s="1"/>
      <c r="DUD84" s="1"/>
      <c r="DUE84" s="1"/>
      <c r="DUF84" s="1"/>
      <c r="DUG84" s="1"/>
      <c r="DUH84" s="1"/>
      <c r="DUI84" s="1"/>
      <c r="DUJ84" s="1"/>
      <c r="DUK84" s="1"/>
      <c r="DUL84" s="1"/>
      <c r="DUM84" s="1"/>
      <c r="DUN84" s="1"/>
      <c r="DUO84" s="1"/>
      <c r="DUP84" s="1"/>
      <c r="DUQ84" s="1"/>
      <c r="DUR84" s="1"/>
      <c r="DUS84" s="1"/>
      <c r="DUT84" s="1"/>
      <c r="DUU84" s="1"/>
      <c r="DUV84" s="1"/>
      <c r="DUW84" s="1"/>
      <c r="DUX84" s="1"/>
      <c r="DUY84" s="1"/>
      <c r="DUZ84" s="1"/>
      <c r="DVA84" s="1"/>
      <c r="DVB84" s="1"/>
      <c r="DVC84" s="1"/>
      <c r="DVD84" s="1"/>
      <c r="DVE84" s="1"/>
      <c r="DVF84" s="1"/>
      <c r="DVG84" s="1"/>
      <c r="DVH84" s="1"/>
      <c r="DVI84" s="1"/>
      <c r="DVJ84" s="1"/>
      <c r="DVK84" s="1"/>
      <c r="DVL84" s="1"/>
      <c r="DVM84" s="1"/>
      <c r="DVN84" s="1"/>
      <c r="DVO84" s="1"/>
      <c r="DVP84" s="1"/>
      <c r="DVQ84" s="1"/>
      <c r="DVR84" s="1"/>
      <c r="DVS84" s="1"/>
      <c r="DVT84" s="1"/>
      <c r="DVU84" s="1"/>
      <c r="DVV84" s="1"/>
      <c r="DVW84" s="1"/>
      <c r="DVX84" s="1"/>
      <c r="DVY84" s="1"/>
      <c r="DVZ84" s="1"/>
      <c r="DWA84" s="1"/>
      <c r="DWB84" s="1"/>
      <c r="DWC84" s="1"/>
      <c r="DWD84" s="1"/>
      <c r="DWE84" s="1"/>
      <c r="DWF84" s="1"/>
      <c r="DWG84" s="1"/>
      <c r="DWH84" s="1"/>
      <c r="DWI84" s="1"/>
      <c r="DWJ84" s="1"/>
      <c r="DWK84" s="1"/>
      <c r="DWL84" s="1"/>
      <c r="DWM84" s="1"/>
      <c r="DWN84" s="1"/>
      <c r="DWO84" s="1"/>
      <c r="DWP84" s="1"/>
      <c r="DWQ84" s="1"/>
      <c r="DWR84" s="1"/>
      <c r="DWS84" s="1"/>
      <c r="DWT84" s="1"/>
      <c r="DWU84" s="1"/>
      <c r="DWV84" s="1"/>
      <c r="DWW84" s="1"/>
      <c r="DWX84" s="1"/>
      <c r="DWY84" s="1"/>
      <c r="DWZ84" s="1"/>
      <c r="DXA84" s="1"/>
      <c r="DXB84" s="1"/>
      <c r="DXC84" s="1"/>
      <c r="DXD84" s="1"/>
      <c r="DXE84" s="1"/>
      <c r="DXF84" s="1"/>
      <c r="DXG84" s="1"/>
      <c r="DXH84" s="1"/>
      <c r="DXI84" s="1"/>
      <c r="DXJ84" s="1"/>
      <c r="DXK84" s="1"/>
      <c r="DXL84" s="1"/>
      <c r="DXM84" s="1"/>
      <c r="DXN84" s="1"/>
      <c r="DXO84" s="1"/>
      <c r="DXP84" s="1"/>
      <c r="DXQ84" s="1"/>
      <c r="DXR84" s="1"/>
      <c r="DXS84" s="1"/>
      <c r="DXT84" s="1"/>
      <c r="DXU84" s="1"/>
      <c r="DXV84" s="1"/>
      <c r="DXW84" s="1"/>
      <c r="DXX84" s="1"/>
      <c r="DXY84" s="1"/>
      <c r="DXZ84" s="1"/>
      <c r="DYA84" s="1"/>
      <c r="DYB84" s="1"/>
      <c r="DYC84" s="1"/>
      <c r="DYD84" s="1"/>
      <c r="DYE84" s="1"/>
      <c r="DYF84" s="1"/>
      <c r="DYG84" s="1"/>
      <c r="DYH84" s="1"/>
      <c r="DYI84" s="1"/>
      <c r="DYJ84" s="1"/>
      <c r="DYK84" s="1"/>
      <c r="DYL84" s="1"/>
      <c r="DYM84" s="1"/>
      <c r="DYN84" s="1"/>
      <c r="DYO84" s="1"/>
      <c r="DYP84" s="1"/>
      <c r="DYQ84" s="1"/>
      <c r="DYR84" s="1"/>
      <c r="DYS84" s="1"/>
      <c r="DYT84" s="1"/>
      <c r="DYU84" s="1"/>
      <c r="DYV84" s="1"/>
      <c r="DYW84" s="1"/>
      <c r="DYX84" s="1"/>
      <c r="DYY84" s="1"/>
      <c r="DYZ84" s="1"/>
      <c r="DZA84" s="1"/>
      <c r="DZB84" s="1"/>
      <c r="DZC84" s="1"/>
      <c r="DZD84" s="1"/>
      <c r="DZE84" s="1"/>
      <c r="DZF84" s="1"/>
      <c r="DZG84" s="1"/>
      <c r="DZH84" s="1"/>
      <c r="DZI84" s="1"/>
      <c r="DZJ84" s="1"/>
      <c r="DZK84" s="1"/>
      <c r="DZL84" s="1"/>
      <c r="DZM84" s="1"/>
      <c r="DZN84" s="1"/>
      <c r="DZO84" s="1"/>
      <c r="DZP84" s="1"/>
      <c r="DZQ84" s="1"/>
      <c r="DZR84" s="1"/>
      <c r="DZS84" s="1"/>
      <c r="DZT84" s="1"/>
      <c r="DZU84" s="1"/>
      <c r="DZV84" s="1"/>
      <c r="DZW84" s="1"/>
      <c r="DZX84" s="1"/>
      <c r="DZY84" s="1"/>
      <c r="DZZ84" s="1"/>
      <c r="EAA84" s="1"/>
      <c r="EAB84" s="1"/>
      <c r="EAC84" s="1"/>
      <c r="EAD84" s="1"/>
      <c r="EAE84" s="1"/>
      <c r="EAF84" s="1"/>
      <c r="EAG84" s="1"/>
      <c r="EAH84" s="1"/>
      <c r="EAI84" s="1"/>
      <c r="EAJ84" s="1"/>
      <c r="EAK84" s="1"/>
      <c r="EAL84" s="1"/>
      <c r="EAM84" s="1"/>
      <c r="EAN84" s="1"/>
      <c r="EAO84" s="1"/>
      <c r="EAP84" s="1"/>
      <c r="EAQ84" s="1"/>
      <c r="EAR84" s="1"/>
      <c r="EAS84" s="1"/>
      <c r="EAT84" s="1"/>
      <c r="EAU84" s="1"/>
      <c r="EAV84" s="1"/>
      <c r="EAW84" s="1"/>
      <c r="EAX84" s="1"/>
      <c r="EAY84" s="1"/>
      <c r="EAZ84" s="1"/>
      <c r="EBA84" s="1"/>
      <c r="EBB84" s="1"/>
      <c r="EBC84" s="1"/>
      <c r="EBD84" s="1"/>
      <c r="EBE84" s="1"/>
      <c r="EBF84" s="1"/>
      <c r="EBG84" s="1"/>
      <c r="EBH84" s="1"/>
      <c r="EBI84" s="1"/>
      <c r="EBJ84" s="1"/>
      <c r="EBK84" s="1"/>
      <c r="EBL84" s="1"/>
      <c r="EBM84" s="1"/>
      <c r="EBN84" s="1"/>
      <c r="EBO84" s="1"/>
      <c r="EBP84" s="1"/>
      <c r="EBQ84" s="1"/>
      <c r="EBR84" s="1"/>
      <c r="EBS84" s="1"/>
      <c r="EBT84" s="1"/>
      <c r="EBU84" s="1"/>
      <c r="EBV84" s="1"/>
      <c r="EBW84" s="1"/>
      <c r="EBX84" s="1"/>
      <c r="EBY84" s="1"/>
      <c r="EBZ84" s="1"/>
      <c r="ECA84" s="1"/>
      <c r="ECB84" s="1"/>
      <c r="ECC84" s="1"/>
      <c r="ECD84" s="1"/>
      <c r="ECE84" s="1"/>
      <c r="ECF84" s="1"/>
      <c r="ECG84" s="1"/>
      <c r="ECH84" s="1"/>
      <c r="ECI84" s="1"/>
      <c r="ECJ84" s="1"/>
      <c r="ECK84" s="1"/>
      <c r="ECL84" s="1"/>
      <c r="ECM84" s="1"/>
      <c r="ECN84" s="1"/>
      <c r="ECO84" s="1"/>
      <c r="ECP84" s="1"/>
      <c r="ECQ84" s="1"/>
      <c r="ECR84" s="1"/>
      <c r="ECS84" s="1"/>
      <c r="ECT84" s="1"/>
      <c r="ECU84" s="1"/>
      <c r="ECV84" s="1"/>
      <c r="ECW84" s="1"/>
      <c r="ECX84" s="1"/>
      <c r="ECY84" s="1"/>
      <c r="ECZ84" s="1"/>
      <c r="EDA84" s="1"/>
      <c r="EDB84" s="1"/>
      <c r="EDC84" s="1"/>
      <c r="EDD84" s="1"/>
      <c r="EDE84" s="1"/>
      <c r="EDF84" s="1"/>
      <c r="EDG84" s="1"/>
      <c r="EDH84" s="1"/>
      <c r="EDI84" s="1"/>
      <c r="EDJ84" s="1"/>
      <c r="EDK84" s="1"/>
      <c r="EDL84" s="1"/>
      <c r="EDM84" s="1"/>
      <c r="EDN84" s="1"/>
      <c r="EDO84" s="1"/>
      <c r="EDP84" s="1"/>
      <c r="EDQ84" s="1"/>
      <c r="EDR84" s="1"/>
      <c r="EDS84" s="1"/>
      <c r="EDT84" s="1"/>
      <c r="EDU84" s="1"/>
      <c r="EDV84" s="1"/>
      <c r="EDW84" s="1"/>
      <c r="EDX84" s="1"/>
      <c r="EDY84" s="1"/>
      <c r="EDZ84" s="1"/>
      <c r="EEA84" s="1"/>
      <c r="EEB84" s="1"/>
      <c r="EEC84" s="1"/>
      <c r="EED84" s="1"/>
      <c r="EEE84" s="1"/>
      <c r="EEF84" s="1"/>
      <c r="EEG84" s="1"/>
      <c r="EEH84" s="1"/>
      <c r="EEI84" s="1"/>
      <c r="EEJ84" s="1"/>
      <c r="EEK84" s="1"/>
      <c r="EEL84" s="1"/>
      <c r="EEM84" s="1"/>
      <c r="EEN84" s="1"/>
      <c r="EEO84" s="1"/>
      <c r="EEP84" s="1"/>
      <c r="EEQ84" s="1"/>
      <c r="EER84" s="1"/>
      <c r="EES84" s="1"/>
      <c r="EET84" s="1"/>
      <c r="EEU84" s="1"/>
      <c r="EEV84" s="1"/>
      <c r="EEW84" s="1"/>
      <c r="EEX84" s="1"/>
      <c r="EEY84" s="1"/>
      <c r="EEZ84" s="1"/>
      <c r="EFA84" s="1"/>
      <c r="EFB84" s="1"/>
      <c r="EFC84" s="1"/>
      <c r="EFD84" s="1"/>
      <c r="EFE84" s="1"/>
      <c r="EFF84" s="1"/>
      <c r="EFG84" s="1"/>
      <c r="EFH84" s="1"/>
      <c r="EFI84" s="1"/>
      <c r="EFJ84" s="1"/>
      <c r="EFK84" s="1"/>
      <c r="EFL84" s="1"/>
      <c r="EFM84" s="1"/>
      <c r="EFN84" s="1"/>
      <c r="EFO84" s="1"/>
      <c r="EFP84" s="1"/>
      <c r="EFQ84" s="1"/>
      <c r="EFR84" s="1"/>
      <c r="EFS84" s="1"/>
      <c r="EFT84" s="1"/>
      <c r="EFU84" s="1"/>
      <c r="EFV84" s="1"/>
      <c r="EFW84" s="1"/>
      <c r="EFX84" s="1"/>
      <c r="EFY84" s="1"/>
      <c r="EFZ84" s="1"/>
      <c r="EGA84" s="1"/>
      <c r="EGB84" s="1"/>
      <c r="EGC84" s="1"/>
      <c r="EGD84" s="1"/>
      <c r="EGE84" s="1"/>
      <c r="EGF84" s="1"/>
      <c r="EGG84" s="1"/>
      <c r="EGH84" s="1"/>
      <c r="EGI84" s="1"/>
      <c r="EGJ84" s="1"/>
      <c r="EGK84" s="1"/>
      <c r="EGL84" s="1"/>
      <c r="EGM84" s="1"/>
      <c r="EGN84" s="1"/>
      <c r="EGO84" s="1"/>
      <c r="EGP84" s="1"/>
      <c r="EGQ84" s="1"/>
      <c r="EGR84" s="1"/>
      <c r="EGS84" s="1"/>
      <c r="EGT84" s="1"/>
      <c r="EGU84" s="1"/>
      <c r="EGV84" s="1"/>
      <c r="EGW84" s="1"/>
      <c r="EGX84" s="1"/>
      <c r="EGY84" s="1"/>
      <c r="EGZ84" s="1"/>
      <c r="EHA84" s="1"/>
      <c r="EHB84" s="1"/>
      <c r="EHC84" s="1"/>
      <c r="EHD84" s="1"/>
      <c r="EHE84" s="1"/>
      <c r="EHF84" s="1"/>
      <c r="EHG84" s="1"/>
      <c r="EHH84" s="1"/>
      <c r="EHI84" s="1"/>
      <c r="EHJ84" s="1"/>
      <c r="EHK84" s="1"/>
      <c r="EHL84" s="1"/>
      <c r="EHM84" s="1"/>
      <c r="EHN84" s="1"/>
      <c r="EHO84" s="1"/>
      <c r="EHP84" s="1"/>
      <c r="EHQ84" s="1"/>
      <c r="EHR84" s="1"/>
      <c r="EHS84" s="1"/>
      <c r="EHT84" s="1"/>
      <c r="EHU84" s="1"/>
      <c r="EHV84" s="1"/>
      <c r="EHW84" s="1"/>
      <c r="EHX84" s="1"/>
      <c r="EHY84" s="1"/>
      <c r="EHZ84" s="1"/>
      <c r="EIA84" s="1"/>
      <c r="EIB84" s="1"/>
      <c r="EIC84" s="1"/>
      <c r="EID84" s="1"/>
      <c r="EIE84" s="1"/>
      <c r="EIF84" s="1"/>
      <c r="EIG84" s="1"/>
      <c r="EIH84" s="1"/>
      <c r="EII84" s="1"/>
      <c r="EIJ84" s="1"/>
      <c r="EIK84" s="1"/>
      <c r="EIL84" s="1"/>
      <c r="EIM84" s="1"/>
      <c r="EIN84" s="1"/>
      <c r="EIO84" s="1"/>
      <c r="EIP84" s="1"/>
      <c r="EIQ84" s="1"/>
      <c r="EIR84" s="1"/>
      <c r="EIS84" s="1"/>
      <c r="EIT84" s="1"/>
      <c r="EIU84" s="1"/>
      <c r="EIV84" s="1"/>
      <c r="EIW84" s="1"/>
      <c r="EIX84" s="1"/>
      <c r="EIY84" s="1"/>
      <c r="EIZ84" s="1"/>
      <c r="EJA84" s="1"/>
      <c r="EJB84" s="1"/>
      <c r="EJC84" s="1"/>
      <c r="EJD84" s="1"/>
      <c r="EJE84" s="1"/>
      <c r="EJF84" s="1"/>
      <c r="EJG84" s="1"/>
      <c r="EJH84" s="1"/>
      <c r="EJI84" s="1"/>
      <c r="EJJ84" s="1"/>
      <c r="EJK84" s="1"/>
      <c r="EJL84" s="1"/>
      <c r="EJM84" s="1"/>
      <c r="EJN84" s="1"/>
      <c r="EJO84" s="1"/>
      <c r="EJP84" s="1"/>
      <c r="EJQ84" s="1"/>
      <c r="EJR84" s="1"/>
      <c r="EJS84" s="1"/>
      <c r="EJT84" s="1"/>
      <c r="EJU84" s="1"/>
      <c r="EJV84" s="1"/>
      <c r="EJW84" s="1"/>
      <c r="EJX84" s="1"/>
      <c r="EJY84" s="1"/>
      <c r="EJZ84" s="1"/>
      <c r="EKA84" s="1"/>
      <c r="EKB84" s="1"/>
      <c r="EKC84" s="1"/>
      <c r="EKD84" s="1"/>
      <c r="EKE84" s="1"/>
      <c r="EKF84" s="1"/>
      <c r="EKG84" s="1"/>
      <c r="EKH84" s="1"/>
      <c r="EKI84" s="1"/>
      <c r="EKJ84" s="1"/>
      <c r="EKK84" s="1"/>
      <c r="EKL84" s="1"/>
      <c r="EKM84" s="1"/>
      <c r="EKN84" s="1"/>
      <c r="EKO84" s="1"/>
      <c r="EKP84" s="1"/>
      <c r="EKQ84" s="1"/>
      <c r="EKR84" s="1"/>
      <c r="EKS84" s="1"/>
      <c r="EKT84" s="1"/>
      <c r="EKU84" s="1"/>
      <c r="EKV84" s="1"/>
      <c r="EKW84" s="1"/>
      <c r="EKX84" s="1"/>
      <c r="EKY84" s="1"/>
      <c r="EKZ84" s="1"/>
      <c r="ELA84" s="1"/>
      <c r="ELB84" s="1"/>
      <c r="ELC84" s="1"/>
      <c r="ELD84" s="1"/>
      <c r="ELE84" s="1"/>
      <c r="ELF84" s="1"/>
      <c r="ELG84" s="1"/>
      <c r="ELH84" s="1"/>
      <c r="ELI84" s="1"/>
      <c r="ELJ84" s="1"/>
      <c r="ELK84" s="1"/>
      <c r="ELL84" s="1"/>
      <c r="ELM84" s="1"/>
      <c r="ELN84" s="1"/>
      <c r="ELO84" s="1"/>
      <c r="ELP84" s="1"/>
      <c r="ELQ84" s="1"/>
      <c r="ELR84" s="1"/>
      <c r="ELS84" s="1"/>
      <c r="ELT84" s="1"/>
      <c r="ELU84" s="1"/>
      <c r="ELV84" s="1"/>
      <c r="ELW84" s="1"/>
      <c r="ELX84" s="1"/>
      <c r="ELY84" s="1"/>
      <c r="ELZ84" s="1"/>
      <c r="EMA84" s="1"/>
      <c r="EMB84" s="1"/>
      <c r="EMC84" s="1"/>
      <c r="EMD84" s="1"/>
      <c r="EME84" s="1"/>
      <c r="EMF84" s="1"/>
      <c r="EMG84" s="1"/>
      <c r="EMH84" s="1"/>
      <c r="EMI84" s="1"/>
      <c r="EMJ84" s="1"/>
      <c r="EMK84" s="1"/>
      <c r="EML84" s="1"/>
      <c r="EMM84" s="1"/>
      <c r="EMN84" s="1"/>
      <c r="EMO84" s="1"/>
      <c r="EMP84" s="1"/>
      <c r="EMQ84" s="1"/>
      <c r="EMR84" s="1"/>
      <c r="EMS84" s="1"/>
      <c r="EMT84" s="1"/>
      <c r="EMU84" s="1"/>
      <c r="EMV84" s="1"/>
      <c r="EMW84" s="1"/>
      <c r="EMX84" s="1"/>
      <c r="EMY84" s="1"/>
      <c r="EMZ84" s="1"/>
      <c r="ENA84" s="1"/>
      <c r="ENB84" s="1"/>
      <c r="ENC84" s="1"/>
      <c r="END84" s="1"/>
      <c r="ENE84" s="1"/>
      <c r="ENF84" s="1"/>
      <c r="ENG84" s="1"/>
      <c r="ENH84" s="1"/>
      <c r="ENI84" s="1"/>
      <c r="ENJ84" s="1"/>
      <c r="ENK84" s="1"/>
      <c r="ENL84" s="1"/>
      <c r="ENM84" s="1"/>
      <c r="ENN84" s="1"/>
      <c r="ENO84" s="1"/>
      <c r="ENP84" s="1"/>
      <c r="ENQ84" s="1"/>
      <c r="ENR84" s="1"/>
      <c r="ENS84" s="1"/>
      <c r="ENT84" s="1"/>
      <c r="ENU84" s="1"/>
      <c r="ENV84" s="1"/>
      <c r="ENW84" s="1"/>
      <c r="ENX84" s="1"/>
      <c r="ENY84" s="1"/>
      <c r="ENZ84" s="1"/>
      <c r="EOA84" s="1"/>
      <c r="EOB84" s="1"/>
      <c r="EOC84" s="1"/>
      <c r="EOD84" s="1"/>
      <c r="EOE84" s="1"/>
      <c r="EOF84" s="1"/>
      <c r="EOG84" s="1"/>
      <c r="EOH84" s="1"/>
      <c r="EOI84" s="1"/>
      <c r="EOJ84" s="1"/>
      <c r="EOK84" s="1"/>
      <c r="EOL84" s="1"/>
      <c r="EOM84" s="1"/>
      <c r="EON84" s="1"/>
      <c r="EOO84" s="1"/>
      <c r="EOP84" s="1"/>
      <c r="EOQ84" s="1"/>
      <c r="EOR84" s="1"/>
      <c r="EOS84" s="1"/>
      <c r="EOT84" s="1"/>
      <c r="EOU84" s="1"/>
      <c r="EOV84" s="1"/>
      <c r="EOW84" s="1"/>
      <c r="EOX84" s="1"/>
      <c r="EOY84" s="1"/>
      <c r="EOZ84" s="1"/>
      <c r="EPA84" s="1"/>
      <c r="EPB84" s="1"/>
      <c r="EPC84" s="1"/>
      <c r="EPD84" s="1"/>
      <c r="EPE84" s="1"/>
      <c r="EPF84" s="1"/>
      <c r="EPG84" s="1"/>
      <c r="EPH84" s="1"/>
      <c r="EPI84" s="1"/>
      <c r="EPJ84" s="1"/>
      <c r="EPK84" s="1"/>
      <c r="EPL84" s="1"/>
      <c r="EPM84" s="1"/>
      <c r="EPN84" s="1"/>
      <c r="EPO84" s="1"/>
      <c r="EPP84" s="1"/>
      <c r="EPQ84" s="1"/>
      <c r="EPR84" s="1"/>
      <c r="EPS84" s="1"/>
      <c r="EPT84" s="1"/>
      <c r="EPU84" s="1"/>
      <c r="EPV84" s="1"/>
      <c r="EPW84" s="1"/>
      <c r="EPX84" s="1"/>
      <c r="EPY84" s="1"/>
      <c r="EPZ84" s="1"/>
      <c r="EQA84" s="1"/>
      <c r="EQB84" s="1"/>
      <c r="EQC84" s="1"/>
      <c r="EQD84" s="1"/>
      <c r="EQE84" s="1"/>
      <c r="EQF84" s="1"/>
      <c r="EQG84" s="1"/>
      <c r="EQH84" s="1"/>
      <c r="EQI84" s="1"/>
      <c r="EQJ84" s="1"/>
      <c r="EQK84" s="1"/>
      <c r="EQL84" s="1"/>
      <c r="EQM84" s="1"/>
      <c r="EQN84" s="1"/>
      <c r="EQO84" s="1"/>
      <c r="EQP84" s="1"/>
      <c r="EQQ84" s="1"/>
      <c r="EQR84" s="1"/>
      <c r="EQS84" s="1"/>
      <c r="EQT84" s="1"/>
      <c r="EQU84" s="1"/>
      <c r="EQV84" s="1"/>
      <c r="EQW84" s="1"/>
      <c r="EQX84" s="1"/>
      <c r="EQY84" s="1"/>
      <c r="EQZ84" s="1"/>
      <c r="ERA84" s="1"/>
      <c r="ERB84" s="1"/>
      <c r="ERC84" s="1"/>
      <c r="ERD84" s="1"/>
      <c r="ERE84" s="1"/>
      <c r="ERF84" s="1"/>
      <c r="ERG84" s="1"/>
      <c r="ERH84" s="1"/>
      <c r="ERI84" s="1"/>
      <c r="ERJ84" s="1"/>
      <c r="ERK84" s="1"/>
      <c r="ERL84" s="1"/>
      <c r="ERM84" s="1"/>
      <c r="ERN84" s="1"/>
      <c r="ERO84" s="1"/>
      <c r="ERP84" s="1"/>
      <c r="ERQ84" s="1"/>
      <c r="ERR84" s="1"/>
      <c r="ERS84" s="1"/>
      <c r="ERT84" s="1"/>
      <c r="ERU84" s="1"/>
      <c r="ERV84" s="1"/>
      <c r="ERW84" s="1"/>
      <c r="ERX84" s="1"/>
      <c r="ERY84" s="1"/>
      <c r="ERZ84" s="1"/>
      <c r="ESA84" s="1"/>
      <c r="ESB84" s="1"/>
      <c r="ESC84" s="1"/>
      <c r="ESD84" s="1"/>
      <c r="ESE84" s="1"/>
      <c r="ESF84" s="1"/>
      <c r="ESG84" s="1"/>
      <c r="ESH84" s="1"/>
      <c r="ESI84" s="1"/>
      <c r="ESJ84" s="1"/>
      <c r="ESK84" s="1"/>
      <c r="ESL84" s="1"/>
      <c r="ESM84" s="1"/>
      <c r="ESN84" s="1"/>
      <c r="ESO84" s="1"/>
      <c r="ESP84" s="1"/>
      <c r="ESQ84" s="1"/>
      <c r="ESR84" s="1"/>
      <c r="ESS84" s="1"/>
      <c r="EST84" s="1"/>
      <c r="ESU84" s="1"/>
      <c r="ESV84" s="1"/>
      <c r="ESW84" s="1"/>
      <c r="ESX84" s="1"/>
      <c r="ESY84" s="1"/>
      <c r="ESZ84" s="1"/>
      <c r="ETA84" s="1"/>
      <c r="ETB84" s="1"/>
      <c r="ETC84" s="1"/>
      <c r="ETD84" s="1"/>
      <c r="ETE84" s="1"/>
      <c r="ETF84" s="1"/>
      <c r="ETG84" s="1"/>
      <c r="ETH84" s="1"/>
      <c r="ETI84" s="1"/>
      <c r="ETJ84" s="1"/>
      <c r="ETK84" s="1"/>
      <c r="ETL84" s="1"/>
      <c r="ETM84" s="1"/>
      <c r="ETN84" s="1"/>
      <c r="ETO84" s="1"/>
      <c r="ETP84" s="1"/>
      <c r="ETQ84" s="1"/>
      <c r="ETR84" s="1"/>
      <c r="ETS84" s="1"/>
      <c r="ETT84" s="1"/>
      <c r="ETU84" s="1"/>
      <c r="ETV84" s="1"/>
      <c r="ETW84" s="1"/>
      <c r="ETX84" s="1"/>
      <c r="ETY84" s="1"/>
      <c r="ETZ84" s="1"/>
      <c r="EUA84" s="1"/>
      <c r="EUB84" s="1"/>
      <c r="EUC84" s="1"/>
      <c r="EUD84" s="1"/>
      <c r="EUE84" s="1"/>
      <c r="EUF84" s="1"/>
      <c r="EUG84" s="1"/>
      <c r="EUH84" s="1"/>
      <c r="EUI84" s="1"/>
      <c r="EUJ84" s="1"/>
      <c r="EUK84" s="1"/>
      <c r="EUL84" s="1"/>
      <c r="EUM84" s="1"/>
      <c r="EUN84" s="1"/>
      <c r="EUO84" s="1"/>
      <c r="EUP84" s="1"/>
      <c r="EUQ84" s="1"/>
      <c r="EUR84" s="1"/>
      <c r="EUS84" s="1"/>
      <c r="EUT84" s="1"/>
      <c r="EUU84" s="1"/>
      <c r="EUV84" s="1"/>
      <c r="EUW84" s="1"/>
      <c r="EUX84" s="1"/>
      <c r="EUY84" s="1"/>
      <c r="EUZ84" s="1"/>
      <c r="EVA84" s="1"/>
      <c r="EVB84" s="1"/>
      <c r="EVC84" s="1"/>
      <c r="EVD84" s="1"/>
      <c r="EVE84" s="1"/>
      <c r="EVF84" s="1"/>
      <c r="EVG84" s="1"/>
      <c r="EVH84" s="1"/>
      <c r="EVI84" s="1"/>
      <c r="EVJ84" s="1"/>
      <c r="EVK84" s="1"/>
      <c r="EVL84" s="1"/>
      <c r="EVM84" s="1"/>
      <c r="EVN84" s="1"/>
      <c r="EVO84" s="1"/>
      <c r="EVP84" s="1"/>
      <c r="EVQ84" s="1"/>
      <c r="EVR84" s="1"/>
      <c r="EVS84" s="1"/>
      <c r="EVT84" s="1"/>
      <c r="EVU84" s="1"/>
      <c r="EVV84" s="1"/>
      <c r="EVW84" s="1"/>
      <c r="EVX84" s="1"/>
      <c r="EVY84" s="1"/>
      <c r="EVZ84" s="1"/>
      <c r="EWA84" s="1"/>
      <c r="EWB84" s="1"/>
      <c r="EWC84" s="1"/>
      <c r="EWD84" s="1"/>
      <c r="EWE84" s="1"/>
      <c r="EWF84" s="1"/>
      <c r="EWG84" s="1"/>
      <c r="EWH84" s="1"/>
      <c r="EWI84" s="1"/>
      <c r="EWJ84" s="1"/>
      <c r="EWK84" s="1"/>
      <c r="EWL84" s="1"/>
      <c r="EWM84" s="1"/>
      <c r="EWN84" s="1"/>
      <c r="EWO84" s="1"/>
      <c r="EWP84" s="1"/>
      <c r="EWQ84" s="1"/>
      <c r="EWR84" s="1"/>
      <c r="EWS84" s="1"/>
      <c r="EWT84" s="1"/>
      <c r="EWU84" s="1"/>
      <c r="EWV84" s="1"/>
      <c r="EWW84" s="1"/>
      <c r="EWX84" s="1"/>
      <c r="EWY84" s="1"/>
      <c r="EWZ84" s="1"/>
      <c r="EXA84" s="1"/>
      <c r="EXB84" s="1"/>
      <c r="EXC84" s="1"/>
      <c r="EXD84" s="1"/>
      <c r="EXE84" s="1"/>
      <c r="EXF84" s="1"/>
      <c r="EXG84" s="1"/>
      <c r="EXH84" s="1"/>
      <c r="EXI84" s="1"/>
      <c r="EXJ84" s="1"/>
      <c r="EXK84" s="1"/>
      <c r="EXL84" s="1"/>
      <c r="EXM84" s="1"/>
      <c r="EXN84" s="1"/>
      <c r="EXO84" s="1"/>
      <c r="EXP84" s="1"/>
      <c r="EXQ84" s="1"/>
      <c r="EXR84" s="1"/>
      <c r="EXS84" s="1"/>
      <c r="EXT84" s="1"/>
      <c r="EXU84" s="1"/>
      <c r="EXV84" s="1"/>
      <c r="EXW84" s="1"/>
      <c r="EXX84" s="1"/>
      <c r="EXY84" s="1"/>
      <c r="EXZ84" s="1"/>
      <c r="EYA84" s="1"/>
      <c r="EYB84" s="1"/>
      <c r="EYC84" s="1"/>
      <c r="EYD84" s="1"/>
      <c r="EYE84" s="1"/>
      <c r="EYF84" s="1"/>
      <c r="EYG84" s="1"/>
      <c r="EYH84" s="1"/>
      <c r="EYI84" s="1"/>
      <c r="EYJ84" s="1"/>
      <c r="EYK84" s="1"/>
      <c r="EYL84" s="1"/>
      <c r="EYM84" s="1"/>
      <c r="EYN84" s="1"/>
      <c r="EYO84" s="1"/>
      <c r="EYP84" s="1"/>
      <c r="EYQ84" s="1"/>
      <c r="EYR84" s="1"/>
      <c r="EYS84" s="1"/>
      <c r="EYT84" s="1"/>
      <c r="EYU84" s="1"/>
      <c r="EYV84" s="1"/>
      <c r="EYW84" s="1"/>
      <c r="EYX84" s="1"/>
      <c r="EYY84" s="1"/>
      <c r="EYZ84" s="1"/>
      <c r="EZA84" s="1"/>
      <c r="EZB84" s="1"/>
      <c r="EZC84" s="1"/>
      <c r="EZD84" s="1"/>
      <c r="EZE84" s="1"/>
      <c r="EZF84" s="1"/>
      <c r="EZG84" s="1"/>
      <c r="EZH84" s="1"/>
      <c r="EZI84" s="1"/>
      <c r="EZJ84" s="1"/>
      <c r="EZK84" s="1"/>
      <c r="EZL84" s="1"/>
      <c r="EZM84" s="1"/>
      <c r="EZN84" s="1"/>
      <c r="EZO84" s="1"/>
      <c r="EZP84" s="1"/>
      <c r="EZQ84" s="1"/>
      <c r="EZR84" s="1"/>
      <c r="EZS84" s="1"/>
      <c r="EZT84" s="1"/>
      <c r="EZU84" s="1"/>
      <c r="EZV84" s="1"/>
      <c r="EZW84" s="1"/>
      <c r="EZX84" s="1"/>
      <c r="EZY84" s="1"/>
      <c r="EZZ84" s="1"/>
      <c r="FAA84" s="1"/>
      <c r="FAB84" s="1"/>
      <c r="FAC84" s="1"/>
      <c r="FAD84" s="1"/>
      <c r="FAE84" s="1"/>
      <c r="FAF84" s="1"/>
      <c r="FAG84" s="1"/>
      <c r="FAH84" s="1"/>
      <c r="FAI84" s="1"/>
      <c r="FAJ84" s="1"/>
      <c r="FAK84" s="1"/>
      <c r="FAL84" s="1"/>
      <c r="FAM84" s="1"/>
      <c r="FAN84" s="1"/>
      <c r="FAO84" s="1"/>
      <c r="FAP84" s="1"/>
      <c r="FAQ84" s="1"/>
      <c r="FAR84" s="1"/>
      <c r="FAS84" s="1"/>
      <c r="FAT84" s="1"/>
      <c r="FAU84" s="1"/>
      <c r="FAV84" s="1"/>
      <c r="FAW84" s="1"/>
      <c r="FAX84" s="1"/>
      <c r="FAY84" s="1"/>
      <c r="FAZ84" s="1"/>
      <c r="FBA84" s="1"/>
      <c r="FBB84" s="1"/>
      <c r="FBC84" s="1"/>
      <c r="FBD84" s="1"/>
      <c r="FBE84" s="1"/>
      <c r="FBF84" s="1"/>
      <c r="FBG84" s="1"/>
      <c r="FBH84" s="1"/>
      <c r="FBI84" s="1"/>
      <c r="FBJ84" s="1"/>
      <c r="FBK84" s="1"/>
      <c r="FBL84" s="1"/>
      <c r="FBM84" s="1"/>
      <c r="FBN84" s="1"/>
      <c r="FBO84" s="1"/>
      <c r="FBP84" s="1"/>
      <c r="FBQ84" s="1"/>
      <c r="FBR84" s="1"/>
      <c r="FBS84" s="1"/>
      <c r="FBT84" s="1"/>
      <c r="FBU84" s="1"/>
      <c r="FBV84" s="1"/>
      <c r="FBW84" s="1"/>
      <c r="FBX84" s="1"/>
      <c r="FBY84" s="1"/>
      <c r="FBZ84" s="1"/>
      <c r="FCA84" s="1"/>
      <c r="FCB84" s="1"/>
      <c r="FCC84" s="1"/>
      <c r="FCD84" s="1"/>
      <c r="FCE84" s="1"/>
      <c r="FCF84" s="1"/>
      <c r="FCG84" s="1"/>
      <c r="FCH84" s="1"/>
      <c r="FCI84" s="1"/>
      <c r="FCJ84" s="1"/>
      <c r="FCK84" s="1"/>
      <c r="FCL84" s="1"/>
      <c r="FCM84" s="1"/>
      <c r="FCN84" s="1"/>
      <c r="FCO84" s="1"/>
      <c r="FCP84" s="1"/>
      <c r="FCQ84" s="1"/>
      <c r="FCR84" s="1"/>
      <c r="FCS84" s="1"/>
      <c r="FCT84" s="1"/>
      <c r="FCU84" s="1"/>
      <c r="FCV84" s="1"/>
      <c r="FCW84" s="1"/>
      <c r="FCX84" s="1"/>
      <c r="FCY84" s="1"/>
      <c r="FCZ84" s="1"/>
      <c r="FDA84" s="1"/>
      <c r="FDB84" s="1"/>
      <c r="FDC84" s="1"/>
      <c r="FDD84" s="1"/>
      <c r="FDE84" s="1"/>
      <c r="FDF84" s="1"/>
      <c r="FDG84" s="1"/>
      <c r="FDH84" s="1"/>
      <c r="FDI84" s="1"/>
      <c r="FDJ84" s="1"/>
      <c r="FDK84" s="1"/>
      <c r="FDL84" s="1"/>
      <c r="FDM84" s="1"/>
      <c r="FDN84" s="1"/>
      <c r="FDO84" s="1"/>
      <c r="FDP84" s="1"/>
      <c r="FDQ84" s="1"/>
      <c r="FDR84" s="1"/>
      <c r="FDS84" s="1"/>
      <c r="FDT84" s="1"/>
      <c r="FDU84" s="1"/>
      <c r="FDV84" s="1"/>
      <c r="FDW84" s="1"/>
      <c r="FDX84" s="1"/>
      <c r="FDY84" s="1"/>
      <c r="FDZ84" s="1"/>
      <c r="FEA84" s="1"/>
      <c r="FEB84" s="1"/>
      <c r="FEC84" s="1"/>
      <c r="FED84" s="1"/>
      <c r="FEE84" s="1"/>
      <c r="FEF84" s="1"/>
      <c r="FEG84" s="1"/>
      <c r="FEH84" s="1"/>
      <c r="FEI84" s="1"/>
      <c r="FEJ84" s="1"/>
      <c r="FEK84" s="1"/>
      <c r="FEL84" s="1"/>
      <c r="FEM84" s="1"/>
      <c r="FEN84" s="1"/>
      <c r="FEO84" s="1"/>
      <c r="FEP84" s="1"/>
      <c r="FEQ84" s="1"/>
      <c r="FER84" s="1"/>
      <c r="FES84" s="1"/>
      <c r="FET84" s="1"/>
      <c r="FEU84" s="1"/>
      <c r="FEV84" s="1"/>
      <c r="FEW84" s="1"/>
      <c r="FEX84" s="1"/>
      <c r="FEY84" s="1"/>
      <c r="FEZ84" s="1"/>
      <c r="FFA84" s="1"/>
      <c r="FFB84" s="1"/>
      <c r="FFC84" s="1"/>
      <c r="FFD84" s="1"/>
      <c r="FFE84" s="1"/>
      <c r="FFF84" s="1"/>
      <c r="FFG84" s="1"/>
      <c r="FFH84" s="1"/>
      <c r="FFI84" s="1"/>
      <c r="FFJ84" s="1"/>
      <c r="FFK84" s="1"/>
      <c r="FFL84" s="1"/>
      <c r="FFM84" s="1"/>
      <c r="FFN84" s="1"/>
      <c r="FFO84" s="1"/>
      <c r="FFP84" s="1"/>
      <c r="FFQ84" s="1"/>
      <c r="FFR84" s="1"/>
      <c r="FFS84" s="1"/>
      <c r="FFT84" s="1"/>
      <c r="FFU84" s="1"/>
      <c r="FFV84" s="1"/>
      <c r="FFW84" s="1"/>
      <c r="FFX84" s="1"/>
      <c r="FFY84" s="1"/>
      <c r="FFZ84" s="1"/>
      <c r="FGA84" s="1"/>
      <c r="FGB84" s="1"/>
      <c r="FGC84" s="1"/>
      <c r="FGD84" s="1"/>
      <c r="FGE84" s="1"/>
      <c r="FGF84" s="1"/>
      <c r="FGG84" s="1"/>
      <c r="FGH84" s="1"/>
      <c r="FGI84" s="1"/>
      <c r="FGJ84" s="1"/>
      <c r="FGK84" s="1"/>
      <c r="FGL84" s="1"/>
      <c r="FGM84" s="1"/>
      <c r="FGN84" s="1"/>
      <c r="FGO84" s="1"/>
      <c r="FGP84" s="1"/>
      <c r="FGQ84" s="1"/>
      <c r="FGR84" s="1"/>
      <c r="FGS84" s="1"/>
      <c r="FGT84" s="1"/>
      <c r="FGU84" s="1"/>
      <c r="FGV84" s="1"/>
      <c r="FGW84" s="1"/>
      <c r="FGX84" s="1"/>
      <c r="FGY84" s="1"/>
      <c r="FGZ84" s="1"/>
      <c r="FHA84" s="1"/>
      <c r="FHB84" s="1"/>
      <c r="FHC84" s="1"/>
      <c r="FHD84" s="1"/>
      <c r="FHE84" s="1"/>
      <c r="FHF84" s="1"/>
      <c r="FHG84" s="1"/>
      <c r="FHH84" s="1"/>
      <c r="FHI84" s="1"/>
      <c r="FHJ84" s="1"/>
      <c r="FHK84" s="1"/>
      <c r="FHL84" s="1"/>
      <c r="FHM84" s="1"/>
      <c r="FHN84" s="1"/>
      <c r="FHO84" s="1"/>
      <c r="FHP84" s="1"/>
      <c r="FHQ84" s="1"/>
      <c r="FHR84" s="1"/>
      <c r="FHS84" s="1"/>
      <c r="FHT84" s="1"/>
      <c r="FHU84" s="1"/>
      <c r="FHV84" s="1"/>
      <c r="FHW84" s="1"/>
      <c r="FHX84" s="1"/>
      <c r="FHY84" s="1"/>
      <c r="FHZ84" s="1"/>
      <c r="FIA84" s="1"/>
      <c r="FIB84" s="1"/>
      <c r="FIC84" s="1"/>
      <c r="FID84" s="1"/>
      <c r="FIE84" s="1"/>
      <c r="FIF84" s="1"/>
      <c r="FIG84" s="1"/>
      <c r="FIH84" s="1"/>
      <c r="FII84" s="1"/>
      <c r="FIJ84" s="1"/>
      <c r="FIK84" s="1"/>
      <c r="FIL84" s="1"/>
      <c r="FIM84" s="1"/>
      <c r="FIN84" s="1"/>
      <c r="FIO84" s="1"/>
      <c r="FIP84" s="1"/>
      <c r="FIQ84" s="1"/>
      <c r="FIR84" s="1"/>
      <c r="FIS84" s="1"/>
      <c r="FIT84" s="1"/>
      <c r="FIU84" s="1"/>
      <c r="FIV84" s="1"/>
      <c r="FIW84" s="1"/>
      <c r="FIX84" s="1"/>
      <c r="FIY84" s="1"/>
      <c r="FIZ84" s="1"/>
      <c r="FJA84" s="1"/>
      <c r="FJB84" s="1"/>
      <c r="FJC84" s="1"/>
      <c r="FJD84" s="1"/>
      <c r="FJE84" s="1"/>
      <c r="FJF84" s="1"/>
      <c r="FJG84" s="1"/>
      <c r="FJH84" s="1"/>
      <c r="FJI84" s="1"/>
      <c r="FJJ84" s="1"/>
      <c r="FJK84" s="1"/>
      <c r="FJL84" s="1"/>
      <c r="FJM84" s="1"/>
      <c r="FJN84" s="1"/>
      <c r="FJO84" s="1"/>
      <c r="FJP84" s="1"/>
      <c r="FJQ84" s="1"/>
      <c r="FJR84" s="1"/>
      <c r="FJS84" s="1"/>
      <c r="FJT84" s="1"/>
      <c r="FJU84" s="1"/>
      <c r="FJV84" s="1"/>
      <c r="FJW84" s="1"/>
      <c r="FJX84" s="1"/>
      <c r="FJY84" s="1"/>
      <c r="FJZ84" s="1"/>
      <c r="FKA84" s="1"/>
      <c r="FKB84" s="1"/>
      <c r="FKC84" s="1"/>
      <c r="FKD84" s="1"/>
      <c r="FKE84" s="1"/>
      <c r="FKF84" s="1"/>
      <c r="FKG84" s="1"/>
      <c r="FKH84" s="1"/>
      <c r="FKI84" s="1"/>
      <c r="FKJ84" s="1"/>
      <c r="FKK84" s="1"/>
      <c r="FKL84" s="1"/>
      <c r="FKM84" s="1"/>
      <c r="FKN84" s="1"/>
      <c r="FKO84" s="1"/>
      <c r="FKP84" s="1"/>
      <c r="FKQ84" s="1"/>
      <c r="FKR84" s="1"/>
      <c r="FKS84" s="1"/>
      <c r="FKT84" s="1"/>
      <c r="FKU84" s="1"/>
      <c r="FKV84" s="1"/>
      <c r="FKW84" s="1"/>
      <c r="FKX84" s="1"/>
      <c r="FKY84" s="1"/>
      <c r="FKZ84" s="1"/>
      <c r="FLA84" s="1"/>
      <c r="FLB84" s="1"/>
      <c r="FLC84" s="1"/>
      <c r="FLD84" s="1"/>
      <c r="FLE84" s="1"/>
      <c r="FLF84" s="1"/>
      <c r="FLG84" s="1"/>
      <c r="FLH84" s="1"/>
      <c r="FLI84" s="1"/>
      <c r="FLJ84" s="1"/>
      <c r="FLK84" s="1"/>
      <c r="FLL84" s="1"/>
      <c r="FLM84" s="1"/>
      <c r="FLN84" s="1"/>
      <c r="FLO84" s="1"/>
      <c r="FLP84" s="1"/>
      <c r="FLQ84" s="1"/>
      <c r="FLR84" s="1"/>
      <c r="FLS84" s="1"/>
      <c r="FLT84" s="1"/>
      <c r="FLU84" s="1"/>
      <c r="FLV84" s="1"/>
      <c r="FLW84" s="1"/>
      <c r="FLX84" s="1"/>
      <c r="FLY84" s="1"/>
      <c r="FLZ84" s="1"/>
      <c r="FMA84" s="1"/>
      <c r="FMB84" s="1"/>
      <c r="FMC84" s="1"/>
      <c r="FMD84" s="1"/>
      <c r="FME84" s="1"/>
      <c r="FMF84" s="1"/>
      <c r="FMG84" s="1"/>
      <c r="FMH84" s="1"/>
      <c r="FMI84" s="1"/>
      <c r="FMJ84" s="1"/>
      <c r="FMK84" s="1"/>
      <c r="FML84" s="1"/>
      <c r="FMM84" s="1"/>
      <c r="FMN84" s="1"/>
      <c r="FMO84" s="1"/>
      <c r="FMP84" s="1"/>
      <c r="FMQ84" s="1"/>
      <c r="FMR84" s="1"/>
      <c r="FMS84" s="1"/>
      <c r="FMT84" s="1"/>
      <c r="FMU84" s="1"/>
      <c r="FMV84" s="1"/>
      <c r="FMW84" s="1"/>
      <c r="FMX84" s="1"/>
      <c r="FMY84" s="1"/>
      <c r="FMZ84" s="1"/>
      <c r="FNA84" s="1"/>
      <c r="FNB84" s="1"/>
      <c r="FNC84" s="1"/>
      <c r="FND84" s="1"/>
      <c r="FNE84" s="1"/>
      <c r="FNF84" s="1"/>
      <c r="FNG84" s="1"/>
      <c r="FNH84" s="1"/>
      <c r="FNI84" s="1"/>
      <c r="FNJ84" s="1"/>
      <c r="FNK84" s="1"/>
      <c r="FNL84" s="1"/>
      <c r="FNM84" s="1"/>
      <c r="FNN84" s="1"/>
      <c r="FNO84" s="1"/>
      <c r="FNP84" s="1"/>
      <c r="FNQ84" s="1"/>
      <c r="FNR84" s="1"/>
      <c r="FNS84" s="1"/>
      <c r="FNT84" s="1"/>
      <c r="FNU84" s="1"/>
      <c r="FNV84" s="1"/>
      <c r="FNW84" s="1"/>
      <c r="FNX84" s="1"/>
      <c r="FNY84" s="1"/>
      <c r="FNZ84" s="1"/>
      <c r="FOA84" s="1"/>
      <c r="FOB84" s="1"/>
      <c r="FOC84" s="1"/>
      <c r="FOD84" s="1"/>
      <c r="FOE84" s="1"/>
      <c r="FOF84" s="1"/>
      <c r="FOG84" s="1"/>
      <c r="FOH84" s="1"/>
      <c r="FOI84" s="1"/>
      <c r="FOJ84" s="1"/>
      <c r="FOK84" s="1"/>
      <c r="FOL84" s="1"/>
      <c r="FOM84" s="1"/>
      <c r="FON84" s="1"/>
      <c r="FOO84" s="1"/>
      <c r="FOP84" s="1"/>
      <c r="FOQ84" s="1"/>
      <c r="FOR84" s="1"/>
      <c r="FOS84" s="1"/>
      <c r="FOT84" s="1"/>
      <c r="FOU84" s="1"/>
      <c r="FOV84" s="1"/>
      <c r="FOW84" s="1"/>
      <c r="FOX84" s="1"/>
      <c r="FOY84" s="1"/>
      <c r="FOZ84" s="1"/>
      <c r="FPA84" s="1"/>
      <c r="FPB84" s="1"/>
      <c r="FPC84" s="1"/>
      <c r="FPD84" s="1"/>
      <c r="FPE84" s="1"/>
      <c r="FPF84" s="1"/>
      <c r="FPG84" s="1"/>
      <c r="FPH84" s="1"/>
      <c r="FPI84" s="1"/>
      <c r="FPJ84" s="1"/>
      <c r="FPK84" s="1"/>
      <c r="FPL84" s="1"/>
      <c r="FPM84" s="1"/>
      <c r="FPN84" s="1"/>
      <c r="FPO84" s="1"/>
      <c r="FPP84" s="1"/>
      <c r="FPQ84" s="1"/>
      <c r="FPR84" s="1"/>
      <c r="FPS84" s="1"/>
      <c r="FPT84" s="1"/>
      <c r="FPU84" s="1"/>
      <c r="FPV84" s="1"/>
      <c r="FPW84" s="1"/>
      <c r="FPX84" s="1"/>
      <c r="FPY84" s="1"/>
      <c r="FPZ84" s="1"/>
      <c r="FQA84" s="1"/>
      <c r="FQB84" s="1"/>
      <c r="FQC84" s="1"/>
      <c r="FQD84" s="1"/>
      <c r="FQE84" s="1"/>
      <c r="FQF84" s="1"/>
      <c r="FQG84" s="1"/>
      <c r="FQH84" s="1"/>
      <c r="FQI84" s="1"/>
      <c r="FQJ84" s="1"/>
      <c r="FQK84" s="1"/>
      <c r="FQL84" s="1"/>
      <c r="FQM84" s="1"/>
      <c r="FQN84" s="1"/>
      <c r="FQO84" s="1"/>
      <c r="FQP84" s="1"/>
      <c r="FQQ84" s="1"/>
      <c r="FQR84" s="1"/>
      <c r="FQS84" s="1"/>
      <c r="FQT84" s="1"/>
      <c r="FQU84" s="1"/>
      <c r="FQV84" s="1"/>
      <c r="FQW84" s="1"/>
      <c r="FQX84" s="1"/>
      <c r="FQY84" s="1"/>
      <c r="FQZ84" s="1"/>
      <c r="FRA84" s="1"/>
      <c r="FRB84" s="1"/>
      <c r="FRC84" s="1"/>
      <c r="FRD84" s="1"/>
      <c r="FRE84" s="1"/>
      <c r="FRF84" s="1"/>
      <c r="FRG84" s="1"/>
      <c r="FRH84" s="1"/>
      <c r="FRI84" s="1"/>
      <c r="FRJ84" s="1"/>
      <c r="FRK84" s="1"/>
      <c r="FRL84" s="1"/>
      <c r="FRM84" s="1"/>
      <c r="FRN84" s="1"/>
      <c r="FRO84" s="1"/>
      <c r="FRP84" s="1"/>
      <c r="FRQ84" s="1"/>
      <c r="FRR84" s="1"/>
      <c r="FRS84" s="1"/>
      <c r="FRT84" s="1"/>
      <c r="FRU84" s="1"/>
      <c r="FRV84" s="1"/>
      <c r="FRW84" s="1"/>
      <c r="FRX84" s="1"/>
      <c r="FRY84" s="1"/>
      <c r="FRZ84" s="1"/>
      <c r="FSA84" s="1"/>
      <c r="FSB84" s="1"/>
      <c r="FSC84" s="1"/>
      <c r="FSD84" s="1"/>
      <c r="FSE84" s="1"/>
      <c r="FSF84" s="1"/>
      <c r="FSG84" s="1"/>
      <c r="FSH84" s="1"/>
      <c r="FSI84" s="1"/>
      <c r="FSJ84" s="1"/>
      <c r="FSK84" s="1"/>
      <c r="FSL84" s="1"/>
      <c r="FSM84" s="1"/>
      <c r="FSN84" s="1"/>
      <c r="FSO84" s="1"/>
      <c r="FSP84" s="1"/>
      <c r="FSQ84" s="1"/>
      <c r="FSR84" s="1"/>
      <c r="FSS84" s="1"/>
      <c r="FST84" s="1"/>
      <c r="FSU84" s="1"/>
      <c r="FSV84" s="1"/>
      <c r="FSW84" s="1"/>
      <c r="FSX84" s="1"/>
      <c r="FSY84" s="1"/>
      <c r="FSZ84" s="1"/>
      <c r="FTA84" s="1"/>
      <c r="FTB84" s="1"/>
      <c r="FTC84" s="1"/>
      <c r="FTD84" s="1"/>
      <c r="FTE84" s="1"/>
      <c r="FTF84" s="1"/>
      <c r="FTG84" s="1"/>
      <c r="FTH84" s="1"/>
      <c r="FTI84" s="1"/>
      <c r="FTJ84" s="1"/>
      <c r="FTK84" s="1"/>
      <c r="FTL84" s="1"/>
      <c r="FTM84" s="1"/>
      <c r="FTN84" s="1"/>
      <c r="FTO84" s="1"/>
      <c r="FTP84" s="1"/>
      <c r="FTQ84" s="1"/>
      <c r="FTR84" s="1"/>
      <c r="FTS84" s="1"/>
      <c r="FTT84" s="1"/>
      <c r="FTU84" s="1"/>
      <c r="FTV84" s="1"/>
      <c r="FTW84" s="1"/>
      <c r="FTX84" s="1"/>
      <c r="FTY84" s="1"/>
      <c r="FTZ84" s="1"/>
      <c r="FUA84" s="1"/>
      <c r="FUB84" s="1"/>
      <c r="FUC84" s="1"/>
      <c r="FUD84" s="1"/>
      <c r="FUE84" s="1"/>
      <c r="FUF84" s="1"/>
      <c r="FUG84" s="1"/>
      <c r="FUH84" s="1"/>
      <c r="FUI84" s="1"/>
      <c r="FUJ84" s="1"/>
      <c r="FUK84" s="1"/>
      <c r="FUL84" s="1"/>
      <c r="FUM84" s="1"/>
      <c r="FUN84" s="1"/>
      <c r="FUO84" s="1"/>
      <c r="FUP84" s="1"/>
      <c r="FUQ84" s="1"/>
      <c r="FUR84" s="1"/>
      <c r="FUS84" s="1"/>
      <c r="FUT84" s="1"/>
      <c r="FUU84" s="1"/>
      <c r="FUV84" s="1"/>
      <c r="FUW84" s="1"/>
      <c r="FUX84" s="1"/>
      <c r="FUY84" s="1"/>
      <c r="FUZ84" s="1"/>
      <c r="FVA84" s="1"/>
      <c r="FVB84" s="1"/>
      <c r="FVC84" s="1"/>
      <c r="FVD84" s="1"/>
      <c r="FVE84" s="1"/>
      <c r="FVF84" s="1"/>
      <c r="FVG84" s="1"/>
      <c r="FVH84" s="1"/>
      <c r="FVI84" s="1"/>
      <c r="FVJ84" s="1"/>
      <c r="FVK84" s="1"/>
      <c r="FVL84" s="1"/>
      <c r="FVM84" s="1"/>
      <c r="FVN84" s="1"/>
      <c r="FVO84" s="1"/>
      <c r="FVP84" s="1"/>
      <c r="FVQ84" s="1"/>
      <c r="FVR84" s="1"/>
      <c r="FVS84" s="1"/>
      <c r="FVT84" s="1"/>
      <c r="FVU84" s="1"/>
      <c r="FVV84" s="1"/>
      <c r="FVW84" s="1"/>
      <c r="FVX84" s="1"/>
      <c r="FVY84" s="1"/>
      <c r="FVZ84" s="1"/>
      <c r="FWA84" s="1"/>
      <c r="FWB84" s="1"/>
      <c r="FWC84" s="1"/>
      <c r="FWD84" s="1"/>
      <c r="FWE84" s="1"/>
      <c r="FWF84" s="1"/>
      <c r="FWG84" s="1"/>
      <c r="FWH84" s="1"/>
      <c r="FWI84" s="1"/>
      <c r="FWJ84" s="1"/>
      <c r="FWK84" s="1"/>
      <c r="FWL84" s="1"/>
      <c r="FWM84" s="1"/>
      <c r="FWN84" s="1"/>
      <c r="FWO84" s="1"/>
      <c r="FWP84" s="1"/>
      <c r="FWQ84" s="1"/>
      <c r="FWR84" s="1"/>
      <c r="FWS84" s="1"/>
      <c r="FWT84" s="1"/>
      <c r="FWU84" s="1"/>
      <c r="FWV84" s="1"/>
      <c r="FWW84" s="1"/>
      <c r="FWX84" s="1"/>
      <c r="FWY84" s="1"/>
      <c r="FWZ84" s="1"/>
      <c r="FXA84" s="1"/>
      <c r="FXB84" s="1"/>
      <c r="FXC84" s="1"/>
      <c r="FXD84" s="1"/>
      <c r="FXE84" s="1"/>
      <c r="FXF84" s="1"/>
      <c r="FXG84" s="1"/>
      <c r="FXH84" s="1"/>
      <c r="FXI84" s="1"/>
      <c r="FXJ84" s="1"/>
      <c r="FXK84" s="1"/>
      <c r="FXL84" s="1"/>
      <c r="FXM84" s="1"/>
      <c r="FXN84" s="1"/>
      <c r="FXO84" s="1"/>
      <c r="FXP84" s="1"/>
      <c r="FXQ84" s="1"/>
      <c r="FXR84" s="1"/>
      <c r="FXS84" s="1"/>
      <c r="FXT84" s="1"/>
      <c r="FXU84" s="1"/>
      <c r="FXV84" s="1"/>
      <c r="FXW84" s="1"/>
      <c r="FXX84" s="1"/>
      <c r="FXY84" s="1"/>
      <c r="FXZ84" s="1"/>
      <c r="FYA84" s="1"/>
      <c r="FYB84" s="1"/>
      <c r="FYC84" s="1"/>
      <c r="FYD84" s="1"/>
      <c r="FYE84" s="1"/>
      <c r="FYF84" s="1"/>
      <c r="FYG84" s="1"/>
      <c r="FYH84" s="1"/>
      <c r="FYI84" s="1"/>
      <c r="FYJ84" s="1"/>
      <c r="FYK84" s="1"/>
      <c r="FYL84" s="1"/>
      <c r="FYM84" s="1"/>
      <c r="FYN84" s="1"/>
      <c r="FYO84" s="1"/>
      <c r="FYP84" s="1"/>
      <c r="FYQ84" s="1"/>
      <c r="FYR84" s="1"/>
      <c r="FYS84" s="1"/>
      <c r="FYT84" s="1"/>
      <c r="FYU84" s="1"/>
      <c r="FYV84" s="1"/>
      <c r="FYW84" s="1"/>
      <c r="FYX84" s="1"/>
      <c r="FYY84" s="1"/>
      <c r="FYZ84" s="1"/>
      <c r="FZA84" s="1"/>
      <c r="FZB84" s="1"/>
      <c r="FZC84" s="1"/>
      <c r="FZD84" s="1"/>
      <c r="FZE84" s="1"/>
      <c r="FZF84" s="1"/>
      <c r="FZG84" s="1"/>
      <c r="FZH84" s="1"/>
      <c r="FZI84" s="1"/>
      <c r="FZJ84" s="1"/>
      <c r="FZK84" s="1"/>
      <c r="FZL84" s="1"/>
      <c r="FZM84" s="1"/>
      <c r="FZN84" s="1"/>
      <c r="FZO84" s="1"/>
      <c r="FZP84" s="1"/>
      <c r="FZQ84" s="1"/>
      <c r="FZR84" s="1"/>
      <c r="FZS84" s="1"/>
      <c r="FZT84" s="1"/>
      <c r="FZU84" s="1"/>
      <c r="FZV84" s="1"/>
      <c r="FZW84" s="1"/>
      <c r="FZX84" s="1"/>
      <c r="FZY84" s="1"/>
      <c r="FZZ84" s="1"/>
      <c r="GAA84" s="1"/>
      <c r="GAB84" s="1"/>
      <c r="GAC84" s="1"/>
      <c r="GAD84" s="1"/>
      <c r="GAE84" s="1"/>
      <c r="GAF84" s="1"/>
      <c r="GAG84" s="1"/>
      <c r="GAH84" s="1"/>
      <c r="GAI84" s="1"/>
      <c r="GAJ84" s="1"/>
      <c r="GAK84" s="1"/>
      <c r="GAL84" s="1"/>
      <c r="GAM84" s="1"/>
      <c r="GAN84" s="1"/>
      <c r="GAO84" s="1"/>
      <c r="GAP84" s="1"/>
      <c r="GAQ84" s="1"/>
      <c r="GAR84" s="1"/>
      <c r="GAS84" s="1"/>
      <c r="GAT84" s="1"/>
      <c r="GAU84" s="1"/>
      <c r="GAV84" s="1"/>
      <c r="GAW84" s="1"/>
      <c r="GAX84" s="1"/>
      <c r="GAY84" s="1"/>
      <c r="GAZ84" s="1"/>
      <c r="GBA84" s="1"/>
      <c r="GBB84" s="1"/>
      <c r="GBC84" s="1"/>
      <c r="GBD84" s="1"/>
      <c r="GBE84" s="1"/>
      <c r="GBF84" s="1"/>
      <c r="GBG84" s="1"/>
      <c r="GBH84" s="1"/>
      <c r="GBI84" s="1"/>
      <c r="GBJ84" s="1"/>
      <c r="GBK84" s="1"/>
      <c r="GBL84" s="1"/>
      <c r="GBM84" s="1"/>
      <c r="GBN84" s="1"/>
      <c r="GBO84" s="1"/>
      <c r="GBP84" s="1"/>
      <c r="GBQ84" s="1"/>
      <c r="GBR84" s="1"/>
      <c r="GBS84" s="1"/>
      <c r="GBT84" s="1"/>
      <c r="GBU84" s="1"/>
      <c r="GBV84" s="1"/>
      <c r="GBW84" s="1"/>
      <c r="GBX84" s="1"/>
      <c r="GBY84" s="1"/>
      <c r="GBZ84" s="1"/>
      <c r="GCA84" s="1"/>
      <c r="GCB84" s="1"/>
      <c r="GCC84" s="1"/>
      <c r="GCD84" s="1"/>
      <c r="GCE84" s="1"/>
      <c r="GCF84" s="1"/>
      <c r="GCG84" s="1"/>
      <c r="GCH84" s="1"/>
      <c r="GCI84" s="1"/>
      <c r="GCJ84" s="1"/>
      <c r="GCK84" s="1"/>
      <c r="GCL84" s="1"/>
      <c r="GCM84" s="1"/>
      <c r="GCN84" s="1"/>
      <c r="GCO84" s="1"/>
      <c r="GCP84" s="1"/>
      <c r="GCQ84" s="1"/>
      <c r="GCR84" s="1"/>
      <c r="GCS84" s="1"/>
      <c r="GCT84" s="1"/>
      <c r="GCU84" s="1"/>
      <c r="GCV84" s="1"/>
      <c r="GCW84" s="1"/>
      <c r="GCX84" s="1"/>
      <c r="GCY84" s="1"/>
      <c r="GCZ84" s="1"/>
      <c r="GDA84" s="1"/>
      <c r="GDB84" s="1"/>
      <c r="GDC84" s="1"/>
      <c r="GDD84" s="1"/>
      <c r="GDE84" s="1"/>
      <c r="GDF84" s="1"/>
      <c r="GDG84" s="1"/>
      <c r="GDH84" s="1"/>
      <c r="GDI84" s="1"/>
      <c r="GDJ84" s="1"/>
      <c r="GDK84" s="1"/>
      <c r="GDL84" s="1"/>
      <c r="GDM84" s="1"/>
      <c r="GDN84" s="1"/>
      <c r="GDO84" s="1"/>
      <c r="GDP84" s="1"/>
      <c r="GDQ84" s="1"/>
      <c r="GDR84" s="1"/>
      <c r="GDS84" s="1"/>
      <c r="GDT84" s="1"/>
      <c r="GDU84" s="1"/>
      <c r="GDV84" s="1"/>
      <c r="GDW84" s="1"/>
      <c r="GDX84" s="1"/>
      <c r="GDY84" s="1"/>
      <c r="GDZ84" s="1"/>
      <c r="GEA84" s="1"/>
      <c r="GEB84" s="1"/>
      <c r="GEC84" s="1"/>
      <c r="GED84" s="1"/>
      <c r="GEE84" s="1"/>
      <c r="GEF84" s="1"/>
      <c r="GEG84" s="1"/>
      <c r="GEH84" s="1"/>
      <c r="GEI84" s="1"/>
      <c r="GEJ84" s="1"/>
      <c r="GEK84" s="1"/>
      <c r="GEL84" s="1"/>
      <c r="GEM84" s="1"/>
      <c r="GEN84" s="1"/>
      <c r="GEO84" s="1"/>
      <c r="GEP84" s="1"/>
      <c r="GEQ84" s="1"/>
      <c r="GER84" s="1"/>
      <c r="GES84" s="1"/>
      <c r="GET84" s="1"/>
      <c r="GEU84" s="1"/>
      <c r="GEV84" s="1"/>
      <c r="GEW84" s="1"/>
      <c r="GEX84" s="1"/>
      <c r="GEY84" s="1"/>
      <c r="GEZ84" s="1"/>
      <c r="GFA84" s="1"/>
      <c r="GFB84" s="1"/>
      <c r="GFC84" s="1"/>
      <c r="GFD84" s="1"/>
      <c r="GFE84" s="1"/>
      <c r="GFF84" s="1"/>
      <c r="GFG84" s="1"/>
      <c r="GFH84" s="1"/>
      <c r="GFI84" s="1"/>
      <c r="GFJ84" s="1"/>
      <c r="GFK84" s="1"/>
      <c r="GFL84" s="1"/>
      <c r="GFM84" s="1"/>
      <c r="GFN84" s="1"/>
      <c r="GFO84" s="1"/>
      <c r="GFP84" s="1"/>
      <c r="GFQ84" s="1"/>
      <c r="GFR84" s="1"/>
      <c r="GFS84" s="1"/>
      <c r="GFT84" s="1"/>
      <c r="GFU84" s="1"/>
      <c r="GFV84" s="1"/>
      <c r="GFW84" s="1"/>
      <c r="GFX84" s="1"/>
      <c r="GFY84" s="1"/>
      <c r="GFZ84" s="1"/>
      <c r="GGA84" s="1"/>
      <c r="GGB84" s="1"/>
      <c r="GGC84" s="1"/>
      <c r="GGD84" s="1"/>
      <c r="GGE84" s="1"/>
      <c r="GGF84" s="1"/>
      <c r="GGG84" s="1"/>
      <c r="GGH84" s="1"/>
      <c r="GGI84" s="1"/>
      <c r="GGJ84" s="1"/>
      <c r="GGK84" s="1"/>
      <c r="GGL84" s="1"/>
      <c r="GGM84" s="1"/>
      <c r="GGN84" s="1"/>
      <c r="GGO84" s="1"/>
      <c r="GGP84" s="1"/>
      <c r="GGQ84" s="1"/>
      <c r="GGR84" s="1"/>
      <c r="GGS84" s="1"/>
      <c r="GGT84" s="1"/>
      <c r="GGU84" s="1"/>
      <c r="GGV84" s="1"/>
      <c r="GGW84" s="1"/>
      <c r="GGX84" s="1"/>
      <c r="GGY84" s="1"/>
      <c r="GGZ84" s="1"/>
      <c r="GHA84" s="1"/>
      <c r="GHB84" s="1"/>
      <c r="GHC84" s="1"/>
      <c r="GHD84" s="1"/>
      <c r="GHE84" s="1"/>
      <c r="GHF84" s="1"/>
      <c r="GHG84" s="1"/>
      <c r="GHH84" s="1"/>
      <c r="GHI84" s="1"/>
      <c r="GHJ84" s="1"/>
      <c r="GHK84" s="1"/>
      <c r="GHL84" s="1"/>
      <c r="GHM84" s="1"/>
      <c r="GHN84" s="1"/>
      <c r="GHO84" s="1"/>
      <c r="GHP84" s="1"/>
      <c r="GHQ84" s="1"/>
      <c r="GHR84" s="1"/>
      <c r="GHS84" s="1"/>
      <c r="GHT84" s="1"/>
      <c r="GHU84" s="1"/>
      <c r="GHV84" s="1"/>
      <c r="GHW84" s="1"/>
      <c r="GHX84" s="1"/>
      <c r="GHY84" s="1"/>
      <c r="GHZ84" s="1"/>
      <c r="GIA84" s="1"/>
      <c r="GIB84" s="1"/>
      <c r="GIC84" s="1"/>
      <c r="GID84" s="1"/>
      <c r="GIE84" s="1"/>
      <c r="GIF84" s="1"/>
      <c r="GIG84" s="1"/>
      <c r="GIH84" s="1"/>
      <c r="GII84" s="1"/>
      <c r="GIJ84" s="1"/>
      <c r="GIK84" s="1"/>
      <c r="GIL84" s="1"/>
      <c r="GIM84" s="1"/>
      <c r="GIN84" s="1"/>
      <c r="GIO84" s="1"/>
      <c r="GIP84" s="1"/>
      <c r="GIQ84" s="1"/>
      <c r="GIR84" s="1"/>
      <c r="GIS84" s="1"/>
      <c r="GIT84" s="1"/>
      <c r="GIU84" s="1"/>
      <c r="GIV84" s="1"/>
      <c r="GIW84" s="1"/>
      <c r="GIX84" s="1"/>
      <c r="GIY84" s="1"/>
      <c r="GIZ84" s="1"/>
      <c r="GJA84" s="1"/>
      <c r="GJB84" s="1"/>
      <c r="GJC84" s="1"/>
      <c r="GJD84" s="1"/>
      <c r="GJE84" s="1"/>
      <c r="GJF84" s="1"/>
      <c r="GJG84" s="1"/>
      <c r="GJH84" s="1"/>
      <c r="GJI84" s="1"/>
      <c r="GJJ84" s="1"/>
      <c r="GJK84" s="1"/>
      <c r="GJL84" s="1"/>
      <c r="GJM84" s="1"/>
      <c r="GJN84" s="1"/>
      <c r="GJO84" s="1"/>
      <c r="GJP84" s="1"/>
      <c r="GJQ84" s="1"/>
      <c r="GJR84" s="1"/>
      <c r="GJS84" s="1"/>
      <c r="GJT84" s="1"/>
      <c r="GJU84" s="1"/>
      <c r="GJV84" s="1"/>
      <c r="GJW84" s="1"/>
      <c r="GJX84" s="1"/>
      <c r="GJY84" s="1"/>
      <c r="GJZ84" s="1"/>
      <c r="GKA84" s="1"/>
      <c r="GKB84" s="1"/>
      <c r="GKC84" s="1"/>
      <c r="GKD84" s="1"/>
      <c r="GKE84" s="1"/>
      <c r="GKF84" s="1"/>
      <c r="GKG84" s="1"/>
      <c r="GKH84" s="1"/>
      <c r="GKI84" s="1"/>
      <c r="GKJ84" s="1"/>
      <c r="GKK84" s="1"/>
      <c r="GKL84" s="1"/>
      <c r="GKM84" s="1"/>
      <c r="GKN84" s="1"/>
      <c r="GKO84" s="1"/>
      <c r="GKP84" s="1"/>
      <c r="GKQ84" s="1"/>
      <c r="GKR84" s="1"/>
      <c r="GKS84" s="1"/>
      <c r="GKT84" s="1"/>
      <c r="GKU84" s="1"/>
      <c r="GKV84" s="1"/>
      <c r="GKW84" s="1"/>
      <c r="GKX84" s="1"/>
      <c r="GKY84" s="1"/>
      <c r="GKZ84" s="1"/>
      <c r="GLA84" s="1"/>
      <c r="GLB84" s="1"/>
      <c r="GLC84" s="1"/>
      <c r="GLD84" s="1"/>
      <c r="GLE84" s="1"/>
      <c r="GLF84" s="1"/>
      <c r="GLG84" s="1"/>
      <c r="GLH84" s="1"/>
      <c r="GLI84" s="1"/>
      <c r="GLJ84" s="1"/>
      <c r="GLK84" s="1"/>
      <c r="GLL84" s="1"/>
      <c r="GLM84" s="1"/>
      <c r="GLN84" s="1"/>
      <c r="GLO84" s="1"/>
      <c r="GLP84" s="1"/>
      <c r="GLQ84" s="1"/>
      <c r="GLR84" s="1"/>
      <c r="GLS84" s="1"/>
      <c r="GLT84" s="1"/>
      <c r="GLU84" s="1"/>
      <c r="GLV84" s="1"/>
      <c r="GLW84" s="1"/>
      <c r="GLX84" s="1"/>
      <c r="GLY84" s="1"/>
      <c r="GLZ84" s="1"/>
      <c r="GMA84" s="1"/>
      <c r="GMB84" s="1"/>
      <c r="GMC84" s="1"/>
      <c r="GMD84" s="1"/>
      <c r="GME84" s="1"/>
      <c r="GMF84" s="1"/>
      <c r="GMG84" s="1"/>
      <c r="GMH84" s="1"/>
      <c r="GMI84" s="1"/>
      <c r="GMJ84" s="1"/>
      <c r="GMK84" s="1"/>
      <c r="GML84" s="1"/>
      <c r="GMM84" s="1"/>
      <c r="GMN84" s="1"/>
      <c r="GMO84" s="1"/>
      <c r="GMP84" s="1"/>
      <c r="GMQ84" s="1"/>
      <c r="GMR84" s="1"/>
      <c r="GMS84" s="1"/>
      <c r="GMT84" s="1"/>
      <c r="GMU84" s="1"/>
      <c r="GMV84" s="1"/>
      <c r="GMW84" s="1"/>
      <c r="GMX84" s="1"/>
      <c r="GMY84" s="1"/>
      <c r="GMZ84" s="1"/>
      <c r="GNA84" s="1"/>
      <c r="GNB84" s="1"/>
      <c r="GNC84" s="1"/>
      <c r="GND84" s="1"/>
      <c r="GNE84" s="1"/>
      <c r="GNF84" s="1"/>
      <c r="GNG84" s="1"/>
      <c r="GNH84" s="1"/>
      <c r="GNI84" s="1"/>
      <c r="GNJ84" s="1"/>
      <c r="GNK84" s="1"/>
      <c r="GNL84" s="1"/>
      <c r="GNM84" s="1"/>
      <c r="GNN84" s="1"/>
      <c r="GNO84" s="1"/>
      <c r="GNP84" s="1"/>
      <c r="GNQ84" s="1"/>
      <c r="GNR84" s="1"/>
      <c r="GNS84" s="1"/>
      <c r="GNT84" s="1"/>
      <c r="GNU84" s="1"/>
      <c r="GNV84" s="1"/>
      <c r="GNW84" s="1"/>
      <c r="GNX84" s="1"/>
      <c r="GNY84" s="1"/>
      <c r="GNZ84" s="1"/>
      <c r="GOA84" s="1"/>
      <c r="GOB84" s="1"/>
      <c r="GOC84" s="1"/>
      <c r="GOD84" s="1"/>
      <c r="GOE84" s="1"/>
      <c r="GOF84" s="1"/>
      <c r="GOG84" s="1"/>
      <c r="GOH84" s="1"/>
      <c r="GOI84" s="1"/>
      <c r="GOJ84" s="1"/>
      <c r="GOK84" s="1"/>
      <c r="GOL84" s="1"/>
      <c r="GOM84" s="1"/>
      <c r="GON84" s="1"/>
      <c r="GOO84" s="1"/>
      <c r="GOP84" s="1"/>
      <c r="GOQ84" s="1"/>
      <c r="GOR84" s="1"/>
      <c r="GOS84" s="1"/>
      <c r="GOT84" s="1"/>
      <c r="GOU84" s="1"/>
      <c r="GOV84" s="1"/>
      <c r="GOW84" s="1"/>
      <c r="GOX84" s="1"/>
      <c r="GOY84" s="1"/>
      <c r="GOZ84" s="1"/>
      <c r="GPA84" s="1"/>
      <c r="GPB84" s="1"/>
      <c r="GPC84" s="1"/>
      <c r="GPD84" s="1"/>
      <c r="GPE84" s="1"/>
      <c r="GPF84" s="1"/>
      <c r="GPG84" s="1"/>
      <c r="GPH84" s="1"/>
      <c r="GPI84" s="1"/>
      <c r="GPJ84" s="1"/>
      <c r="GPK84" s="1"/>
      <c r="GPL84" s="1"/>
      <c r="GPM84" s="1"/>
      <c r="GPN84" s="1"/>
      <c r="GPO84" s="1"/>
      <c r="GPP84" s="1"/>
      <c r="GPQ84" s="1"/>
      <c r="GPR84" s="1"/>
      <c r="GPS84" s="1"/>
      <c r="GPT84" s="1"/>
      <c r="GPU84" s="1"/>
      <c r="GPV84" s="1"/>
      <c r="GPW84" s="1"/>
      <c r="GPX84" s="1"/>
      <c r="GPY84" s="1"/>
      <c r="GPZ84" s="1"/>
      <c r="GQA84" s="1"/>
      <c r="GQB84" s="1"/>
      <c r="GQC84" s="1"/>
      <c r="GQD84" s="1"/>
      <c r="GQE84" s="1"/>
      <c r="GQF84" s="1"/>
      <c r="GQG84" s="1"/>
      <c r="GQH84" s="1"/>
      <c r="GQI84" s="1"/>
      <c r="GQJ84" s="1"/>
      <c r="GQK84" s="1"/>
      <c r="GQL84" s="1"/>
      <c r="GQM84" s="1"/>
      <c r="GQN84" s="1"/>
      <c r="GQO84" s="1"/>
      <c r="GQP84" s="1"/>
      <c r="GQQ84" s="1"/>
      <c r="GQR84" s="1"/>
      <c r="GQS84" s="1"/>
      <c r="GQT84" s="1"/>
      <c r="GQU84" s="1"/>
      <c r="GQV84" s="1"/>
      <c r="GQW84" s="1"/>
      <c r="GQX84" s="1"/>
      <c r="GQY84" s="1"/>
      <c r="GQZ84" s="1"/>
      <c r="GRA84" s="1"/>
      <c r="GRB84" s="1"/>
      <c r="GRC84" s="1"/>
      <c r="GRD84" s="1"/>
      <c r="GRE84" s="1"/>
      <c r="GRF84" s="1"/>
      <c r="GRG84" s="1"/>
      <c r="GRH84" s="1"/>
      <c r="GRI84" s="1"/>
      <c r="GRJ84" s="1"/>
      <c r="GRK84" s="1"/>
      <c r="GRL84" s="1"/>
      <c r="GRM84" s="1"/>
      <c r="GRN84" s="1"/>
      <c r="GRO84" s="1"/>
      <c r="GRP84" s="1"/>
      <c r="GRQ84" s="1"/>
      <c r="GRR84" s="1"/>
      <c r="GRS84" s="1"/>
      <c r="GRT84" s="1"/>
      <c r="GRU84" s="1"/>
      <c r="GRV84" s="1"/>
      <c r="GRW84" s="1"/>
      <c r="GRX84" s="1"/>
      <c r="GRY84" s="1"/>
      <c r="GRZ84" s="1"/>
      <c r="GSA84" s="1"/>
      <c r="GSB84" s="1"/>
      <c r="GSC84" s="1"/>
      <c r="GSD84" s="1"/>
      <c r="GSE84" s="1"/>
      <c r="GSF84" s="1"/>
      <c r="GSG84" s="1"/>
      <c r="GSH84" s="1"/>
      <c r="GSI84" s="1"/>
      <c r="GSJ84" s="1"/>
      <c r="GSK84" s="1"/>
      <c r="GSL84" s="1"/>
      <c r="GSM84" s="1"/>
      <c r="GSN84" s="1"/>
      <c r="GSO84" s="1"/>
      <c r="GSP84" s="1"/>
      <c r="GSQ84" s="1"/>
      <c r="GSR84" s="1"/>
      <c r="GSS84" s="1"/>
      <c r="GST84" s="1"/>
      <c r="GSU84" s="1"/>
      <c r="GSV84" s="1"/>
      <c r="GSW84" s="1"/>
      <c r="GSX84" s="1"/>
      <c r="GSY84" s="1"/>
      <c r="GSZ84" s="1"/>
      <c r="GTA84" s="1"/>
      <c r="GTB84" s="1"/>
      <c r="GTC84" s="1"/>
      <c r="GTD84" s="1"/>
      <c r="GTE84" s="1"/>
      <c r="GTF84" s="1"/>
      <c r="GTG84" s="1"/>
      <c r="GTH84" s="1"/>
      <c r="GTI84" s="1"/>
      <c r="GTJ84" s="1"/>
      <c r="GTK84" s="1"/>
      <c r="GTL84" s="1"/>
      <c r="GTM84" s="1"/>
      <c r="GTN84" s="1"/>
      <c r="GTO84" s="1"/>
      <c r="GTP84" s="1"/>
      <c r="GTQ84" s="1"/>
      <c r="GTR84" s="1"/>
      <c r="GTS84" s="1"/>
      <c r="GTT84" s="1"/>
      <c r="GTU84" s="1"/>
      <c r="GTV84" s="1"/>
      <c r="GTW84" s="1"/>
      <c r="GTX84" s="1"/>
      <c r="GTY84" s="1"/>
      <c r="GTZ84" s="1"/>
      <c r="GUA84" s="1"/>
      <c r="GUB84" s="1"/>
      <c r="GUC84" s="1"/>
      <c r="GUD84" s="1"/>
      <c r="GUE84" s="1"/>
      <c r="GUF84" s="1"/>
      <c r="GUG84" s="1"/>
      <c r="GUH84" s="1"/>
      <c r="GUI84" s="1"/>
      <c r="GUJ84" s="1"/>
      <c r="GUK84" s="1"/>
      <c r="GUL84" s="1"/>
      <c r="GUM84" s="1"/>
      <c r="GUN84" s="1"/>
      <c r="GUO84" s="1"/>
      <c r="GUP84" s="1"/>
      <c r="GUQ84" s="1"/>
      <c r="GUR84" s="1"/>
      <c r="GUS84" s="1"/>
      <c r="GUT84" s="1"/>
      <c r="GUU84" s="1"/>
      <c r="GUV84" s="1"/>
      <c r="GUW84" s="1"/>
      <c r="GUX84" s="1"/>
      <c r="GUY84" s="1"/>
      <c r="GUZ84" s="1"/>
      <c r="GVA84" s="1"/>
      <c r="GVB84" s="1"/>
      <c r="GVC84" s="1"/>
      <c r="GVD84" s="1"/>
      <c r="GVE84" s="1"/>
      <c r="GVF84" s="1"/>
      <c r="GVG84" s="1"/>
      <c r="GVH84" s="1"/>
      <c r="GVI84" s="1"/>
      <c r="GVJ84" s="1"/>
      <c r="GVK84" s="1"/>
      <c r="GVL84" s="1"/>
      <c r="GVM84" s="1"/>
      <c r="GVN84" s="1"/>
      <c r="GVO84" s="1"/>
      <c r="GVP84" s="1"/>
      <c r="GVQ84" s="1"/>
      <c r="GVR84" s="1"/>
      <c r="GVS84" s="1"/>
      <c r="GVT84" s="1"/>
      <c r="GVU84" s="1"/>
      <c r="GVV84" s="1"/>
      <c r="GVW84" s="1"/>
      <c r="GVX84" s="1"/>
      <c r="GVY84" s="1"/>
      <c r="GVZ84" s="1"/>
      <c r="GWA84" s="1"/>
      <c r="GWB84" s="1"/>
      <c r="GWC84" s="1"/>
      <c r="GWD84" s="1"/>
      <c r="GWE84" s="1"/>
      <c r="GWF84" s="1"/>
      <c r="GWG84" s="1"/>
      <c r="GWH84" s="1"/>
      <c r="GWI84" s="1"/>
      <c r="GWJ84" s="1"/>
      <c r="GWK84" s="1"/>
      <c r="GWL84" s="1"/>
      <c r="GWM84" s="1"/>
      <c r="GWN84" s="1"/>
      <c r="GWO84" s="1"/>
      <c r="GWP84" s="1"/>
      <c r="GWQ84" s="1"/>
      <c r="GWR84" s="1"/>
      <c r="GWS84" s="1"/>
      <c r="GWT84" s="1"/>
      <c r="GWU84" s="1"/>
      <c r="GWV84" s="1"/>
      <c r="GWW84" s="1"/>
      <c r="GWX84" s="1"/>
      <c r="GWY84" s="1"/>
      <c r="GWZ84" s="1"/>
      <c r="GXA84" s="1"/>
      <c r="GXB84" s="1"/>
      <c r="GXC84" s="1"/>
      <c r="GXD84" s="1"/>
      <c r="GXE84" s="1"/>
      <c r="GXF84" s="1"/>
      <c r="GXG84" s="1"/>
      <c r="GXH84" s="1"/>
      <c r="GXI84" s="1"/>
      <c r="GXJ84" s="1"/>
      <c r="GXK84" s="1"/>
      <c r="GXL84" s="1"/>
      <c r="GXM84" s="1"/>
      <c r="GXN84" s="1"/>
      <c r="GXO84" s="1"/>
      <c r="GXP84" s="1"/>
      <c r="GXQ84" s="1"/>
      <c r="GXR84" s="1"/>
      <c r="GXS84" s="1"/>
      <c r="GXT84" s="1"/>
      <c r="GXU84" s="1"/>
      <c r="GXV84" s="1"/>
      <c r="GXW84" s="1"/>
      <c r="GXX84" s="1"/>
      <c r="GXY84" s="1"/>
      <c r="GXZ84" s="1"/>
      <c r="GYA84" s="1"/>
      <c r="GYB84" s="1"/>
      <c r="GYC84" s="1"/>
      <c r="GYD84" s="1"/>
      <c r="GYE84" s="1"/>
      <c r="GYF84" s="1"/>
      <c r="GYG84" s="1"/>
      <c r="GYH84" s="1"/>
      <c r="GYI84" s="1"/>
      <c r="GYJ84" s="1"/>
      <c r="GYK84" s="1"/>
      <c r="GYL84" s="1"/>
      <c r="GYM84" s="1"/>
      <c r="GYN84" s="1"/>
      <c r="GYO84" s="1"/>
      <c r="GYP84" s="1"/>
      <c r="GYQ84" s="1"/>
      <c r="GYR84" s="1"/>
      <c r="GYS84" s="1"/>
      <c r="GYT84" s="1"/>
      <c r="GYU84" s="1"/>
      <c r="GYV84" s="1"/>
      <c r="GYW84" s="1"/>
      <c r="GYX84" s="1"/>
      <c r="GYY84" s="1"/>
      <c r="GYZ84" s="1"/>
      <c r="GZA84" s="1"/>
      <c r="GZB84" s="1"/>
      <c r="GZC84" s="1"/>
      <c r="GZD84" s="1"/>
      <c r="GZE84" s="1"/>
      <c r="GZF84" s="1"/>
      <c r="GZG84" s="1"/>
      <c r="GZH84" s="1"/>
      <c r="GZI84" s="1"/>
      <c r="GZJ84" s="1"/>
      <c r="GZK84" s="1"/>
      <c r="GZL84" s="1"/>
      <c r="GZM84" s="1"/>
      <c r="GZN84" s="1"/>
      <c r="GZO84" s="1"/>
      <c r="GZP84" s="1"/>
      <c r="GZQ84" s="1"/>
      <c r="GZR84" s="1"/>
      <c r="GZS84" s="1"/>
      <c r="GZT84" s="1"/>
      <c r="GZU84" s="1"/>
      <c r="GZV84" s="1"/>
      <c r="GZW84" s="1"/>
      <c r="GZX84" s="1"/>
      <c r="GZY84" s="1"/>
      <c r="GZZ84" s="1"/>
      <c r="HAA84" s="1"/>
      <c r="HAB84" s="1"/>
      <c r="HAC84" s="1"/>
      <c r="HAD84" s="1"/>
      <c r="HAE84" s="1"/>
      <c r="HAF84" s="1"/>
      <c r="HAG84" s="1"/>
      <c r="HAH84" s="1"/>
      <c r="HAI84" s="1"/>
      <c r="HAJ84" s="1"/>
      <c r="HAK84" s="1"/>
      <c r="HAL84" s="1"/>
      <c r="HAM84" s="1"/>
      <c r="HAN84" s="1"/>
      <c r="HAO84" s="1"/>
      <c r="HAP84" s="1"/>
      <c r="HAQ84" s="1"/>
      <c r="HAR84" s="1"/>
      <c r="HAS84" s="1"/>
      <c r="HAT84" s="1"/>
      <c r="HAU84" s="1"/>
      <c r="HAV84" s="1"/>
      <c r="HAW84" s="1"/>
      <c r="HAX84" s="1"/>
      <c r="HAY84" s="1"/>
      <c r="HAZ84" s="1"/>
      <c r="HBA84" s="1"/>
      <c r="HBB84" s="1"/>
      <c r="HBC84" s="1"/>
      <c r="HBD84" s="1"/>
      <c r="HBE84" s="1"/>
      <c r="HBF84" s="1"/>
      <c r="HBG84" s="1"/>
      <c r="HBH84" s="1"/>
      <c r="HBI84" s="1"/>
      <c r="HBJ84" s="1"/>
      <c r="HBK84" s="1"/>
      <c r="HBL84" s="1"/>
      <c r="HBM84" s="1"/>
      <c r="HBN84" s="1"/>
      <c r="HBO84" s="1"/>
      <c r="HBP84" s="1"/>
      <c r="HBQ84" s="1"/>
      <c r="HBR84" s="1"/>
      <c r="HBS84" s="1"/>
      <c r="HBT84" s="1"/>
      <c r="HBU84" s="1"/>
      <c r="HBV84" s="1"/>
      <c r="HBW84" s="1"/>
      <c r="HBX84" s="1"/>
      <c r="HBY84" s="1"/>
      <c r="HBZ84" s="1"/>
      <c r="HCA84" s="1"/>
      <c r="HCB84" s="1"/>
      <c r="HCC84" s="1"/>
      <c r="HCD84" s="1"/>
      <c r="HCE84" s="1"/>
      <c r="HCF84" s="1"/>
      <c r="HCG84" s="1"/>
      <c r="HCH84" s="1"/>
      <c r="HCI84" s="1"/>
      <c r="HCJ84" s="1"/>
      <c r="HCK84" s="1"/>
      <c r="HCL84" s="1"/>
      <c r="HCM84" s="1"/>
      <c r="HCN84" s="1"/>
      <c r="HCO84" s="1"/>
      <c r="HCP84" s="1"/>
      <c r="HCQ84" s="1"/>
      <c r="HCR84" s="1"/>
      <c r="HCS84" s="1"/>
      <c r="HCT84" s="1"/>
      <c r="HCU84" s="1"/>
      <c r="HCV84" s="1"/>
      <c r="HCW84" s="1"/>
      <c r="HCX84" s="1"/>
      <c r="HCY84" s="1"/>
      <c r="HCZ84" s="1"/>
      <c r="HDA84" s="1"/>
      <c r="HDB84" s="1"/>
      <c r="HDC84" s="1"/>
      <c r="HDD84" s="1"/>
      <c r="HDE84" s="1"/>
      <c r="HDF84" s="1"/>
      <c r="HDG84" s="1"/>
      <c r="HDH84" s="1"/>
      <c r="HDI84" s="1"/>
      <c r="HDJ84" s="1"/>
      <c r="HDK84" s="1"/>
      <c r="HDL84" s="1"/>
      <c r="HDM84" s="1"/>
      <c r="HDN84" s="1"/>
      <c r="HDO84" s="1"/>
      <c r="HDP84" s="1"/>
      <c r="HDQ84" s="1"/>
      <c r="HDR84" s="1"/>
      <c r="HDS84" s="1"/>
      <c r="HDT84" s="1"/>
      <c r="HDU84" s="1"/>
      <c r="HDV84" s="1"/>
      <c r="HDW84" s="1"/>
      <c r="HDX84" s="1"/>
      <c r="HDY84" s="1"/>
      <c r="HDZ84" s="1"/>
      <c r="HEA84" s="1"/>
      <c r="HEB84" s="1"/>
      <c r="HEC84" s="1"/>
      <c r="HED84" s="1"/>
      <c r="HEE84" s="1"/>
      <c r="HEF84" s="1"/>
      <c r="HEG84" s="1"/>
      <c r="HEH84" s="1"/>
      <c r="HEI84" s="1"/>
      <c r="HEJ84" s="1"/>
      <c r="HEK84" s="1"/>
      <c r="HEL84" s="1"/>
      <c r="HEM84" s="1"/>
      <c r="HEN84" s="1"/>
      <c r="HEO84" s="1"/>
      <c r="HEP84" s="1"/>
      <c r="HEQ84" s="1"/>
      <c r="HER84" s="1"/>
      <c r="HES84" s="1"/>
      <c r="HET84" s="1"/>
      <c r="HEU84" s="1"/>
      <c r="HEV84" s="1"/>
      <c r="HEW84" s="1"/>
      <c r="HEX84" s="1"/>
      <c r="HEY84" s="1"/>
      <c r="HEZ84" s="1"/>
      <c r="HFA84" s="1"/>
      <c r="HFB84" s="1"/>
      <c r="HFC84" s="1"/>
      <c r="HFD84" s="1"/>
      <c r="HFE84" s="1"/>
      <c r="HFF84" s="1"/>
      <c r="HFG84" s="1"/>
      <c r="HFH84" s="1"/>
      <c r="HFI84" s="1"/>
      <c r="HFJ84" s="1"/>
      <c r="HFK84" s="1"/>
      <c r="HFL84" s="1"/>
      <c r="HFM84" s="1"/>
      <c r="HFN84" s="1"/>
      <c r="HFO84" s="1"/>
      <c r="HFP84" s="1"/>
      <c r="HFQ84" s="1"/>
      <c r="HFR84" s="1"/>
      <c r="HFS84" s="1"/>
      <c r="HFT84" s="1"/>
      <c r="HFU84" s="1"/>
      <c r="HFV84" s="1"/>
      <c r="HFW84" s="1"/>
      <c r="HFX84" s="1"/>
      <c r="HFY84" s="1"/>
      <c r="HFZ84" s="1"/>
      <c r="HGA84" s="1"/>
      <c r="HGB84" s="1"/>
      <c r="HGC84" s="1"/>
      <c r="HGD84" s="1"/>
      <c r="HGE84" s="1"/>
      <c r="HGF84" s="1"/>
      <c r="HGG84" s="1"/>
      <c r="HGH84" s="1"/>
      <c r="HGI84" s="1"/>
      <c r="HGJ84" s="1"/>
      <c r="HGK84" s="1"/>
      <c r="HGL84" s="1"/>
      <c r="HGM84" s="1"/>
      <c r="HGN84" s="1"/>
      <c r="HGO84" s="1"/>
      <c r="HGP84" s="1"/>
      <c r="HGQ84" s="1"/>
      <c r="HGR84" s="1"/>
      <c r="HGS84" s="1"/>
      <c r="HGT84" s="1"/>
      <c r="HGU84" s="1"/>
      <c r="HGV84" s="1"/>
      <c r="HGW84" s="1"/>
      <c r="HGX84" s="1"/>
      <c r="HGY84" s="1"/>
      <c r="HGZ84" s="1"/>
      <c r="HHA84" s="1"/>
      <c r="HHB84" s="1"/>
      <c r="HHC84" s="1"/>
      <c r="HHD84" s="1"/>
      <c r="HHE84" s="1"/>
      <c r="HHF84" s="1"/>
      <c r="HHG84" s="1"/>
      <c r="HHH84" s="1"/>
      <c r="HHI84" s="1"/>
      <c r="HHJ84" s="1"/>
      <c r="HHK84" s="1"/>
      <c r="HHL84" s="1"/>
      <c r="HHM84" s="1"/>
      <c r="HHN84" s="1"/>
      <c r="HHO84" s="1"/>
      <c r="HHP84" s="1"/>
      <c r="HHQ84" s="1"/>
      <c r="HHR84" s="1"/>
      <c r="HHS84" s="1"/>
      <c r="HHT84" s="1"/>
      <c r="HHU84" s="1"/>
      <c r="HHV84" s="1"/>
      <c r="HHW84" s="1"/>
      <c r="HHX84" s="1"/>
      <c r="HHY84" s="1"/>
      <c r="HHZ84" s="1"/>
      <c r="HIA84" s="1"/>
      <c r="HIB84" s="1"/>
      <c r="HIC84" s="1"/>
      <c r="HID84" s="1"/>
      <c r="HIE84" s="1"/>
      <c r="HIF84" s="1"/>
      <c r="HIG84" s="1"/>
      <c r="HIH84" s="1"/>
      <c r="HII84" s="1"/>
      <c r="HIJ84" s="1"/>
      <c r="HIK84" s="1"/>
      <c r="HIL84" s="1"/>
      <c r="HIM84" s="1"/>
      <c r="HIN84" s="1"/>
      <c r="HIO84" s="1"/>
      <c r="HIP84" s="1"/>
      <c r="HIQ84" s="1"/>
      <c r="HIR84" s="1"/>
      <c r="HIS84" s="1"/>
      <c r="HIT84" s="1"/>
      <c r="HIU84" s="1"/>
      <c r="HIV84" s="1"/>
      <c r="HIW84" s="1"/>
      <c r="HIX84" s="1"/>
      <c r="HIY84" s="1"/>
      <c r="HIZ84" s="1"/>
      <c r="HJA84" s="1"/>
      <c r="HJB84" s="1"/>
      <c r="HJC84" s="1"/>
      <c r="HJD84" s="1"/>
      <c r="HJE84" s="1"/>
      <c r="HJF84" s="1"/>
      <c r="HJG84" s="1"/>
      <c r="HJH84" s="1"/>
      <c r="HJI84" s="1"/>
      <c r="HJJ84" s="1"/>
      <c r="HJK84" s="1"/>
      <c r="HJL84" s="1"/>
      <c r="HJM84" s="1"/>
      <c r="HJN84" s="1"/>
      <c r="HJO84" s="1"/>
      <c r="HJP84" s="1"/>
      <c r="HJQ84" s="1"/>
      <c r="HJR84" s="1"/>
      <c r="HJS84" s="1"/>
      <c r="HJT84" s="1"/>
      <c r="HJU84" s="1"/>
      <c r="HJV84" s="1"/>
      <c r="HJW84" s="1"/>
      <c r="HJX84" s="1"/>
      <c r="HJY84" s="1"/>
      <c r="HJZ84" s="1"/>
      <c r="HKA84" s="1"/>
      <c r="HKB84" s="1"/>
      <c r="HKC84" s="1"/>
      <c r="HKD84" s="1"/>
      <c r="HKE84" s="1"/>
      <c r="HKF84" s="1"/>
      <c r="HKG84" s="1"/>
      <c r="HKH84" s="1"/>
      <c r="HKI84" s="1"/>
      <c r="HKJ84" s="1"/>
      <c r="HKK84" s="1"/>
      <c r="HKL84" s="1"/>
      <c r="HKM84" s="1"/>
      <c r="HKN84" s="1"/>
      <c r="HKO84" s="1"/>
      <c r="HKP84" s="1"/>
      <c r="HKQ84" s="1"/>
      <c r="HKR84" s="1"/>
      <c r="HKS84" s="1"/>
      <c r="HKT84" s="1"/>
      <c r="HKU84" s="1"/>
      <c r="HKV84" s="1"/>
      <c r="HKW84" s="1"/>
      <c r="HKX84" s="1"/>
      <c r="HKY84" s="1"/>
      <c r="HKZ84" s="1"/>
      <c r="HLA84" s="1"/>
      <c r="HLB84" s="1"/>
      <c r="HLC84" s="1"/>
      <c r="HLD84" s="1"/>
      <c r="HLE84" s="1"/>
      <c r="HLF84" s="1"/>
      <c r="HLG84" s="1"/>
      <c r="HLH84" s="1"/>
      <c r="HLI84" s="1"/>
      <c r="HLJ84" s="1"/>
      <c r="HLK84" s="1"/>
      <c r="HLL84" s="1"/>
      <c r="HLM84" s="1"/>
      <c r="HLN84" s="1"/>
      <c r="HLO84" s="1"/>
      <c r="HLP84" s="1"/>
      <c r="HLQ84" s="1"/>
      <c r="HLR84" s="1"/>
      <c r="HLS84" s="1"/>
      <c r="HLT84" s="1"/>
      <c r="HLU84" s="1"/>
      <c r="HLV84" s="1"/>
      <c r="HLW84" s="1"/>
      <c r="HLX84" s="1"/>
      <c r="HLY84" s="1"/>
      <c r="HLZ84" s="1"/>
      <c r="HMA84" s="1"/>
      <c r="HMB84" s="1"/>
      <c r="HMC84" s="1"/>
      <c r="HMD84" s="1"/>
      <c r="HME84" s="1"/>
      <c r="HMF84" s="1"/>
      <c r="HMG84" s="1"/>
      <c r="HMH84" s="1"/>
      <c r="HMI84" s="1"/>
      <c r="HMJ84" s="1"/>
      <c r="HMK84" s="1"/>
      <c r="HML84" s="1"/>
      <c r="HMM84" s="1"/>
      <c r="HMN84" s="1"/>
      <c r="HMO84" s="1"/>
      <c r="HMP84" s="1"/>
      <c r="HMQ84" s="1"/>
      <c r="HMR84" s="1"/>
      <c r="HMS84" s="1"/>
      <c r="HMT84" s="1"/>
      <c r="HMU84" s="1"/>
      <c r="HMV84" s="1"/>
      <c r="HMW84" s="1"/>
      <c r="HMX84" s="1"/>
      <c r="HMY84" s="1"/>
      <c r="HMZ84" s="1"/>
      <c r="HNA84" s="1"/>
      <c r="HNB84" s="1"/>
      <c r="HNC84" s="1"/>
      <c r="HND84" s="1"/>
      <c r="HNE84" s="1"/>
      <c r="HNF84" s="1"/>
      <c r="HNG84" s="1"/>
      <c r="HNH84" s="1"/>
      <c r="HNI84" s="1"/>
      <c r="HNJ84" s="1"/>
      <c r="HNK84" s="1"/>
      <c r="HNL84" s="1"/>
      <c r="HNM84" s="1"/>
      <c r="HNN84" s="1"/>
      <c r="HNO84" s="1"/>
      <c r="HNP84" s="1"/>
      <c r="HNQ84" s="1"/>
      <c r="HNR84" s="1"/>
      <c r="HNS84" s="1"/>
      <c r="HNT84" s="1"/>
      <c r="HNU84" s="1"/>
      <c r="HNV84" s="1"/>
      <c r="HNW84" s="1"/>
      <c r="HNX84" s="1"/>
      <c r="HNY84" s="1"/>
      <c r="HNZ84" s="1"/>
      <c r="HOA84" s="1"/>
      <c r="HOB84" s="1"/>
      <c r="HOC84" s="1"/>
      <c r="HOD84" s="1"/>
      <c r="HOE84" s="1"/>
      <c r="HOF84" s="1"/>
      <c r="HOG84" s="1"/>
      <c r="HOH84" s="1"/>
      <c r="HOI84" s="1"/>
      <c r="HOJ84" s="1"/>
      <c r="HOK84" s="1"/>
      <c r="HOL84" s="1"/>
      <c r="HOM84" s="1"/>
      <c r="HON84" s="1"/>
      <c r="HOO84" s="1"/>
      <c r="HOP84" s="1"/>
      <c r="HOQ84" s="1"/>
      <c r="HOR84" s="1"/>
      <c r="HOS84" s="1"/>
      <c r="HOT84" s="1"/>
      <c r="HOU84" s="1"/>
      <c r="HOV84" s="1"/>
      <c r="HOW84" s="1"/>
      <c r="HOX84" s="1"/>
      <c r="HOY84" s="1"/>
      <c r="HOZ84" s="1"/>
      <c r="HPA84" s="1"/>
      <c r="HPB84" s="1"/>
      <c r="HPC84" s="1"/>
      <c r="HPD84" s="1"/>
      <c r="HPE84" s="1"/>
      <c r="HPF84" s="1"/>
      <c r="HPG84" s="1"/>
      <c r="HPH84" s="1"/>
      <c r="HPI84" s="1"/>
      <c r="HPJ84" s="1"/>
      <c r="HPK84" s="1"/>
      <c r="HPL84" s="1"/>
      <c r="HPM84" s="1"/>
      <c r="HPN84" s="1"/>
      <c r="HPO84" s="1"/>
      <c r="HPP84" s="1"/>
      <c r="HPQ84" s="1"/>
      <c r="HPR84" s="1"/>
      <c r="HPS84" s="1"/>
      <c r="HPT84" s="1"/>
      <c r="HPU84" s="1"/>
      <c r="HPV84" s="1"/>
      <c r="HPW84" s="1"/>
      <c r="HPX84" s="1"/>
      <c r="HPY84" s="1"/>
      <c r="HPZ84" s="1"/>
      <c r="HQA84" s="1"/>
      <c r="HQB84" s="1"/>
      <c r="HQC84" s="1"/>
      <c r="HQD84" s="1"/>
      <c r="HQE84" s="1"/>
      <c r="HQF84" s="1"/>
      <c r="HQG84" s="1"/>
      <c r="HQH84" s="1"/>
      <c r="HQI84" s="1"/>
      <c r="HQJ84" s="1"/>
      <c r="HQK84" s="1"/>
      <c r="HQL84" s="1"/>
      <c r="HQM84" s="1"/>
      <c r="HQN84" s="1"/>
      <c r="HQO84" s="1"/>
      <c r="HQP84" s="1"/>
      <c r="HQQ84" s="1"/>
      <c r="HQR84" s="1"/>
      <c r="HQS84" s="1"/>
      <c r="HQT84" s="1"/>
      <c r="HQU84" s="1"/>
      <c r="HQV84" s="1"/>
      <c r="HQW84" s="1"/>
      <c r="HQX84" s="1"/>
      <c r="HQY84" s="1"/>
      <c r="HQZ84" s="1"/>
      <c r="HRA84" s="1"/>
      <c r="HRB84" s="1"/>
      <c r="HRC84" s="1"/>
      <c r="HRD84" s="1"/>
      <c r="HRE84" s="1"/>
      <c r="HRF84" s="1"/>
      <c r="HRG84" s="1"/>
      <c r="HRH84" s="1"/>
      <c r="HRI84" s="1"/>
      <c r="HRJ84" s="1"/>
      <c r="HRK84" s="1"/>
      <c r="HRL84" s="1"/>
      <c r="HRM84" s="1"/>
      <c r="HRN84" s="1"/>
      <c r="HRO84" s="1"/>
      <c r="HRP84" s="1"/>
      <c r="HRQ84" s="1"/>
      <c r="HRR84" s="1"/>
      <c r="HRS84" s="1"/>
      <c r="HRT84" s="1"/>
      <c r="HRU84" s="1"/>
      <c r="HRV84" s="1"/>
      <c r="HRW84" s="1"/>
      <c r="HRX84" s="1"/>
      <c r="HRY84" s="1"/>
      <c r="HRZ84" s="1"/>
      <c r="HSA84" s="1"/>
      <c r="HSB84" s="1"/>
      <c r="HSC84" s="1"/>
      <c r="HSD84" s="1"/>
      <c r="HSE84" s="1"/>
      <c r="HSF84" s="1"/>
      <c r="HSG84" s="1"/>
      <c r="HSH84" s="1"/>
      <c r="HSI84" s="1"/>
      <c r="HSJ84" s="1"/>
      <c r="HSK84" s="1"/>
      <c r="HSL84" s="1"/>
      <c r="HSM84" s="1"/>
      <c r="HSN84" s="1"/>
      <c r="HSO84" s="1"/>
      <c r="HSP84" s="1"/>
      <c r="HSQ84" s="1"/>
      <c r="HSR84" s="1"/>
      <c r="HSS84" s="1"/>
      <c r="HST84" s="1"/>
      <c r="HSU84" s="1"/>
      <c r="HSV84" s="1"/>
      <c r="HSW84" s="1"/>
      <c r="HSX84" s="1"/>
      <c r="HSY84" s="1"/>
      <c r="HSZ84" s="1"/>
      <c r="HTA84" s="1"/>
      <c r="HTB84" s="1"/>
      <c r="HTC84" s="1"/>
      <c r="HTD84" s="1"/>
      <c r="HTE84" s="1"/>
      <c r="HTF84" s="1"/>
      <c r="HTG84" s="1"/>
      <c r="HTH84" s="1"/>
      <c r="HTI84" s="1"/>
      <c r="HTJ84" s="1"/>
      <c r="HTK84" s="1"/>
      <c r="HTL84" s="1"/>
      <c r="HTM84" s="1"/>
      <c r="HTN84" s="1"/>
      <c r="HTO84" s="1"/>
      <c r="HTP84" s="1"/>
      <c r="HTQ84" s="1"/>
      <c r="HTR84" s="1"/>
      <c r="HTS84" s="1"/>
      <c r="HTT84" s="1"/>
      <c r="HTU84" s="1"/>
      <c r="HTV84" s="1"/>
      <c r="HTW84" s="1"/>
      <c r="HTX84" s="1"/>
      <c r="HTY84" s="1"/>
      <c r="HTZ84" s="1"/>
      <c r="HUA84" s="1"/>
      <c r="HUB84" s="1"/>
      <c r="HUC84" s="1"/>
      <c r="HUD84" s="1"/>
      <c r="HUE84" s="1"/>
      <c r="HUF84" s="1"/>
      <c r="HUG84" s="1"/>
      <c r="HUH84" s="1"/>
      <c r="HUI84" s="1"/>
      <c r="HUJ84" s="1"/>
      <c r="HUK84" s="1"/>
      <c r="HUL84" s="1"/>
      <c r="HUM84" s="1"/>
      <c r="HUN84" s="1"/>
      <c r="HUO84" s="1"/>
      <c r="HUP84" s="1"/>
      <c r="HUQ84" s="1"/>
      <c r="HUR84" s="1"/>
      <c r="HUS84" s="1"/>
      <c r="HUT84" s="1"/>
      <c r="HUU84" s="1"/>
      <c r="HUV84" s="1"/>
      <c r="HUW84" s="1"/>
      <c r="HUX84" s="1"/>
      <c r="HUY84" s="1"/>
      <c r="HUZ84" s="1"/>
      <c r="HVA84" s="1"/>
      <c r="HVB84" s="1"/>
      <c r="HVC84" s="1"/>
      <c r="HVD84" s="1"/>
      <c r="HVE84" s="1"/>
      <c r="HVF84" s="1"/>
      <c r="HVG84" s="1"/>
      <c r="HVH84" s="1"/>
      <c r="HVI84" s="1"/>
      <c r="HVJ84" s="1"/>
      <c r="HVK84" s="1"/>
      <c r="HVL84" s="1"/>
      <c r="HVM84" s="1"/>
      <c r="HVN84" s="1"/>
      <c r="HVO84" s="1"/>
      <c r="HVP84" s="1"/>
      <c r="HVQ84" s="1"/>
      <c r="HVR84" s="1"/>
      <c r="HVS84" s="1"/>
      <c r="HVT84" s="1"/>
      <c r="HVU84" s="1"/>
      <c r="HVV84" s="1"/>
      <c r="HVW84" s="1"/>
      <c r="HVX84" s="1"/>
      <c r="HVY84" s="1"/>
      <c r="HVZ84" s="1"/>
      <c r="HWA84" s="1"/>
      <c r="HWB84" s="1"/>
      <c r="HWC84" s="1"/>
      <c r="HWD84" s="1"/>
      <c r="HWE84" s="1"/>
      <c r="HWF84" s="1"/>
      <c r="HWG84" s="1"/>
      <c r="HWH84" s="1"/>
      <c r="HWI84" s="1"/>
      <c r="HWJ84" s="1"/>
      <c r="HWK84" s="1"/>
      <c r="HWL84" s="1"/>
      <c r="HWM84" s="1"/>
      <c r="HWN84" s="1"/>
      <c r="HWO84" s="1"/>
      <c r="HWP84" s="1"/>
      <c r="HWQ84" s="1"/>
      <c r="HWR84" s="1"/>
      <c r="HWS84" s="1"/>
      <c r="HWT84" s="1"/>
      <c r="HWU84" s="1"/>
      <c r="HWV84" s="1"/>
      <c r="HWW84" s="1"/>
      <c r="HWX84" s="1"/>
      <c r="HWY84" s="1"/>
      <c r="HWZ84" s="1"/>
      <c r="HXA84" s="1"/>
      <c r="HXB84" s="1"/>
      <c r="HXC84" s="1"/>
      <c r="HXD84" s="1"/>
      <c r="HXE84" s="1"/>
      <c r="HXF84" s="1"/>
      <c r="HXG84" s="1"/>
      <c r="HXH84" s="1"/>
      <c r="HXI84" s="1"/>
      <c r="HXJ84" s="1"/>
      <c r="HXK84" s="1"/>
      <c r="HXL84" s="1"/>
      <c r="HXM84" s="1"/>
      <c r="HXN84" s="1"/>
      <c r="HXO84" s="1"/>
      <c r="HXP84" s="1"/>
      <c r="HXQ84" s="1"/>
      <c r="HXR84" s="1"/>
      <c r="HXS84" s="1"/>
      <c r="HXT84" s="1"/>
      <c r="HXU84" s="1"/>
      <c r="HXV84" s="1"/>
      <c r="HXW84" s="1"/>
      <c r="HXX84" s="1"/>
      <c r="HXY84" s="1"/>
      <c r="HXZ84" s="1"/>
      <c r="HYA84" s="1"/>
      <c r="HYB84" s="1"/>
      <c r="HYC84" s="1"/>
      <c r="HYD84" s="1"/>
      <c r="HYE84" s="1"/>
      <c r="HYF84" s="1"/>
      <c r="HYG84" s="1"/>
      <c r="HYH84" s="1"/>
      <c r="HYI84" s="1"/>
      <c r="HYJ84" s="1"/>
      <c r="HYK84" s="1"/>
      <c r="HYL84" s="1"/>
      <c r="HYM84" s="1"/>
      <c r="HYN84" s="1"/>
      <c r="HYO84" s="1"/>
      <c r="HYP84" s="1"/>
      <c r="HYQ84" s="1"/>
      <c r="HYR84" s="1"/>
      <c r="HYS84" s="1"/>
      <c r="HYT84" s="1"/>
      <c r="HYU84" s="1"/>
      <c r="HYV84" s="1"/>
      <c r="HYW84" s="1"/>
      <c r="HYX84" s="1"/>
      <c r="HYY84" s="1"/>
      <c r="HYZ84" s="1"/>
      <c r="HZA84" s="1"/>
      <c r="HZB84" s="1"/>
      <c r="HZC84" s="1"/>
      <c r="HZD84" s="1"/>
      <c r="HZE84" s="1"/>
      <c r="HZF84" s="1"/>
      <c r="HZG84" s="1"/>
      <c r="HZH84" s="1"/>
      <c r="HZI84" s="1"/>
      <c r="HZJ84" s="1"/>
      <c r="HZK84" s="1"/>
      <c r="HZL84" s="1"/>
      <c r="HZM84" s="1"/>
      <c r="HZN84" s="1"/>
      <c r="HZO84" s="1"/>
      <c r="HZP84" s="1"/>
      <c r="HZQ84" s="1"/>
      <c r="HZR84" s="1"/>
      <c r="HZS84" s="1"/>
      <c r="HZT84" s="1"/>
      <c r="HZU84" s="1"/>
      <c r="HZV84" s="1"/>
      <c r="HZW84" s="1"/>
      <c r="HZX84" s="1"/>
      <c r="HZY84" s="1"/>
      <c r="HZZ84" s="1"/>
      <c r="IAA84" s="1"/>
      <c r="IAB84" s="1"/>
      <c r="IAC84" s="1"/>
      <c r="IAD84" s="1"/>
      <c r="IAE84" s="1"/>
      <c r="IAF84" s="1"/>
      <c r="IAG84" s="1"/>
      <c r="IAH84" s="1"/>
      <c r="IAI84" s="1"/>
      <c r="IAJ84" s="1"/>
      <c r="IAK84" s="1"/>
      <c r="IAL84" s="1"/>
      <c r="IAM84" s="1"/>
      <c r="IAN84" s="1"/>
      <c r="IAO84" s="1"/>
      <c r="IAP84" s="1"/>
      <c r="IAQ84" s="1"/>
      <c r="IAR84" s="1"/>
      <c r="IAS84" s="1"/>
      <c r="IAT84" s="1"/>
      <c r="IAU84" s="1"/>
      <c r="IAV84" s="1"/>
      <c r="IAW84" s="1"/>
      <c r="IAX84" s="1"/>
      <c r="IAY84" s="1"/>
      <c r="IAZ84" s="1"/>
      <c r="IBA84" s="1"/>
      <c r="IBB84" s="1"/>
      <c r="IBC84" s="1"/>
      <c r="IBD84" s="1"/>
      <c r="IBE84" s="1"/>
      <c r="IBF84" s="1"/>
      <c r="IBG84" s="1"/>
      <c r="IBH84" s="1"/>
      <c r="IBI84" s="1"/>
      <c r="IBJ84" s="1"/>
      <c r="IBK84" s="1"/>
      <c r="IBL84" s="1"/>
      <c r="IBM84" s="1"/>
      <c r="IBN84" s="1"/>
      <c r="IBO84" s="1"/>
      <c r="IBP84" s="1"/>
      <c r="IBQ84" s="1"/>
      <c r="IBR84" s="1"/>
      <c r="IBS84" s="1"/>
      <c r="IBT84" s="1"/>
      <c r="IBU84" s="1"/>
      <c r="IBV84" s="1"/>
      <c r="IBW84" s="1"/>
      <c r="IBX84" s="1"/>
      <c r="IBY84" s="1"/>
      <c r="IBZ84" s="1"/>
      <c r="ICA84" s="1"/>
      <c r="ICB84" s="1"/>
      <c r="ICC84" s="1"/>
      <c r="ICD84" s="1"/>
      <c r="ICE84" s="1"/>
      <c r="ICF84" s="1"/>
      <c r="ICG84" s="1"/>
      <c r="ICH84" s="1"/>
      <c r="ICI84" s="1"/>
      <c r="ICJ84" s="1"/>
      <c r="ICK84" s="1"/>
      <c r="ICL84" s="1"/>
      <c r="ICM84" s="1"/>
      <c r="ICN84" s="1"/>
      <c r="ICO84" s="1"/>
      <c r="ICP84" s="1"/>
      <c r="ICQ84" s="1"/>
      <c r="ICR84" s="1"/>
      <c r="ICS84" s="1"/>
      <c r="ICT84" s="1"/>
      <c r="ICU84" s="1"/>
      <c r="ICV84" s="1"/>
      <c r="ICW84" s="1"/>
      <c r="ICX84" s="1"/>
      <c r="ICY84" s="1"/>
      <c r="ICZ84" s="1"/>
      <c r="IDA84" s="1"/>
      <c r="IDB84" s="1"/>
      <c r="IDC84" s="1"/>
      <c r="IDD84" s="1"/>
      <c r="IDE84" s="1"/>
      <c r="IDF84" s="1"/>
      <c r="IDG84" s="1"/>
      <c r="IDH84" s="1"/>
      <c r="IDI84" s="1"/>
      <c r="IDJ84" s="1"/>
      <c r="IDK84" s="1"/>
      <c r="IDL84" s="1"/>
      <c r="IDM84" s="1"/>
      <c r="IDN84" s="1"/>
      <c r="IDO84" s="1"/>
      <c r="IDP84" s="1"/>
      <c r="IDQ84" s="1"/>
      <c r="IDR84" s="1"/>
      <c r="IDS84" s="1"/>
      <c r="IDT84" s="1"/>
      <c r="IDU84" s="1"/>
      <c r="IDV84" s="1"/>
      <c r="IDW84" s="1"/>
      <c r="IDX84" s="1"/>
      <c r="IDY84" s="1"/>
      <c r="IDZ84" s="1"/>
      <c r="IEA84" s="1"/>
      <c r="IEB84" s="1"/>
      <c r="IEC84" s="1"/>
      <c r="IED84" s="1"/>
      <c r="IEE84" s="1"/>
      <c r="IEF84" s="1"/>
      <c r="IEG84" s="1"/>
      <c r="IEH84" s="1"/>
      <c r="IEI84" s="1"/>
      <c r="IEJ84" s="1"/>
      <c r="IEK84" s="1"/>
      <c r="IEL84" s="1"/>
      <c r="IEM84" s="1"/>
      <c r="IEN84" s="1"/>
      <c r="IEO84" s="1"/>
      <c r="IEP84" s="1"/>
      <c r="IEQ84" s="1"/>
      <c r="IER84" s="1"/>
      <c r="IES84" s="1"/>
      <c r="IET84" s="1"/>
      <c r="IEU84" s="1"/>
      <c r="IEV84" s="1"/>
      <c r="IEW84" s="1"/>
      <c r="IEX84" s="1"/>
      <c r="IEY84" s="1"/>
      <c r="IEZ84" s="1"/>
      <c r="IFA84" s="1"/>
      <c r="IFB84" s="1"/>
      <c r="IFC84" s="1"/>
      <c r="IFD84" s="1"/>
      <c r="IFE84" s="1"/>
      <c r="IFF84" s="1"/>
      <c r="IFG84" s="1"/>
      <c r="IFH84" s="1"/>
      <c r="IFI84" s="1"/>
      <c r="IFJ84" s="1"/>
      <c r="IFK84" s="1"/>
      <c r="IFL84" s="1"/>
      <c r="IFM84" s="1"/>
      <c r="IFN84" s="1"/>
      <c r="IFO84" s="1"/>
      <c r="IFP84" s="1"/>
      <c r="IFQ84" s="1"/>
      <c r="IFR84" s="1"/>
      <c r="IFS84" s="1"/>
      <c r="IFT84" s="1"/>
      <c r="IFU84" s="1"/>
      <c r="IFV84" s="1"/>
      <c r="IFW84" s="1"/>
      <c r="IFX84" s="1"/>
      <c r="IFY84" s="1"/>
      <c r="IFZ84" s="1"/>
      <c r="IGA84" s="1"/>
      <c r="IGB84" s="1"/>
      <c r="IGC84" s="1"/>
      <c r="IGD84" s="1"/>
      <c r="IGE84" s="1"/>
      <c r="IGF84" s="1"/>
      <c r="IGG84" s="1"/>
      <c r="IGH84" s="1"/>
      <c r="IGI84" s="1"/>
      <c r="IGJ84" s="1"/>
      <c r="IGK84" s="1"/>
      <c r="IGL84" s="1"/>
      <c r="IGM84" s="1"/>
      <c r="IGN84" s="1"/>
      <c r="IGO84" s="1"/>
      <c r="IGP84" s="1"/>
      <c r="IGQ84" s="1"/>
      <c r="IGR84" s="1"/>
      <c r="IGS84" s="1"/>
      <c r="IGT84" s="1"/>
      <c r="IGU84" s="1"/>
      <c r="IGV84" s="1"/>
      <c r="IGW84" s="1"/>
      <c r="IGX84" s="1"/>
      <c r="IGY84" s="1"/>
      <c r="IGZ84" s="1"/>
      <c r="IHA84" s="1"/>
      <c r="IHB84" s="1"/>
      <c r="IHC84" s="1"/>
      <c r="IHD84" s="1"/>
      <c r="IHE84" s="1"/>
      <c r="IHF84" s="1"/>
      <c r="IHG84" s="1"/>
      <c r="IHH84" s="1"/>
      <c r="IHI84" s="1"/>
      <c r="IHJ84" s="1"/>
      <c r="IHK84" s="1"/>
      <c r="IHL84" s="1"/>
      <c r="IHM84" s="1"/>
      <c r="IHN84" s="1"/>
      <c r="IHO84" s="1"/>
      <c r="IHP84" s="1"/>
      <c r="IHQ84" s="1"/>
      <c r="IHR84" s="1"/>
      <c r="IHS84" s="1"/>
      <c r="IHT84" s="1"/>
      <c r="IHU84" s="1"/>
      <c r="IHV84" s="1"/>
      <c r="IHW84" s="1"/>
      <c r="IHX84" s="1"/>
      <c r="IHY84" s="1"/>
      <c r="IHZ84" s="1"/>
      <c r="IIA84" s="1"/>
      <c r="IIB84" s="1"/>
      <c r="IIC84" s="1"/>
      <c r="IID84" s="1"/>
      <c r="IIE84" s="1"/>
      <c r="IIF84" s="1"/>
      <c r="IIG84" s="1"/>
      <c r="IIH84" s="1"/>
      <c r="III84" s="1"/>
      <c r="IIJ84" s="1"/>
      <c r="IIK84" s="1"/>
      <c r="IIL84" s="1"/>
      <c r="IIM84" s="1"/>
      <c r="IIN84" s="1"/>
      <c r="IIO84" s="1"/>
      <c r="IIP84" s="1"/>
      <c r="IIQ84" s="1"/>
      <c r="IIR84" s="1"/>
      <c r="IIS84" s="1"/>
      <c r="IIT84" s="1"/>
      <c r="IIU84" s="1"/>
      <c r="IIV84" s="1"/>
      <c r="IIW84" s="1"/>
      <c r="IIX84" s="1"/>
      <c r="IIY84" s="1"/>
      <c r="IIZ84" s="1"/>
      <c r="IJA84" s="1"/>
      <c r="IJB84" s="1"/>
      <c r="IJC84" s="1"/>
      <c r="IJD84" s="1"/>
      <c r="IJE84" s="1"/>
      <c r="IJF84" s="1"/>
      <c r="IJG84" s="1"/>
      <c r="IJH84" s="1"/>
      <c r="IJI84" s="1"/>
      <c r="IJJ84" s="1"/>
      <c r="IJK84" s="1"/>
      <c r="IJL84" s="1"/>
      <c r="IJM84" s="1"/>
      <c r="IJN84" s="1"/>
      <c r="IJO84" s="1"/>
      <c r="IJP84" s="1"/>
      <c r="IJQ84" s="1"/>
      <c r="IJR84" s="1"/>
      <c r="IJS84" s="1"/>
      <c r="IJT84" s="1"/>
      <c r="IJU84" s="1"/>
      <c r="IJV84" s="1"/>
      <c r="IJW84" s="1"/>
      <c r="IJX84" s="1"/>
      <c r="IJY84" s="1"/>
      <c r="IJZ84" s="1"/>
      <c r="IKA84" s="1"/>
      <c r="IKB84" s="1"/>
      <c r="IKC84" s="1"/>
      <c r="IKD84" s="1"/>
      <c r="IKE84" s="1"/>
      <c r="IKF84" s="1"/>
      <c r="IKG84" s="1"/>
      <c r="IKH84" s="1"/>
      <c r="IKI84" s="1"/>
      <c r="IKJ84" s="1"/>
      <c r="IKK84" s="1"/>
      <c r="IKL84" s="1"/>
      <c r="IKM84" s="1"/>
      <c r="IKN84" s="1"/>
      <c r="IKO84" s="1"/>
      <c r="IKP84" s="1"/>
      <c r="IKQ84" s="1"/>
      <c r="IKR84" s="1"/>
      <c r="IKS84" s="1"/>
      <c r="IKT84" s="1"/>
      <c r="IKU84" s="1"/>
      <c r="IKV84" s="1"/>
      <c r="IKW84" s="1"/>
      <c r="IKX84" s="1"/>
      <c r="IKY84" s="1"/>
      <c r="IKZ84" s="1"/>
      <c r="ILA84" s="1"/>
      <c r="ILB84" s="1"/>
      <c r="ILC84" s="1"/>
      <c r="ILD84" s="1"/>
      <c r="ILE84" s="1"/>
      <c r="ILF84" s="1"/>
      <c r="ILG84" s="1"/>
      <c r="ILH84" s="1"/>
      <c r="ILI84" s="1"/>
      <c r="ILJ84" s="1"/>
      <c r="ILK84" s="1"/>
      <c r="ILL84" s="1"/>
      <c r="ILM84" s="1"/>
      <c r="ILN84" s="1"/>
      <c r="ILO84" s="1"/>
      <c r="ILP84" s="1"/>
      <c r="ILQ84" s="1"/>
      <c r="ILR84" s="1"/>
      <c r="ILS84" s="1"/>
      <c r="ILT84" s="1"/>
      <c r="ILU84" s="1"/>
      <c r="ILV84" s="1"/>
      <c r="ILW84" s="1"/>
      <c r="ILX84" s="1"/>
      <c r="ILY84" s="1"/>
      <c r="ILZ84" s="1"/>
      <c r="IMA84" s="1"/>
      <c r="IMB84" s="1"/>
      <c r="IMC84" s="1"/>
      <c r="IMD84" s="1"/>
      <c r="IME84" s="1"/>
      <c r="IMF84" s="1"/>
      <c r="IMG84" s="1"/>
      <c r="IMH84" s="1"/>
      <c r="IMI84" s="1"/>
      <c r="IMJ84" s="1"/>
      <c r="IMK84" s="1"/>
      <c r="IML84" s="1"/>
      <c r="IMM84" s="1"/>
      <c r="IMN84" s="1"/>
      <c r="IMO84" s="1"/>
      <c r="IMP84" s="1"/>
      <c r="IMQ84" s="1"/>
      <c r="IMR84" s="1"/>
      <c r="IMS84" s="1"/>
      <c r="IMT84" s="1"/>
      <c r="IMU84" s="1"/>
      <c r="IMV84" s="1"/>
      <c r="IMW84" s="1"/>
      <c r="IMX84" s="1"/>
      <c r="IMY84" s="1"/>
      <c r="IMZ84" s="1"/>
      <c r="INA84" s="1"/>
      <c r="INB84" s="1"/>
      <c r="INC84" s="1"/>
      <c r="IND84" s="1"/>
      <c r="INE84" s="1"/>
      <c r="INF84" s="1"/>
      <c r="ING84" s="1"/>
      <c r="INH84" s="1"/>
      <c r="INI84" s="1"/>
      <c r="INJ84" s="1"/>
      <c r="INK84" s="1"/>
      <c r="INL84" s="1"/>
      <c r="INM84" s="1"/>
      <c r="INN84" s="1"/>
      <c r="INO84" s="1"/>
      <c r="INP84" s="1"/>
      <c r="INQ84" s="1"/>
      <c r="INR84" s="1"/>
      <c r="INS84" s="1"/>
      <c r="INT84" s="1"/>
      <c r="INU84" s="1"/>
      <c r="INV84" s="1"/>
      <c r="INW84" s="1"/>
      <c r="INX84" s="1"/>
      <c r="INY84" s="1"/>
      <c r="INZ84" s="1"/>
      <c r="IOA84" s="1"/>
      <c r="IOB84" s="1"/>
      <c r="IOC84" s="1"/>
      <c r="IOD84" s="1"/>
      <c r="IOE84" s="1"/>
      <c r="IOF84" s="1"/>
      <c r="IOG84" s="1"/>
      <c r="IOH84" s="1"/>
      <c r="IOI84" s="1"/>
      <c r="IOJ84" s="1"/>
      <c r="IOK84" s="1"/>
      <c r="IOL84" s="1"/>
      <c r="IOM84" s="1"/>
      <c r="ION84" s="1"/>
      <c r="IOO84" s="1"/>
      <c r="IOP84" s="1"/>
      <c r="IOQ84" s="1"/>
      <c r="IOR84" s="1"/>
      <c r="IOS84" s="1"/>
      <c r="IOT84" s="1"/>
      <c r="IOU84" s="1"/>
      <c r="IOV84" s="1"/>
      <c r="IOW84" s="1"/>
      <c r="IOX84" s="1"/>
      <c r="IOY84" s="1"/>
      <c r="IOZ84" s="1"/>
      <c r="IPA84" s="1"/>
      <c r="IPB84" s="1"/>
      <c r="IPC84" s="1"/>
      <c r="IPD84" s="1"/>
      <c r="IPE84" s="1"/>
      <c r="IPF84" s="1"/>
      <c r="IPG84" s="1"/>
      <c r="IPH84" s="1"/>
      <c r="IPI84" s="1"/>
      <c r="IPJ84" s="1"/>
      <c r="IPK84" s="1"/>
      <c r="IPL84" s="1"/>
      <c r="IPM84" s="1"/>
      <c r="IPN84" s="1"/>
      <c r="IPO84" s="1"/>
      <c r="IPP84" s="1"/>
      <c r="IPQ84" s="1"/>
      <c r="IPR84" s="1"/>
      <c r="IPS84" s="1"/>
      <c r="IPT84" s="1"/>
      <c r="IPU84" s="1"/>
      <c r="IPV84" s="1"/>
      <c r="IPW84" s="1"/>
      <c r="IPX84" s="1"/>
      <c r="IPY84" s="1"/>
      <c r="IPZ84" s="1"/>
      <c r="IQA84" s="1"/>
      <c r="IQB84" s="1"/>
      <c r="IQC84" s="1"/>
      <c r="IQD84" s="1"/>
      <c r="IQE84" s="1"/>
      <c r="IQF84" s="1"/>
      <c r="IQG84" s="1"/>
      <c r="IQH84" s="1"/>
      <c r="IQI84" s="1"/>
      <c r="IQJ84" s="1"/>
      <c r="IQK84" s="1"/>
      <c r="IQL84" s="1"/>
      <c r="IQM84" s="1"/>
      <c r="IQN84" s="1"/>
      <c r="IQO84" s="1"/>
      <c r="IQP84" s="1"/>
      <c r="IQQ84" s="1"/>
      <c r="IQR84" s="1"/>
      <c r="IQS84" s="1"/>
      <c r="IQT84" s="1"/>
      <c r="IQU84" s="1"/>
      <c r="IQV84" s="1"/>
      <c r="IQW84" s="1"/>
      <c r="IQX84" s="1"/>
      <c r="IQY84" s="1"/>
      <c r="IQZ84" s="1"/>
      <c r="IRA84" s="1"/>
      <c r="IRB84" s="1"/>
      <c r="IRC84" s="1"/>
      <c r="IRD84" s="1"/>
      <c r="IRE84" s="1"/>
      <c r="IRF84" s="1"/>
      <c r="IRG84" s="1"/>
      <c r="IRH84" s="1"/>
      <c r="IRI84" s="1"/>
      <c r="IRJ84" s="1"/>
      <c r="IRK84" s="1"/>
      <c r="IRL84" s="1"/>
      <c r="IRM84" s="1"/>
      <c r="IRN84" s="1"/>
      <c r="IRO84" s="1"/>
      <c r="IRP84" s="1"/>
      <c r="IRQ84" s="1"/>
      <c r="IRR84" s="1"/>
      <c r="IRS84" s="1"/>
      <c r="IRT84" s="1"/>
      <c r="IRU84" s="1"/>
      <c r="IRV84" s="1"/>
      <c r="IRW84" s="1"/>
      <c r="IRX84" s="1"/>
      <c r="IRY84" s="1"/>
      <c r="IRZ84" s="1"/>
      <c r="ISA84" s="1"/>
      <c r="ISB84" s="1"/>
      <c r="ISC84" s="1"/>
      <c r="ISD84" s="1"/>
      <c r="ISE84" s="1"/>
      <c r="ISF84" s="1"/>
      <c r="ISG84" s="1"/>
      <c r="ISH84" s="1"/>
      <c r="ISI84" s="1"/>
      <c r="ISJ84" s="1"/>
      <c r="ISK84" s="1"/>
      <c r="ISL84" s="1"/>
      <c r="ISM84" s="1"/>
      <c r="ISN84" s="1"/>
      <c r="ISO84" s="1"/>
      <c r="ISP84" s="1"/>
      <c r="ISQ84" s="1"/>
      <c r="ISR84" s="1"/>
      <c r="ISS84" s="1"/>
      <c r="IST84" s="1"/>
      <c r="ISU84" s="1"/>
      <c r="ISV84" s="1"/>
      <c r="ISW84" s="1"/>
      <c r="ISX84" s="1"/>
      <c r="ISY84" s="1"/>
      <c r="ISZ84" s="1"/>
      <c r="ITA84" s="1"/>
      <c r="ITB84" s="1"/>
      <c r="ITC84" s="1"/>
      <c r="ITD84" s="1"/>
      <c r="ITE84" s="1"/>
      <c r="ITF84" s="1"/>
      <c r="ITG84" s="1"/>
      <c r="ITH84" s="1"/>
      <c r="ITI84" s="1"/>
      <c r="ITJ84" s="1"/>
      <c r="ITK84" s="1"/>
      <c r="ITL84" s="1"/>
      <c r="ITM84" s="1"/>
      <c r="ITN84" s="1"/>
      <c r="ITO84" s="1"/>
      <c r="ITP84" s="1"/>
      <c r="ITQ84" s="1"/>
      <c r="ITR84" s="1"/>
      <c r="ITS84" s="1"/>
      <c r="ITT84" s="1"/>
      <c r="ITU84" s="1"/>
      <c r="ITV84" s="1"/>
      <c r="ITW84" s="1"/>
      <c r="ITX84" s="1"/>
      <c r="ITY84" s="1"/>
      <c r="ITZ84" s="1"/>
      <c r="IUA84" s="1"/>
      <c r="IUB84" s="1"/>
      <c r="IUC84" s="1"/>
      <c r="IUD84" s="1"/>
      <c r="IUE84" s="1"/>
      <c r="IUF84" s="1"/>
      <c r="IUG84" s="1"/>
      <c r="IUH84" s="1"/>
      <c r="IUI84" s="1"/>
      <c r="IUJ84" s="1"/>
      <c r="IUK84" s="1"/>
      <c r="IUL84" s="1"/>
      <c r="IUM84" s="1"/>
      <c r="IUN84" s="1"/>
      <c r="IUO84" s="1"/>
      <c r="IUP84" s="1"/>
      <c r="IUQ84" s="1"/>
      <c r="IUR84" s="1"/>
      <c r="IUS84" s="1"/>
      <c r="IUT84" s="1"/>
      <c r="IUU84" s="1"/>
      <c r="IUV84" s="1"/>
      <c r="IUW84" s="1"/>
      <c r="IUX84" s="1"/>
      <c r="IUY84" s="1"/>
      <c r="IUZ84" s="1"/>
      <c r="IVA84" s="1"/>
      <c r="IVB84" s="1"/>
      <c r="IVC84" s="1"/>
      <c r="IVD84" s="1"/>
      <c r="IVE84" s="1"/>
      <c r="IVF84" s="1"/>
      <c r="IVG84" s="1"/>
      <c r="IVH84" s="1"/>
      <c r="IVI84" s="1"/>
      <c r="IVJ84" s="1"/>
      <c r="IVK84" s="1"/>
      <c r="IVL84" s="1"/>
      <c r="IVM84" s="1"/>
      <c r="IVN84" s="1"/>
      <c r="IVO84" s="1"/>
      <c r="IVP84" s="1"/>
      <c r="IVQ84" s="1"/>
      <c r="IVR84" s="1"/>
      <c r="IVS84" s="1"/>
      <c r="IVT84" s="1"/>
      <c r="IVU84" s="1"/>
      <c r="IVV84" s="1"/>
      <c r="IVW84" s="1"/>
      <c r="IVX84" s="1"/>
      <c r="IVY84" s="1"/>
      <c r="IVZ84" s="1"/>
      <c r="IWA84" s="1"/>
      <c r="IWB84" s="1"/>
      <c r="IWC84" s="1"/>
      <c r="IWD84" s="1"/>
      <c r="IWE84" s="1"/>
      <c r="IWF84" s="1"/>
      <c r="IWG84" s="1"/>
      <c r="IWH84" s="1"/>
      <c r="IWI84" s="1"/>
      <c r="IWJ84" s="1"/>
      <c r="IWK84" s="1"/>
      <c r="IWL84" s="1"/>
      <c r="IWM84" s="1"/>
      <c r="IWN84" s="1"/>
      <c r="IWO84" s="1"/>
      <c r="IWP84" s="1"/>
      <c r="IWQ84" s="1"/>
      <c r="IWR84" s="1"/>
      <c r="IWS84" s="1"/>
      <c r="IWT84" s="1"/>
      <c r="IWU84" s="1"/>
      <c r="IWV84" s="1"/>
      <c r="IWW84" s="1"/>
      <c r="IWX84" s="1"/>
      <c r="IWY84" s="1"/>
      <c r="IWZ84" s="1"/>
      <c r="IXA84" s="1"/>
      <c r="IXB84" s="1"/>
      <c r="IXC84" s="1"/>
      <c r="IXD84" s="1"/>
      <c r="IXE84" s="1"/>
      <c r="IXF84" s="1"/>
      <c r="IXG84" s="1"/>
      <c r="IXH84" s="1"/>
      <c r="IXI84" s="1"/>
      <c r="IXJ84" s="1"/>
      <c r="IXK84" s="1"/>
      <c r="IXL84" s="1"/>
      <c r="IXM84" s="1"/>
      <c r="IXN84" s="1"/>
      <c r="IXO84" s="1"/>
      <c r="IXP84" s="1"/>
      <c r="IXQ84" s="1"/>
      <c r="IXR84" s="1"/>
      <c r="IXS84" s="1"/>
      <c r="IXT84" s="1"/>
      <c r="IXU84" s="1"/>
      <c r="IXV84" s="1"/>
      <c r="IXW84" s="1"/>
      <c r="IXX84" s="1"/>
      <c r="IXY84" s="1"/>
      <c r="IXZ84" s="1"/>
      <c r="IYA84" s="1"/>
      <c r="IYB84" s="1"/>
      <c r="IYC84" s="1"/>
      <c r="IYD84" s="1"/>
      <c r="IYE84" s="1"/>
      <c r="IYF84" s="1"/>
      <c r="IYG84" s="1"/>
      <c r="IYH84" s="1"/>
      <c r="IYI84" s="1"/>
      <c r="IYJ84" s="1"/>
      <c r="IYK84" s="1"/>
      <c r="IYL84" s="1"/>
      <c r="IYM84" s="1"/>
      <c r="IYN84" s="1"/>
      <c r="IYO84" s="1"/>
      <c r="IYP84" s="1"/>
      <c r="IYQ84" s="1"/>
      <c r="IYR84" s="1"/>
      <c r="IYS84" s="1"/>
      <c r="IYT84" s="1"/>
      <c r="IYU84" s="1"/>
      <c r="IYV84" s="1"/>
      <c r="IYW84" s="1"/>
      <c r="IYX84" s="1"/>
      <c r="IYY84" s="1"/>
      <c r="IYZ84" s="1"/>
      <c r="IZA84" s="1"/>
      <c r="IZB84" s="1"/>
      <c r="IZC84" s="1"/>
      <c r="IZD84" s="1"/>
      <c r="IZE84" s="1"/>
      <c r="IZF84" s="1"/>
      <c r="IZG84" s="1"/>
      <c r="IZH84" s="1"/>
      <c r="IZI84" s="1"/>
      <c r="IZJ84" s="1"/>
      <c r="IZK84" s="1"/>
      <c r="IZL84" s="1"/>
      <c r="IZM84" s="1"/>
      <c r="IZN84" s="1"/>
      <c r="IZO84" s="1"/>
      <c r="IZP84" s="1"/>
      <c r="IZQ84" s="1"/>
      <c r="IZR84" s="1"/>
      <c r="IZS84" s="1"/>
      <c r="IZT84" s="1"/>
      <c r="IZU84" s="1"/>
      <c r="IZV84" s="1"/>
      <c r="IZW84" s="1"/>
      <c r="IZX84" s="1"/>
      <c r="IZY84" s="1"/>
      <c r="IZZ84" s="1"/>
      <c r="JAA84" s="1"/>
      <c r="JAB84" s="1"/>
      <c r="JAC84" s="1"/>
      <c r="JAD84" s="1"/>
      <c r="JAE84" s="1"/>
      <c r="JAF84" s="1"/>
      <c r="JAG84" s="1"/>
      <c r="JAH84" s="1"/>
      <c r="JAI84" s="1"/>
      <c r="JAJ84" s="1"/>
      <c r="JAK84" s="1"/>
      <c r="JAL84" s="1"/>
      <c r="JAM84" s="1"/>
      <c r="JAN84" s="1"/>
      <c r="JAO84" s="1"/>
      <c r="JAP84" s="1"/>
      <c r="JAQ84" s="1"/>
      <c r="JAR84" s="1"/>
      <c r="JAS84" s="1"/>
      <c r="JAT84" s="1"/>
      <c r="JAU84" s="1"/>
      <c r="JAV84" s="1"/>
      <c r="JAW84" s="1"/>
      <c r="JAX84" s="1"/>
      <c r="JAY84" s="1"/>
      <c r="JAZ84" s="1"/>
      <c r="JBA84" s="1"/>
      <c r="JBB84" s="1"/>
      <c r="JBC84" s="1"/>
      <c r="JBD84" s="1"/>
      <c r="JBE84" s="1"/>
      <c r="JBF84" s="1"/>
      <c r="JBG84" s="1"/>
      <c r="JBH84" s="1"/>
      <c r="JBI84" s="1"/>
      <c r="JBJ84" s="1"/>
      <c r="JBK84" s="1"/>
      <c r="JBL84" s="1"/>
      <c r="JBM84" s="1"/>
      <c r="JBN84" s="1"/>
      <c r="JBO84" s="1"/>
      <c r="JBP84" s="1"/>
      <c r="JBQ84" s="1"/>
      <c r="JBR84" s="1"/>
      <c r="JBS84" s="1"/>
      <c r="JBT84" s="1"/>
      <c r="JBU84" s="1"/>
      <c r="JBV84" s="1"/>
      <c r="JBW84" s="1"/>
      <c r="JBX84" s="1"/>
      <c r="JBY84" s="1"/>
      <c r="JBZ84" s="1"/>
      <c r="JCA84" s="1"/>
      <c r="JCB84" s="1"/>
      <c r="JCC84" s="1"/>
      <c r="JCD84" s="1"/>
      <c r="JCE84" s="1"/>
      <c r="JCF84" s="1"/>
      <c r="JCG84" s="1"/>
      <c r="JCH84" s="1"/>
      <c r="JCI84" s="1"/>
      <c r="JCJ84" s="1"/>
      <c r="JCK84" s="1"/>
      <c r="JCL84" s="1"/>
      <c r="JCM84" s="1"/>
      <c r="JCN84" s="1"/>
      <c r="JCO84" s="1"/>
      <c r="JCP84" s="1"/>
      <c r="JCQ84" s="1"/>
      <c r="JCR84" s="1"/>
      <c r="JCS84" s="1"/>
      <c r="JCT84" s="1"/>
      <c r="JCU84" s="1"/>
      <c r="JCV84" s="1"/>
      <c r="JCW84" s="1"/>
      <c r="JCX84" s="1"/>
      <c r="JCY84" s="1"/>
      <c r="JCZ84" s="1"/>
      <c r="JDA84" s="1"/>
      <c r="JDB84" s="1"/>
      <c r="JDC84" s="1"/>
      <c r="JDD84" s="1"/>
      <c r="JDE84" s="1"/>
      <c r="JDF84" s="1"/>
      <c r="JDG84" s="1"/>
      <c r="JDH84" s="1"/>
      <c r="JDI84" s="1"/>
      <c r="JDJ84" s="1"/>
      <c r="JDK84" s="1"/>
      <c r="JDL84" s="1"/>
      <c r="JDM84" s="1"/>
      <c r="JDN84" s="1"/>
      <c r="JDO84" s="1"/>
      <c r="JDP84" s="1"/>
      <c r="JDQ84" s="1"/>
      <c r="JDR84" s="1"/>
      <c r="JDS84" s="1"/>
      <c r="JDT84" s="1"/>
      <c r="JDU84" s="1"/>
      <c r="JDV84" s="1"/>
      <c r="JDW84" s="1"/>
      <c r="JDX84" s="1"/>
      <c r="JDY84" s="1"/>
      <c r="JDZ84" s="1"/>
      <c r="JEA84" s="1"/>
      <c r="JEB84" s="1"/>
      <c r="JEC84" s="1"/>
      <c r="JED84" s="1"/>
      <c r="JEE84" s="1"/>
      <c r="JEF84" s="1"/>
      <c r="JEG84" s="1"/>
      <c r="JEH84" s="1"/>
      <c r="JEI84" s="1"/>
      <c r="JEJ84" s="1"/>
      <c r="JEK84" s="1"/>
      <c r="JEL84" s="1"/>
      <c r="JEM84" s="1"/>
      <c r="JEN84" s="1"/>
      <c r="JEO84" s="1"/>
      <c r="JEP84" s="1"/>
      <c r="JEQ84" s="1"/>
      <c r="JER84" s="1"/>
      <c r="JES84" s="1"/>
      <c r="JET84" s="1"/>
      <c r="JEU84" s="1"/>
      <c r="JEV84" s="1"/>
      <c r="JEW84" s="1"/>
      <c r="JEX84" s="1"/>
      <c r="JEY84" s="1"/>
      <c r="JEZ84" s="1"/>
      <c r="JFA84" s="1"/>
      <c r="JFB84" s="1"/>
      <c r="JFC84" s="1"/>
      <c r="JFD84" s="1"/>
      <c r="JFE84" s="1"/>
      <c r="JFF84" s="1"/>
      <c r="JFG84" s="1"/>
      <c r="JFH84" s="1"/>
      <c r="JFI84" s="1"/>
      <c r="JFJ84" s="1"/>
      <c r="JFK84" s="1"/>
      <c r="JFL84" s="1"/>
      <c r="JFM84" s="1"/>
      <c r="JFN84" s="1"/>
      <c r="JFO84" s="1"/>
      <c r="JFP84" s="1"/>
      <c r="JFQ84" s="1"/>
      <c r="JFR84" s="1"/>
      <c r="JFS84" s="1"/>
      <c r="JFT84" s="1"/>
      <c r="JFU84" s="1"/>
      <c r="JFV84" s="1"/>
      <c r="JFW84" s="1"/>
      <c r="JFX84" s="1"/>
      <c r="JFY84" s="1"/>
      <c r="JFZ84" s="1"/>
      <c r="JGA84" s="1"/>
      <c r="JGB84" s="1"/>
      <c r="JGC84" s="1"/>
      <c r="JGD84" s="1"/>
      <c r="JGE84" s="1"/>
      <c r="JGF84" s="1"/>
      <c r="JGG84" s="1"/>
      <c r="JGH84" s="1"/>
      <c r="JGI84" s="1"/>
      <c r="JGJ84" s="1"/>
      <c r="JGK84" s="1"/>
      <c r="JGL84" s="1"/>
      <c r="JGM84" s="1"/>
      <c r="JGN84" s="1"/>
      <c r="JGO84" s="1"/>
      <c r="JGP84" s="1"/>
      <c r="JGQ84" s="1"/>
      <c r="JGR84" s="1"/>
      <c r="JGS84" s="1"/>
      <c r="JGT84" s="1"/>
      <c r="JGU84" s="1"/>
      <c r="JGV84" s="1"/>
      <c r="JGW84" s="1"/>
      <c r="JGX84" s="1"/>
      <c r="JGY84" s="1"/>
      <c r="JGZ84" s="1"/>
      <c r="JHA84" s="1"/>
      <c r="JHB84" s="1"/>
      <c r="JHC84" s="1"/>
      <c r="JHD84" s="1"/>
      <c r="JHE84" s="1"/>
      <c r="JHF84" s="1"/>
      <c r="JHG84" s="1"/>
      <c r="JHH84" s="1"/>
      <c r="JHI84" s="1"/>
      <c r="JHJ84" s="1"/>
      <c r="JHK84" s="1"/>
      <c r="JHL84" s="1"/>
      <c r="JHM84" s="1"/>
      <c r="JHN84" s="1"/>
      <c r="JHO84" s="1"/>
      <c r="JHP84" s="1"/>
      <c r="JHQ84" s="1"/>
      <c r="JHR84" s="1"/>
      <c r="JHS84" s="1"/>
      <c r="JHT84" s="1"/>
      <c r="JHU84" s="1"/>
      <c r="JHV84" s="1"/>
      <c r="JHW84" s="1"/>
      <c r="JHX84" s="1"/>
      <c r="JHY84" s="1"/>
      <c r="JHZ84" s="1"/>
      <c r="JIA84" s="1"/>
      <c r="JIB84" s="1"/>
      <c r="JIC84" s="1"/>
      <c r="JID84" s="1"/>
      <c r="JIE84" s="1"/>
      <c r="JIF84" s="1"/>
      <c r="JIG84" s="1"/>
      <c r="JIH84" s="1"/>
      <c r="JII84" s="1"/>
      <c r="JIJ84" s="1"/>
      <c r="JIK84" s="1"/>
      <c r="JIL84" s="1"/>
      <c r="JIM84" s="1"/>
      <c r="JIN84" s="1"/>
      <c r="JIO84" s="1"/>
      <c r="JIP84" s="1"/>
      <c r="JIQ84" s="1"/>
      <c r="JIR84" s="1"/>
      <c r="JIS84" s="1"/>
      <c r="JIT84" s="1"/>
      <c r="JIU84" s="1"/>
      <c r="JIV84" s="1"/>
      <c r="JIW84" s="1"/>
      <c r="JIX84" s="1"/>
      <c r="JIY84" s="1"/>
      <c r="JIZ84" s="1"/>
      <c r="JJA84" s="1"/>
      <c r="JJB84" s="1"/>
      <c r="JJC84" s="1"/>
      <c r="JJD84" s="1"/>
      <c r="JJE84" s="1"/>
      <c r="JJF84" s="1"/>
      <c r="JJG84" s="1"/>
      <c r="JJH84" s="1"/>
      <c r="JJI84" s="1"/>
      <c r="JJJ84" s="1"/>
      <c r="JJK84" s="1"/>
      <c r="JJL84" s="1"/>
      <c r="JJM84" s="1"/>
      <c r="JJN84" s="1"/>
      <c r="JJO84" s="1"/>
      <c r="JJP84" s="1"/>
      <c r="JJQ84" s="1"/>
      <c r="JJR84" s="1"/>
      <c r="JJS84" s="1"/>
      <c r="JJT84" s="1"/>
      <c r="JJU84" s="1"/>
      <c r="JJV84" s="1"/>
      <c r="JJW84" s="1"/>
      <c r="JJX84" s="1"/>
      <c r="JJY84" s="1"/>
      <c r="JJZ84" s="1"/>
      <c r="JKA84" s="1"/>
      <c r="JKB84" s="1"/>
      <c r="JKC84" s="1"/>
      <c r="JKD84" s="1"/>
      <c r="JKE84" s="1"/>
      <c r="JKF84" s="1"/>
      <c r="JKG84" s="1"/>
      <c r="JKH84" s="1"/>
      <c r="JKI84" s="1"/>
      <c r="JKJ84" s="1"/>
      <c r="JKK84" s="1"/>
      <c r="JKL84" s="1"/>
      <c r="JKM84" s="1"/>
      <c r="JKN84" s="1"/>
      <c r="JKO84" s="1"/>
      <c r="JKP84" s="1"/>
      <c r="JKQ84" s="1"/>
      <c r="JKR84" s="1"/>
      <c r="JKS84" s="1"/>
      <c r="JKT84" s="1"/>
      <c r="JKU84" s="1"/>
      <c r="JKV84" s="1"/>
      <c r="JKW84" s="1"/>
      <c r="JKX84" s="1"/>
      <c r="JKY84" s="1"/>
      <c r="JKZ84" s="1"/>
      <c r="JLA84" s="1"/>
      <c r="JLB84" s="1"/>
      <c r="JLC84" s="1"/>
      <c r="JLD84" s="1"/>
      <c r="JLE84" s="1"/>
      <c r="JLF84" s="1"/>
      <c r="JLG84" s="1"/>
      <c r="JLH84" s="1"/>
      <c r="JLI84" s="1"/>
      <c r="JLJ84" s="1"/>
      <c r="JLK84" s="1"/>
      <c r="JLL84" s="1"/>
      <c r="JLM84" s="1"/>
      <c r="JLN84" s="1"/>
      <c r="JLO84" s="1"/>
      <c r="JLP84" s="1"/>
      <c r="JLQ84" s="1"/>
      <c r="JLR84" s="1"/>
      <c r="JLS84" s="1"/>
      <c r="JLT84" s="1"/>
      <c r="JLU84" s="1"/>
      <c r="JLV84" s="1"/>
      <c r="JLW84" s="1"/>
      <c r="JLX84" s="1"/>
      <c r="JLY84" s="1"/>
      <c r="JLZ84" s="1"/>
      <c r="JMA84" s="1"/>
      <c r="JMB84" s="1"/>
      <c r="JMC84" s="1"/>
      <c r="JMD84" s="1"/>
      <c r="JME84" s="1"/>
      <c r="JMF84" s="1"/>
      <c r="JMG84" s="1"/>
      <c r="JMH84" s="1"/>
      <c r="JMI84" s="1"/>
      <c r="JMJ84" s="1"/>
      <c r="JMK84" s="1"/>
      <c r="JML84" s="1"/>
      <c r="JMM84" s="1"/>
      <c r="JMN84" s="1"/>
      <c r="JMO84" s="1"/>
      <c r="JMP84" s="1"/>
      <c r="JMQ84" s="1"/>
      <c r="JMR84" s="1"/>
      <c r="JMS84" s="1"/>
      <c r="JMT84" s="1"/>
      <c r="JMU84" s="1"/>
      <c r="JMV84" s="1"/>
      <c r="JMW84" s="1"/>
      <c r="JMX84" s="1"/>
      <c r="JMY84" s="1"/>
      <c r="JMZ84" s="1"/>
      <c r="JNA84" s="1"/>
      <c r="JNB84" s="1"/>
      <c r="JNC84" s="1"/>
      <c r="JND84" s="1"/>
      <c r="JNE84" s="1"/>
      <c r="JNF84" s="1"/>
      <c r="JNG84" s="1"/>
      <c r="JNH84" s="1"/>
      <c r="JNI84" s="1"/>
      <c r="JNJ84" s="1"/>
      <c r="JNK84" s="1"/>
      <c r="JNL84" s="1"/>
      <c r="JNM84" s="1"/>
      <c r="JNN84" s="1"/>
      <c r="JNO84" s="1"/>
      <c r="JNP84" s="1"/>
      <c r="JNQ84" s="1"/>
      <c r="JNR84" s="1"/>
      <c r="JNS84" s="1"/>
      <c r="JNT84" s="1"/>
      <c r="JNU84" s="1"/>
      <c r="JNV84" s="1"/>
      <c r="JNW84" s="1"/>
      <c r="JNX84" s="1"/>
      <c r="JNY84" s="1"/>
      <c r="JNZ84" s="1"/>
      <c r="JOA84" s="1"/>
      <c r="JOB84" s="1"/>
      <c r="JOC84" s="1"/>
      <c r="JOD84" s="1"/>
      <c r="JOE84" s="1"/>
      <c r="JOF84" s="1"/>
      <c r="JOG84" s="1"/>
      <c r="JOH84" s="1"/>
      <c r="JOI84" s="1"/>
      <c r="JOJ84" s="1"/>
      <c r="JOK84" s="1"/>
      <c r="JOL84" s="1"/>
      <c r="JOM84" s="1"/>
      <c r="JON84" s="1"/>
      <c r="JOO84" s="1"/>
      <c r="JOP84" s="1"/>
      <c r="JOQ84" s="1"/>
      <c r="JOR84" s="1"/>
      <c r="JOS84" s="1"/>
      <c r="JOT84" s="1"/>
      <c r="JOU84" s="1"/>
      <c r="JOV84" s="1"/>
      <c r="JOW84" s="1"/>
      <c r="JOX84" s="1"/>
      <c r="JOY84" s="1"/>
      <c r="JOZ84" s="1"/>
      <c r="JPA84" s="1"/>
      <c r="JPB84" s="1"/>
      <c r="JPC84" s="1"/>
      <c r="JPD84" s="1"/>
      <c r="JPE84" s="1"/>
      <c r="JPF84" s="1"/>
      <c r="JPG84" s="1"/>
      <c r="JPH84" s="1"/>
      <c r="JPI84" s="1"/>
      <c r="JPJ84" s="1"/>
      <c r="JPK84" s="1"/>
      <c r="JPL84" s="1"/>
      <c r="JPM84" s="1"/>
      <c r="JPN84" s="1"/>
      <c r="JPO84" s="1"/>
      <c r="JPP84" s="1"/>
      <c r="JPQ84" s="1"/>
      <c r="JPR84" s="1"/>
      <c r="JPS84" s="1"/>
      <c r="JPT84" s="1"/>
      <c r="JPU84" s="1"/>
      <c r="JPV84" s="1"/>
      <c r="JPW84" s="1"/>
      <c r="JPX84" s="1"/>
      <c r="JPY84" s="1"/>
      <c r="JPZ84" s="1"/>
      <c r="JQA84" s="1"/>
      <c r="JQB84" s="1"/>
      <c r="JQC84" s="1"/>
      <c r="JQD84" s="1"/>
      <c r="JQE84" s="1"/>
      <c r="JQF84" s="1"/>
      <c r="JQG84" s="1"/>
      <c r="JQH84" s="1"/>
      <c r="JQI84" s="1"/>
      <c r="JQJ84" s="1"/>
      <c r="JQK84" s="1"/>
      <c r="JQL84" s="1"/>
      <c r="JQM84" s="1"/>
      <c r="JQN84" s="1"/>
      <c r="JQO84" s="1"/>
      <c r="JQP84" s="1"/>
      <c r="JQQ84" s="1"/>
      <c r="JQR84" s="1"/>
      <c r="JQS84" s="1"/>
      <c r="JQT84" s="1"/>
      <c r="JQU84" s="1"/>
      <c r="JQV84" s="1"/>
      <c r="JQW84" s="1"/>
      <c r="JQX84" s="1"/>
      <c r="JQY84" s="1"/>
      <c r="JQZ84" s="1"/>
      <c r="JRA84" s="1"/>
      <c r="JRB84" s="1"/>
      <c r="JRC84" s="1"/>
      <c r="JRD84" s="1"/>
      <c r="JRE84" s="1"/>
      <c r="JRF84" s="1"/>
      <c r="JRG84" s="1"/>
      <c r="JRH84" s="1"/>
      <c r="JRI84" s="1"/>
      <c r="JRJ84" s="1"/>
      <c r="JRK84" s="1"/>
      <c r="JRL84" s="1"/>
      <c r="JRM84" s="1"/>
      <c r="JRN84" s="1"/>
      <c r="JRO84" s="1"/>
      <c r="JRP84" s="1"/>
      <c r="JRQ84" s="1"/>
      <c r="JRR84" s="1"/>
      <c r="JRS84" s="1"/>
      <c r="JRT84" s="1"/>
      <c r="JRU84" s="1"/>
      <c r="JRV84" s="1"/>
      <c r="JRW84" s="1"/>
      <c r="JRX84" s="1"/>
      <c r="JRY84" s="1"/>
      <c r="JRZ84" s="1"/>
      <c r="JSA84" s="1"/>
      <c r="JSB84" s="1"/>
      <c r="JSC84" s="1"/>
      <c r="JSD84" s="1"/>
      <c r="JSE84" s="1"/>
      <c r="JSF84" s="1"/>
      <c r="JSG84" s="1"/>
      <c r="JSH84" s="1"/>
      <c r="JSI84" s="1"/>
      <c r="JSJ84" s="1"/>
      <c r="JSK84" s="1"/>
      <c r="JSL84" s="1"/>
      <c r="JSM84" s="1"/>
      <c r="JSN84" s="1"/>
      <c r="JSO84" s="1"/>
      <c r="JSP84" s="1"/>
      <c r="JSQ84" s="1"/>
      <c r="JSR84" s="1"/>
      <c r="JSS84" s="1"/>
      <c r="JST84" s="1"/>
      <c r="JSU84" s="1"/>
      <c r="JSV84" s="1"/>
      <c r="JSW84" s="1"/>
      <c r="JSX84" s="1"/>
      <c r="JSY84" s="1"/>
      <c r="JSZ84" s="1"/>
      <c r="JTA84" s="1"/>
      <c r="JTB84" s="1"/>
      <c r="JTC84" s="1"/>
      <c r="JTD84" s="1"/>
      <c r="JTE84" s="1"/>
      <c r="JTF84" s="1"/>
      <c r="JTG84" s="1"/>
      <c r="JTH84" s="1"/>
      <c r="JTI84" s="1"/>
      <c r="JTJ84" s="1"/>
      <c r="JTK84" s="1"/>
      <c r="JTL84" s="1"/>
      <c r="JTM84" s="1"/>
      <c r="JTN84" s="1"/>
      <c r="JTO84" s="1"/>
      <c r="JTP84" s="1"/>
      <c r="JTQ84" s="1"/>
      <c r="JTR84" s="1"/>
      <c r="JTS84" s="1"/>
      <c r="JTT84" s="1"/>
      <c r="JTU84" s="1"/>
      <c r="JTV84" s="1"/>
      <c r="JTW84" s="1"/>
      <c r="JTX84" s="1"/>
      <c r="JTY84" s="1"/>
      <c r="JTZ84" s="1"/>
      <c r="JUA84" s="1"/>
      <c r="JUB84" s="1"/>
      <c r="JUC84" s="1"/>
      <c r="JUD84" s="1"/>
      <c r="JUE84" s="1"/>
      <c r="JUF84" s="1"/>
      <c r="JUG84" s="1"/>
      <c r="JUH84" s="1"/>
      <c r="JUI84" s="1"/>
      <c r="JUJ84" s="1"/>
      <c r="JUK84" s="1"/>
      <c r="JUL84" s="1"/>
      <c r="JUM84" s="1"/>
      <c r="JUN84" s="1"/>
      <c r="JUO84" s="1"/>
      <c r="JUP84" s="1"/>
      <c r="JUQ84" s="1"/>
      <c r="JUR84" s="1"/>
      <c r="JUS84" s="1"/>
      <c r="JUT84" s="1"/>
      <c r="JUU84" s="1"/>
      <c r="JUV84" s="1"/>
      <c r="JUW84" s="1"/>
      <c r="JUX84" s="1"/>
      <c r="JUY84" s="1"/>
      <c r="JUZ84" s="1"/>
      <c r="JVA84" s="1"/>
      <c r="JVB84" s="1"/>
      <c r="JVC84" s="1"/>
      <c r="JVD84" s="1"/>
      <c r="JVE84" s="1"/>
      <c r="JVF84" s="1"/>
      <c r="JVG84" s="1"/>
      <c r="JVH84" s="1"/>
      <c r="JVI84" s="1"/>
      <c r="JVJ84" s="1"/>
      <c r="JVK84" s="1"/>
      <c r="JVL84" s="1"/>
      <c r="JVM84" s="1"/>
      <c r="JVN84" s="1"/>
      <c r="JVO84" s="1"/>
      <c r="JVP84" s="1"/>
      <c r="JVQ84" s="1"/>
      <c r="JVR84" s="1"/>
      <c r="JVS84" s="1"/>
      <c r="JVT84" s="1"/>
      <c r="JVU84" s="1"/>
      <c r="JVV84" s="1"/>
      <c r="JVW84" s="1"/>
      <c r="JVX84" s="1"/>
      <c r="JVY84" s="1"/>
      <c r="JVZ84" s="1"/>
      <c r="JWA84" s="1"/>
      <c r="JWB84" s="1"/>
      <c r="JWC84" s="1"/>
      <c r="JWD84" s="1"/>
      <c r="JWE84" s="1"/>
      <c r="JWF84" s="1"/>
      <c r="JWG84" s="1"/>
      <c r="JWH84" s="1"/>
      <c r="JWI84" s="1"/>
      <c r="JWJ84" s="1"/>
      <c r="JWK84" s="1"/>
      <c r="JWL84" s="1"/>
      <c r="JWM84" s="1"/>
      <c r="JWN84" s="1"/>
      <c r="JWO84" s="1"/>
      <c r="JWP84" s="1"/>
      <c r="JWQ84" s="1"/>
      <c r="JWR84" s="1"/>
      <c r="JWS84" s="1"/>
      <c r="JWT84" s="1"/>
      <c r="JWU84" s="1"/>
      <c r="JWV84" s="1"/>
      <c r="JWW84" s="1"/>
      <c r="JWX84" s="1"/>
      <c r="JWY84" s="1"/>
      <c r="JWZ84" s="1"/>
      <c r="JXA84" s="1"/>
      <c r="JXB84" s="1"/>
      <c r="JXC84" s="1"/>
      <c r="JXD84" s="1"/>
      <c r="JXE84" s="1"/>
      <c r="JXF84" s="1"/>
      <c r="JXG84" s="1"/>
      <c r="JXH84" s="1"/>
      <c r="JXI84" s="1"/>
      <c r="JXJ84" s="1"/>
      <c r="JXK84" s="1"/>
      <c r="JXL84" s="1"/>
      <c r="JXM84" s="1"/>
      <c r="JXN84" s="1"/>
      <c r="JXO84" s="1"/>
      <c r="JXP84" s="1"/>
      <c r="JXQ84" s="1"/>
      <c r="JXR84" s="1"/>
      <c r="JXS84" s="1"/>
      <c r="JXT84" s="1"/>
      <c r="JXU84" s="1"/>
      <c r="JXV84" s="1"/>
      <c r="JXW84" s="1"/>
      <c r="JXX84" s="1"/>
      <c r="JXY84" s="1"/>
      <c r="JXZ84" s="1"/>
      <c r="JYA84" s="1"/>
      <c r="JYB84" s="1"/>
      <c r="JYC84" s="1"/>
      <c r="JYD84" s="1"/>
      <c r="JYE84" s="1"/>
      <c r="JYF84" s="1"/>
      <c r="JYG84" s="1"/>
      <c r="JYH84" s="1"/>
      <c r="JYI84" s="1"/>
      <c r="JYJ84" s="1"/>
      <c r="JYK84" s="1"/>
      <c r="JYL84" s="1"/>
      <c r="JYM84" s="1"/>
      <c r="JYN84" s="1"/>
      <c r="JYO84" s="1"/>
      <c r="JYP84" s="1"/>
      <c r="JYQ84" s="1"/>
      <c r="JYR84" s="1"/>
      <c r="JYS84" s="1"/>
      <c r="JYT84" s="1"/>
      <c r="JYU84" s="1"/>
      <c r="JYV84" s="1"/>
      <c r="JYW84" s="1"/>
      <c r="JYX84" s="1"/>
      <c r="JYY84" s="1"/>
      <c r="JYZ84" s="1"/>
      <c r="JZA84" s="1"/>
      <c r="JZB84" s="1"/>
      <c r="JZC84" s="1"/>
      <c r="JZD84" s="1"/>
      <c r="JZE84" s="1"/>
      <c r="JZF84" s="1"/>
      <c r="JZG84" s="1"/>
      <c r="JZH84" s="1"/>
      <c r="JZI84" s="1"/>
      <c r="JZJ84" s="1"/>
      <c r="JZK84" s="1"/>
      <c r="JZL84" s="1"/>
      <c r="JZM84" s="1"/>
      <c r="JZN84" s="1"/>
      <c r="JZO84" s="1"/>
      <c r="JZP84" s="1"/>
      <c r="JZQ84" s="1"/>
      <c r="JZR84" s="1"/>
      <c r="JZS84" s="1"/>
      <c r="JZT84" s="1"/>
      <c r="JZU84" s="1"/>
      <c r="JZV84" s="1"/>
      <c r="JZW84" s="1"/>
      <c r="JZX84" s="1"/>
      <c r="JZY84" s="1"/>
      <c r="JZZ84" s="1"/>
      <c r="KAA84" s="1"/>
      <c r="KAB84" s="1"/>
      <c r="KAC84" s="1"/>
      <c r="KAD84" s="1"/>
      <c r="KAE84" s="1"/>
      <c r="KAF84" s="1"/>
      <c r="KAG84" s="1"/>
      <c r="KAH84" s="1"/>
      <c r="KAI84" s="1"/>
      <c r="KAJ84" s="1"/>
      <c r="KAK84" s="1"/>
      <c r="KAL84" s="1"/>
      <c r="KAM84" s="1"/>
      <c r="KAN84" s="1"/>
      <c r="KAO84" s="1"/>
      <c r="KAP84" s="1"/>
      <c r="KAQ84" s="1"/>
      <c r="KAR84" s="1"/>
      <c r="KAS84" s="1"/>
      <c r="KAT84" s="1"/>
      <c r="KAU84" s="1"/>
      <c r="KAV84" s="1"/>
      <c r="KAW84" s="1"/>
      <c r="KAX84" s="1"/>
      <c r="KAY84" s="1"/>
      <c r="KAZ84" s="1"/>
      <c r="KBA84" s="1"/>
      <c r="KBB84" s="1"/>
      <c r="KBC84" s="1"/>
      <c r="KBD84" s="1"/>
      <c r="KBE84" s="1"/>
      <c r="KBF84" s="1"/>
      <c r="KBG84" s="1"/>
      <c r="KBH84" s="1"/>
      <c r="KBI84" s="1"/>
      <c r="KBJ84" s="1"/>
      <c r="KBK84" s="1"/>
      <c r="KBL84" s="1"/>
      <c r="KBM84" s="1"/>
      <c r="KBN84" s="1"/>
      <c r="KBO84" s="1"/>
      <c r="KBP84" s="1"/>
      <c r="KBQ84" s="1"/>
      <c r="KBR84" s="1"/>
      <c r="KBS84" s="1"/>
      <c r="KBT84" s="1"/>
      <c r="KBU84" s="1"/>
      <c r="KBV84" s="1"/>
      <c r="KBW84" s="1"/>
      <c r="KBX84" s="1"/>
      <c r="KBY84" s="1"/>
      <c r="KBZ84" s="1"/>
      <c r="KCA84" s="1"/>
      <c r="KCB84" s="1"/>
      <c r="KCC84" s="1"/>
      <c r="KCD84" s="1"/>
      <c r="KCE84" s="1"/>
      <c r="KCF84" s="1"/>
      <c r="KCG84" s="1"/>
      <c r="KCH84" s="1"/>
      <c r="KCI84" s="1"/>
      <c r="KCJ84" s="1"/>
      <c r="KCK84" s="1"/>
      <c r="KCL84" s="1"/>
      <c r="KCM84" s="1"/>
      <c r="KCN84" s="1"/>
      <c r="KCO84" s="1"/>
      <c r="KCP84" s="1"/>
      <c r="KCQ84" s="1"/>
      <c r="KCR84" s="1"/>
      <c r="KCS84" s="1"/>
      <c r="KCT84" s="1"/>
      <c r="KCU84" s="1"/>
      <c r="KCV84" s="1"/>
      <c r="KCW84" s="1"/>
      <c r="KCX84" s="1"/>
      <c r="KCY84" s="1"/>
      <c r="KCZ84" s="1"/>
      <c r="KDA84" s="1"/>
      <c r="KDB84" s="1"/>
      <c r="KDC84" s="1"/>
      <c r="KDD84" s="1"/>
      <c r="KDE84" s="1"/>
      <c r="KDF84" s="1"/>
      <c r="KDG84" s="1"/>
      <c r="KDH84" s="1"/>
      <c r="KDI84" s="1"/>
      <c r="KDJ84" s="1"/>
      <c r="KDK84" s="1"/>
      <c r="KDL84" s="1"/>
      <c r="KDM84" s="1"/>
      <c r="KDN84" s="1"/>
      <c r="KDO84" s="1"/>
      <c r="KDP84" s="1"/>
      <c r="KDQ84" s="1"/>
      <c r="KDR84" s="1"/>
      <c r="KDS84" s="1"/>
      <c r="KDT84" s="1"/>
      <c r="KDU84" s="1"/>
      <c r="KDV84" s="1"/>
      <c r="KDW84" s="1"/>
      <c r="KDX84" s="1"/>
      <c r="KDY84" s="1"/>
      <c r="KDZ84" s="1"/>
      <c r="KEA84" s="1"/>
      <c r="KEB84" s="1"/>
      <c r="KEC84" s="1"/>
      <c r="KED84" s="1"/>
      <c r="KEE84" s="1"/>
      <c r="KEF84" s="1"/>
      <c r="KEG84" s="1"/>
      <c r="KEH84" s="1"/>
      <c r="KEI84" s="1"/>
      <c r="KEJ84" s="1"/>
      <c r="KEK84" s="1"/>
      <c r="KEL84" s="1"/>
      <c r="KEM84" s="1"/>
      <c r="KEN84" s="1"/>
      <c r="KEO84" s="1"/>
      <c r="KEP84" s="1"/>
      <c r="KEQ84" s="1"/>
      <c r="KER84" s="1"/>
      <c r="KES84" s="1"/>
      <c r="KET84" s="1"/>
      <c r="KEU84" s="1"/>
      <c r="KEV84" s="1"/>
      <c r="KEW84" s="1"/>
      <c r="KEX84" s="1"/>
      <c r="KEY84" s="1"/>
      <c r="KEZ84" s="1"/>
      <c r="KFA84" s="1"/>
      <c r="KFB84" s="1"/>
      <c r="KFC84" s="1"/>
      <c r="KFD84" s="1"/>
      <c r="KFE84" s="1"/>
      <c r="KFF84" s="1"/>
      <c r="KFG84" s="1"/>
      <c r="KFH84" s="1"/>
      <c r="KFI84" s="1"/>
      <c r="KFJ84" s="1"/>
      <c r="KFK84" s="1"/>
      <c r="KFL84" s="1"/>
      <c r="KFM84" s="1"/>
      <c r="KFN84" s="1"/>
      <c r="KFO84" s="1"/>
      <c r="KFP84" s="1"/>
      <c r="KFQ84" s="1"/>
      <c r="KFR84" s="1"/>
      <c r="KFS84" s="1"/>
      <c r="KFT84" s="1"/>
      <c r="KFU84" s="1"/>
      <c r="KFV84" s="1"/>
      <c r="KFW84" s="1"/>
      <c r="KFX84" s="1"/>
      <c r="KFY84" s="1"/>
      <c r="KFZ84" s="1"/>
      <c r="KGA84" s="1"/>
      <c r="KGB84" s="1"/>
      <c r="KGC84" s="1"/>
      <c r="KGD84" s="1"/>
      <c r="KGE84" s="1"/>
      <c r="KGF84" s="1"/>
      <c r="KGG84" s="1"/>
      <c r="KGH84" s="1"/>
      <c r="KGI84" s="1"/>
      <c r="KGJ84" s="1"/>
      <c r="KGK84" s="1"/>
      <c r="KGL84" s="1"/>
      <c r="KGM84" s="1"/>
      <c r="KGN84" s="1"/>
      <c r="KGO84" s="1"/>
      <c r="KGP84" s="1"/>
      <c r="KGQ84" s="1"/>
      <c r="KGR84" s="1"/>
      <c r="KGS84" s="1"/>
      <c r="KGT84" s="1"/>
      <c r="KGU84" s="1"/>
      <c r="KGV84" s="1"/>
      <c r="KGW84" s="1"/>
      <c r="KGX84" s="1"/>
      <c r="KGY84" s="1"/>
      <c r="KGZ84" s="1"/>
      <c r="KHA84" s="1"/>
      <c r="KHB84" s="1"/>
      <c r="KHC84" s="1"/>
      <c r="KHD84" s="1"/>
      <c r="KHE84" s="1"/>
      <c r="KHF84" s="1"/>
      <c r="KHG84" s="1"/>
      <c r="KHH84" s="1"/>
      <c r="KHI84" s="1"/>
      <c r="KHJ84" s="1"/>
      <c r="KHK84" s="1"/>
      <c r="KHL84" s="1"/>
      <c r="KHM84" s="1"/>
      <c r="KHN84" s="1"/>
      <c r="KHO84" s="1"/>
      <c r="KHP84" s="1"/>
      <c r="KHQ84" s="1"/>
      <c r="KHR84" s="1"/>
      <c r="KHS84" s="1"/>
      <c r="KHT84" s="1"/>
      <c r="KHU84" s="1"/>
      <c r="KHV84" s="1"/>
      <c r="KHW84" s="1"/>
      <c r="KHX84" s="1"/>
      <c r="KHY84" s="1"/>
      <c r="KHZ84" s="1"/>
      <c r="KIA84" s="1"/>
      <c r="KIB84" s="1"/>
      <c r="KIC84" s="1"/>
      <c r="KID84" s="1"/>
      <c r="KIE84" s="1"/>
      <c r="KIF84" s="1"/>
      <c r="KIG84" s="1"/>
      <c r="KIH84" s="1"/>
      <c r="KII84" s="1"/>
      <c r="KIJ84" s="1"/>
      <c r="KIK84" s="1"/>
      <c r="KIL84" s="1"/>
      <c r="KIM84" s="1"/>
      <c r="KIN84" s="1"/>
      <c r="KIO84" s="1"/>
      <c r="KIP84" s="1"/>
      <c r="KIQ84" s="1"/>
      <c r="KIR84" s="1"/>
      <c r="KIS84" s="1"/>
      <c r="KIT84" s="1"/>
      <c r="KIU84" s="1"/>
      <c r="KIV84" s="1"/>
      <c r="KIW84" s="1"/>
      <c r="KIX84" s="1"/>
      <c r="KIY84" s="1"/>
      <c r="KIZ84" s="1"/>
      <c r="KJA84" s="1"/>
      <c r="KJB84" s="1"/>
      <c r="KJC84" s="1"/>
      <c r="KJD84" s="1"/>
      <c r="KJE84" s="1"/>
      <c r="KJF84" s="1"/>
      <c r="KJG84" s="1"/>
      <c r="KJH84" s="1"/>
      <c r="KJI84" s="1"/>
      <c r="KJJ84" s="1"/>
      <c r="KJK84" s="1"/>
      <c r="KJL84" s="1"/>
      <c r="KJM84" s="1"/>
      <c r="KJN84" s="1"/>
      <c r="KJO84" s="1"/>
      <c r="KJP84" s="1"/>
      <c r="KJQ84" s="1"/>
      <c r="KJR84" s="1"/>
      <c r="KJS84" s="1"/>
      <c r="KJT84" s="1"/>
      <c r="KJU84" s="1"/>
      <c r="KJV84" s="1"/>
      <c r="KJW84" s="1"/>
      <c r="KJX84" s="1"/>
      <c r="KJY84" s="1"/>
      <c r="KJZ84" s="1"/>
      <c r="KKA84" s="1"/>
      <c r="KKB84" s="1"/>
      <c r="KKC84" s="1"/>
      <c r="KKD84" s="1"/>
      <c r="KKE84" s="1"/>
      <c r="KKF84" s="1"/>
      <c r="KKG84" s="1"/>
      <c r="KKH84" s="1"/>
      <c r="KKI84" s="1"/>
      <c r="KKJ84" s="1"/>
      <c r="KKK84" s="1"/>
      <c r="KKL84" s="1"/>
      <c r="KKM84" s="1"/>
      <c r="KKN84" s="1"/>
      <c r="KKO84" s="1"/>
      <c r="KKP84" s="1"/>
      <c r="KKQ84" s="1"/>
      <c r="KKR84" s="1"/>
      <c r="KKS84" s="1"/>
      <c r="KKT84" s="1"/>
      <c r="KKU84" s="1"/>
      <c r="KKV84" s="1"/>
      <c r="KKW84" s="1"/>
      <c r="KKX84" s="1"/>
      <c r="KKY84" s="1"/>
      <c r="KKZ84" s="1"/>
      <c r="KLA84" s="1"/>
      <c r="KLB84" s="1"/>
      <c r="KLC84" s="1"/>
      <c r="KLD84" s="1"/>
      <c r="KLE84" s="1"/>
      <c r="KLF84" s="1"/>
      <c r="KLG84" s="1"/>
      <c r="KLH84" s="1"/>
      <c r="KLI84" s="1"/>
      <c r="KLJ84" s="1"/>
      <c r="KLK84" s="1"/>
      <c r="KLL84" s="1"/>
      <c r="KLM84" s="1"/>
      <c r="KLN84" s="1"/>
      <c r="KLO84" s="1"/>
      <c r="KLP84" s="1"/>
      <c r="KLQ84" s="1"/>
      <c r="KLR84" s="1"/>
      <c r="KLS84" s="1"/>
      <c r="KLT84" s="1"/>
      <c r="KLU84" s="1"/>
      <c r="KLV84" s="1"/>
      <c r="KLW84" s="1"/>
      <c r="KLX84" s="1"/>
      <c r="KLY84" s="1"/>
      <c r="KLZ84" s="1"/>
      <c r="KMA84" s="1"/>
      <c r="KMB84" s="1"/>
      <c r="KMC84" s="1"/>
      <c r="KMD84" s="1"/>
      <c r="KME84" s="1"/>
      <c r="KMF84" s="1"/>
      <c r="KMG84" s="1"/>
      <c r="KMH84" s="1"/>
      <c r="KMI84" s="1"/>
      <c r="KMJ84" s="1"/>
      <c r="KMK84" s="1"/>
      <c r="KML84" s="1"/>
      <c r="KMM84" s="1"/>
      <c r="KMN84" s="1"/>
      <c r="KMO84" s="1"/>
      <c r="KMP84" s="1"/>
      <c r="KMQ84" s="1"/>
      <c r="KMR84" s="1"/>
      <c r="KMS84" s="1"/>
      <c r="KMT84" s="1"/>
      <c r="KMU84" s="1"/>
      <c r="KMV84" s="1"/>
      <c r="KMW84" s="1"/>
      <c r="KMX84" s="1"/>
      <c r="KMY84" s="1"/>
      <c r="KMZ84" s="1"/>
      <c r="KNA84" s="1"/>
      <c r="KNB84" s="1"/>
      <c r="KNC84" s="1"/>
      <c r="KND84" s="1"/>
      <c r="KNE84" s="1"/>
      <c r="KNF84" s="1"/>
      <c r="KNG84" s="1"/>
      <c r="KNH84" s="1"/>
      <c r="KNI84" s="1"/>
      <c r="KNJ84" s="1"/>
      <c r="KNK84" s="1"/>
      <c r="KNL84" s="1"/>
      <c r="KNM84" s="1"/>
      <c r="KNN84" s="1"/>
      <c r="KNO84" s="1"/>
      <c r="KNP84" s="1"/>
      <c r="KNQ84" s="1"/>
      <c r="KNR84" s="1"/>
      <c r="KNS84" s="1"/>
      <c r="KNT84" s="1"/>
      <c r="KNU84" s="1"/>
      <c r="KNV84" s="1"/>
      <c r="KNW84" s="1"/>
      <c r="KNX84" s="1"/>
      <c r="KNY84" s="1"/>
      <c r="KNZ84" s="1"/>
      <c r="KOA84" s="1"/>
      <c r="KOB84" s="1"/>
      <c r="KOC84" s="1"/>
      <c r="KOD84" s="1"/>
      <c r="KOE84" s="1"/>
      <c r="KOF84" s="1"/>
      <c r="KOG84" s="1"/>
      <c r="KOH84" s="1"/>
      <c r="KOI84" s="1"/>
      <c r="KOJ84" s="1"/>
      <c r="KOK84" s="1"/>
      <c r="KOL84" s="1"/>
      <c r="KOM84" s="1"/>
      <c r="KON84" s="1"/>
      <c r="KOO84" s="1"/>
      <c r="KOP84" s="1"/>
      <c r="KOQ84" s="1"/>
      <c r="KOR84" s="1"/>
      <c r="KOS84" s="1"/>
      <c r="KOT84" s="1"/>
      <c r="KOU84" s="1"/>
      <c r="KOV84" s="1"/>
      <c r="KOW84" s="1"/>
      <c r="KOX84" s="1"/>
      <c r="KOY84" s="1"/>
      <c r="KOZ84" s="1"/>
      <c r="KPA84" s="1"/>
      <c r="KPB84" s="1"/>
      <c r="KPC84" s="1"/>
      <c r="KPD84" s="1"/>
      <c r="KPE84" s="1"/>
      <c r="KPF84" s="1"/>
      <c r="KPG84" s="1"/>
      <c r="KPH84" s="1"/>
      <c r="KPI84" s="1"/>
      <c r="KPJ84" s="1"/>
      <c r="KPK84" s="1"/>
      <c r="KPL84" s="1"/>
      <c r="KPM84" s="1"/>
      <c r="KPN84" s="1"/>
      <c r="KPO84" s="1"/>
      <c r="KPP84" s="1"/>
      <c r="KPQ84" s="1"/>
      <c r="KPR84" s="1"/>
      <c r="KPS84" s="1"/>
      <c r="KPT84" s="1"/>
      <c r="KPU84" s="1"/>
      <c r="KPV84" s="1"/>
      <c r="KPW84" s="1"/>
      <c r="KPX84" s="1"/>
      <c r="KPY84" s="1"/>
      <c r="KPZ84" s="1"/>
      <c r="KQA84" s="1"/>
      <c r="KQB84" s="1"/>
      <c r="KQC84" s="1"/>
      <c r="KQD84" s="1"/>
      <c r="KQE84" s="1"/>
      <c r="KQF84" s="1"/>
      <c r="KQG84" s="1"/>
      <c r="KQH84" s="1"/>
      <c r="KQI84" s="1"/>
      <c r="KQJ84" s="1"/>
      <c r="KQK84" s="1"/>
      <c r="KQL84" s="1"/>
      <c r="KQM84" s="1"/>
      <c r="KQN84" s="1"/>
      <c r="KQO84" s="1"/>
      <c r="KQP84" s="1"/>
      <c r="KQQ84" s="1"/>
      <c r="KQR84" s="1"/>
      <c r="KQS84" s="1"/>
      <c r="KQT84" s="1"/>
      <c r="KQU84" s="1"/>
      <c r="KQV84" s="1"/>
      <c r="KQW84" s="1"/>
      <c r="KQX84" s="1"/>
      <c r="KQY84" s="1"/>
      <c r="KQZ84" s="1"/>
      <c r="KRA84" s="1"/>
      <c r="KRB84" s="1"/>
      <c r="KRC84" s="1"/>
      <c r="KRD84" s="1"/>
      <c r="KRE84" s="1"/>
      <c r="KRF84" s="1"/>
      <c r="KRG84" s="1"/>
      <c r="KRH84" s="1"/>
      <c r="KRI84" s="1"/>
      <c r="KRJ84" s="1"/>
      <c r="KRK84" s="1"/>
      <c r="KRL84" s="1"/>
      <c r="KRM84" s="1"/>
      <c r="KRN84" s="1"/>
      <c r="KRO84" s="1"/>
      <c r="KRP84" s="1"/>
      <c r="KRQ84" s="1"/>
      <c r="KRR84" s="1"/>
      <c r="KRS84" s="1"/>
      <c r="KRT84" s="1"/>
      <c r="KRU84" s="1"/>
      <c r="KRV84" s="1"/>
      <c r="KRW84" s="1"/>
      <c r="KRX84" s="1"/>
      <c r="KRY84" s="1"/>
      <c r="KRZ84" s="1"/>
      <c r="KSA84" s="1"/>
      <c r="KSB84" s="1"/>
      <c r="KSC84" s="1"/>
      <c r="KSD84" s="1"/>
      <c r="KSE84" s="1"/>
      <c r="KSF84" s="1"/>
      <c r="KSG84" s="1"/>
      <c r="KSH84" s="1"/>
      <c r="KSI84" s="1"/>
      <c r="KSJ84" s="1"/>
      <c r="KSK84" s="1"/>
      <c r="KSL84" s="1"/>
      <c r="KSM84" s="1"/>
      <c r="KSN84" s="1"/>
      <c r="KSO84" s="1"/>
      <c r="KSP84" s="1"/>
      <c r="KSQ84" s="1"/>
      <c r="KSR84" s="1"/>
      <c r="KSS84" s="1"/>
      <c r="KST84" s="1"/>
      <c r="KSU84" s="1"/>
      <c r="KSV84" s="1"/>
      <c r="KSW84" s="1"/>
      <c r="KSX84" s="1"/>
      <c r="KSY84" s="1"/>
      <c r="KSZ84" s="1"/>
      <c r="KTA84" s="1"/>
      <c r="KTB84" s="1"/>
      <c r="KTC84" s="1"/>
      <c r="KTD84" s="1"/>
      <c r="KTE84" s="1"/>
      <c r="KTF84" s="1"/>
      <c r="KTG84" s="1"/>
      <c r="KTH84" s="1"/>
      <c r="KTI84" s="1"/>
      <c r="KTJ84" s="1"/>
      <c r="KTK84" s="1"/>
      <c r="KTL84" s="1"/>
      <c r="KTM84" s="1"/>
      <c r="KTN84" s="1"/>
      <c r="KTO84" s="1"/>
      <c r="KTP84" s="1"/>
      <c r="KTQ84" s="1"/>
      <c r="KTR84" s="1"/>
      <c r="KTS84" s="1"/>
      <c r="KTT84" s="1"/>
      <c r="KTU84" s="1"/>
      <c r="KTV84" s="1"/>
      <c r="KTW84" s="1"/>
      <c r="KTX84" s="1"/>
      <c r="KTY84" s="1"/>
      <c r="KTZ84" s="1"/>
      <c r="KUA84" s="1"/>
      <c r="KUB84" s="1"/>
      <c r="KUC84" s="1"/>
      <c r="KUD84" s="1"/>
      <c r="KUE84" s="1"/>
      <c r="KUF84" s="1"/>
      <c r="KUG84" s="1"/>
      <c r="KUH84" s="1"/>
      <c r="KUI84" s="1"/>
      <c r="KUJ84" s="1"/>
      <c r="KUK84" s="1"/>
      <c r="KUL84" s="1"/>
      <c r="KUM84" s="1"/>
      <c r="KUN84" s="1"/>
      <c r="KUO84" s="1"/>
      <c r="KUP84" s="1"/>
      <c r="KUQ84" s="1"/>
      <c r="KUR84" s="1"/>
      <c r="KUS84" s="1"/>
      <c r="KUT84" s="1"/>
      <c r="KUU84" s="1"/>
      <c r="KUV84" s="1"/>
      <c r="KUW84" s="1"/>
      <c r="KUX84" s="1"/>
      <c r="KUY84" s="1"/>
      <c r="KUZ84" s="1"/>
      <c r="KVA84" s="1"/>
      <c r="KVB84" s="1"/>
      <c r="KVC84" s="1"/>
      <c r="KVD84" s="1"/>
      <c r="KVE84" s="1"/>
      <c r="KVF84" s="1"/>
      <c r="KVG84" s="1"/>
      <c r="KVH84" s="1"/>
      <c r="KVI84" s="1"/>
      <c r="KVJ84" s="1"/>
      <c r="KVK84" s="1"/>
      <c r="KVL84" s="1"/>
      <c r="KVM84" s="1"/>
      <c r="KVN84" s="1"/>
      <c r="KVO84" s="1"/>
      <c r="KVP84" s="1"/>
      <c r="KVQ84" s="1"/>
      <c r="KVR84" s="1"/>
      <c r="KVS84" s="1"/>
      <c r="KVT84" s="1"/>
      <c r="KVU84" s="1"/>
      <c r="KVV84" s="1"/>
      <c r="KVW84" s="1"/>
      <c r="KVX84" s="1"/>
      <c r="KVY84" s="1"/>
      <c r="KVZ84" s="1"/>
      <c r="KWA84" s="1"/>
      <c r="KWB84" s="1"/>
      <c r="KWC84" s="1"/>
      <c r="KWD84" s="1"/>
      <c r="KWE84" s="1"/>
      <c r="KWF84" s="1"/>
      <c r="KWG84" s="1"/>
      <c r="KWH84" s="1"/>
      <c r="KWI84" s="1"/>
      <c r="KWJ84" s="1"/>
      <c r="KWK84" s="1"/>
      <c r="KWL84" s="1"/>
      <c r="KWM84" s="1"/>
      <c r="KWN84" s="1"/>
      <c r="KWO84" s="1"/>
      <c r="KWP84" s="1"/>
      <c r="KWQ84" s="1"/>
      <c r="KWR84" s="1"/>
      <c r="KWS84" s="1"/>
      <c r="KWT84" s="1"/>
      <c r="KWU84" s="1"/>
      <c r="KWV84" s="1"/>
      <c r="KWW84" s="1"/>
      <c r="KWX84" s="1"/>
      <c r="KWY84" s="1"/>
      <c r="KWZ84" s="1"/>
      <c r="KXA84" s="1"/>
      <c r="KXB84" s="1"/>
      <c r="KXC84" s="1"/>
      <c r="KXD84" s="1"/>
      <c r="KXE84" s="1"/>
      <c r="KXF84" s="1"/>
      <c r="KXG84" s="1"/>
      <c r="KXH84" s="1"/>
      <c r="KXI84" s="1"/>
      <c r="KXJ84" s="1"/>
      <c r="KXK84" s="1"/>
      <c r="KXL84" s="1"/>
      <c r="KXM84" s="1"/>
      <c r="KXN84" s="1"/>
      <c r="KXO84" s="1"/>
      <c r="KXP84" s="1"/>
      <c r="KXQ84" s="1"/>
      <c r="KXR84" s="1"/>
      <c r="KXS84" s="1"/>
      <c r="KXT84" s="1"/>
      <c r="KXU84" s="1"/>
      <c r="KXV84" s="1"/>
      <c r="KXW84" s="1"/>
      <c r="KXX84" s="1"/>
      <c r="KXY84" s="1"/>
      <c r="KXZ84" s="1"/>
      <c r="KYA84" s="1"/>
      <c r="KYB84" s="1"/>
      <c r="KYC84" s="1"/>
      <c r="KYD84" s="1"/>
      <c r="KYE84" s="1"/>
      <c r="KYF84" s="1"/>
      <c r="KYG84" s="1"/>
      <c r="KYH84" s="1"/>
      <c r="KYI84" s="1"/>
      <c r="KYJ84" s="1"/>
      <c r="KYK84" s="1"/>
      <c r="KYL84" s="1"/>
      <c r="KYM84" s="1"/>
      <c r="KYN84" s="1"/>
      <c r="KYO84" s="1"/>
      <c r="KYP84" s="1"/>
      <c r="KYQ84" s="1"/>
      <c r="KYR84" s="1"/>
      <c r="KYS84" s="1"/>
      <c r="KYT84" s="1"/>
      <c r="KYU84" s="1"/>
      <c r="KYV84" s="1"/>
      <c r="KYW84" s="1"/>
      <c r="KYX84" s="1"/>
      <c r="KYY84" s="1"/>
      <c r="KYZ84" s="1"/>
      <c r="KZA84" s="1"/>
      <c r="KZB84" s="1"/>
      <c r="KZC84" s="1"/>
      <c r="KZD84" s="1"/>
      <c r="KZE84" s="1"/>
      <c r="KZF84" s="1"/>
      <c r="KZG84" s="1"/>
      <c r="KZH84" s="1"/>
      <c r="KZI84" s="1"/>
      <c r="KZJ84" s="1"/>
      <c r="KZK84" s="1"/>
      <c r="KZL84" s="1"/>
      <c r="KZM84" s="1"/>
      <c r="KZN84" s="1"/>
      <c r="KZO84" s="1"/>
      <c r="KZP84" s="1"/>
      <c r="KZQ84" s="1"/>
      <c r="KZR84" s="1"/>
      <c r="KZS84" s="1"/>
      <c r="KZT84" s="1"/>
      <c r="KZU84" s="1"/>
      <c r="KZV84" s="1"/>
      <c r="KZW84" s="1"/>
      <c r="KZX84" s="1"/>
      <c r="KZY84" s="1"/>
      <c r="KZZ84" s="1"/>
      <c r="LAA84" s="1"/>
      <c r="LAB84" s="1"/>
      <c r="LAC84" s="1"/>
      <c r="LAD84" s="1"/>
      <c r="LAE84" s="1"/>
      <c r="LAF84" s="1"/>
      <c r="LAG84" s="1"/>
      <c r="LAH84" s="1"/>
      <c r="LAI84" s="1"/>
      <c r="LAJ84" s="1"/>
      <c r="LAK84" s="1"/>
      <c r="LAL84" s="1"/>
      <c r="LAM84" s="1"/>
      <c r="LAN84" s="1"/>
      <c r="LAO84" s="1"/>
      <c r="LAP84" s="1"/>
      <c r="LAQ84" s="1"/>
      <c r="LAR84" s="1"/>
      <c r="LAS84" s="1"/>
      <c r="LAT84" s="1"/>
      <c r="LAU84" s="1"/>
      <c r="LAV84" s="1"/>
      <c r="LAW84" s="1"/>
      <c r="LAX84" s="1"/>
      <c r="LAY84" s="1"/>
      <c r="LAZ84" s="1"/>
      <c r="LBA84" s="1"/>
      <c r="LBB84" s="1"/>
      <c r="LBC84" s="1"/>
      <c r="LBD84" s="1"/>
      <c r="LBE84" s="1"/>
      <c r="LBF84" s="1"/>
      <c r="LBG84" s="1"/>
      <c r="LBH84" s="1"/>
      <c r="LBI84" s="1"/>
      <c r="LBJ84" s="1"/>
      <c r="LBK84" s="1"/>
      <c r="LBL84" s="1"/>
      <c r="LBM84" s="1"/>
      <c r="LBN84" s="1"/>
      <c r="LBO84" s="1"/>
      <c r="LBP84" s="1"/>
      <c r="LBQ84" s="1"/>
      <c r="LBR84" s="1"/>
      <c r="LBS84" s="1"/>
      <c r="LBT84" s="1"/>
      <c r="LBU84" s="1"/>
      <c r="LBV84" s="1"/>
      <c r="LBW84" s="1"/>
      <c r="LBX84" s="1"/>
      <c r="LBY84" s="1"/>
      <c r="LBZ84" s="1"/>
      <c r="LCA84" s="1"/>
      <c r="LCB84" s="1"/>
      <c r="LCC84" s="1"/>
      <c r="LCD84" s="1"/>
      <c r="LCE84" s="1"/>
      <c r="LCF84" s="1"/>
      <c r="LCG84" s="1"/>
      <c r="LCH84" s="1"/>
      <c r="LCI84" s="1"/>
      <c r="LCJ84" s="1"/>
      <c r="LCK84" s="1"/>
      <c r="LCL84" s="1"/>
      <c r="LCM84" s="1"/>
      <c r="LCN84" s="1"/>
      <c r="LCO84" s="1"/>
      <c r="LCP84" s="1"/>
      <c r="LCQ84" s="1"/>
      <c r="LCR84" s="1"/>
      <c r="LCS84" s="1"/>
      <c r="LCT84" s="1"/>
      <c r="LCU84" s="1"/>
      <c r="LCV84" s="1"/>
      <c r="LCW84" s="1"/>
      <c r="LCX84" s="1"/>
      <c r="LCY84" s="1"/>
      <c r="LCZ84" s="1"/>
      <c r="LDA84" s="1"/>
      <c r="LDB84" s="1"/>
      <c r="LDC84" s="1"/>
      <c r="LDD84" s="1"/>
      <c r="LDE84" s="1"/>
      <c r="LDF84" s="1"/>
      <c r="LDG84" s="1"/>
      <c r="LDH84" s="1"/>
      <c r="LDI84" s="1"/>
      <c r="LDJ84" s="1"/>
      <c r="LDK84" s="1"/>
      <c r="LDL84" s="1"/>
      <c r="LDM84" s="1"/>
      <c r="LDN84" s="1"/>
      <c r="LDO84" s="1"/>
      <c r="LDP84" s="1"/>
      <c r="LDQ84" s="1"/>
      <c r="LDR84" s="1"/>
      <c r="LDS84" s="1"/>
      <c r="LDT84" s="1"/>
      <c r="LDU84" s="1"/>
      <c r="LDV84" s="1"/>
      <c r="LDW84" s="1"/>
      <c r="LDX84" s="1"/>
      <c r="LDY84" s="1"/>
      <c r="LDZ84" s="1"/>
      <c r="LEA84" s="1"/>
      <c r="LEB84" s="1"/>
      <c r="LEC84" s="1"/>
      <c r="LED84" s="1"/>
      <c r="LEE84" s="1"/>
      <c r="LEF84" s="1"/>
      <c r="LEG84" s="1"/>
      <c r="LEH84" s="1"/>
      <c r="LEI84" s="1"/>
      <c r="LEJ84" s="1"/>
      <c r="LEK84" s="1"/>
      <c r="LEL84" s="1"/>
      <c r="LEM84" s="1"/>
      <c r="LEN84" s="1"/>
      <c r="LEO84" s="1"/>
      <c r="LEP84" s="1"/>
      <c r="LEQ84" s="1"/>
      <c r="LER84" s="1"/>
      <c r="LES84" s="1"/>
      <c r="LET84" s="1"/>
      <c r="LEU84" s="1"/>
      <c r="LEV84" s="1"/>
      <c r="LEW84" s="1"/>
      <c r="LEX84" s="1"/>
      <c r="LEY84" s="1"/>
      <c r="LEZ84" s="1"/>
      <c r="LFA84" s="1"/>
      <c r="LFB84" s="1"/>
      <c r="LFC84" s="1"/>
      <c r="LFD84" s="1"/>
      <c r="LFE84" s="1"/>
      <c r="LFF84" s="1"/>
      <c r="LFG84" s="1"/>
      <c r="LFH84" s="1"/>
      <c r="LFI84" s="1"/>
      <c r="LFJ84" s="1"/>
      <c r="LFK84" s="1"/>
      <c r="LFL84" s="1"/>
      <c r="LFM84" s="1"/>
      <c r="LFN84" s="1"/>
      <c r="LFO84" s="1"/>
      <c r="LFP84" s="1"/>
      <c r="LFQ84" s="1"/>
      <c r="LFR84" s="1"/>
      <c r="LFS84" s="1"/>
      <c r="LFT84" s="1"/>
      <c r="LFU84" s="1"/>
      <c r="LFV84" s="1"/>
      <c r="LFW84" s="1"/>
      <c r="LFX84" s="1"/>
      <c r="LFY84" s="1"/>
      <c r="LFZ84" s="1"/>
      <c r="LGA84" s="1"/>
      <c r="LGB84" s="1"/>
      <c r="LGC84" s="1"/>
      <c r="LGD84" s="1"/>
      <c r="LGE84" s="1"/>
      <c r="LGF84" s="1"/>
      <c r="LGG84" s="1"/>
      <c r="LGH84" s="1"/>
      <c r="LGI84" s="1"/>
      <c r="LGJ84" s="1"/>
      <c r="LGK84" s="1"/>
      <c r="LGL84" s="1"/>
      <c r="LGM84" s="1"/>
      <c r="LGN84" s="1"/>
      <c r="LGO84" s="1"/>
      <c r="LGP84" s="1"/>
      <c r="LGQ84" s="1"/>
      <c r="LGR84" s="1"/>
      <c r="LGS84" s="1"/>
      <c r="LGT84" s="1"/>
      <c r="LGU84" s="1"/>
      <c r="LGV84" s="1"/>
      <c r="LGW84" s="1"/>
      <c r="LGX84" s="1"/>
      <c r="LGY84" s="1"/>
      <c r="LGZ84" s="1"/>
      <c r="LHA84" s="1"/>
      <c r="LHB84" s="1"/>
      <c r="LHC84" s="1"/>
      <c r="LHD84" s="1"/>
      <c r="LHE84" s="1"/>
      <c r="LHF84" s="1"/>
      <c r="LHG84" s="1"/>
      <c r="LHH84" s="1"/>
      <c r="LHI84" s="1"/>
      <c r="LHJ84" s="1"/>
      <c r="LHK84" s="1"/>
      <c r="LHL84" s="1"/>
      <c r="LHM84" s="1"/>
      <c r="LHN84" s="1"/>
      <c r="LHO84" s="1"/>
      <c r="LHP84" s="1"/>
      <c r="LHQ84" s="1"/>
      <c r="LHR84" s="1"/>
      <c r="LHS84" s="1"/>
      <c r="LHT84" s="1"/>
      <c r="LHU84" s="1"/>
      <c r="LHV84" s="1"/>
      <c r="LHW84" s="1"/>
      <c r="LHX84" s="1"/>
      <c r="LHY84" s="1"/>
      <c r="LHZ84" s="1"/>
      <c r="LIA84" s="1"/>
      <c r="LIB84" s="1"/>
      <c r="LIC84" s="1"/>
      <c r="LID84" s="1"/>
      <c r="LIE84" s="1"/>
      <c r="LIF84" s="1"/>
      <c r="LIG84" s="1"/>
      <c r="LIH84" s="1"/>
      <c r="LII84" s="1"/>
      <c r="LIJ84" s="1"/>
      <c r="LIK84" s="1"/>
      <c r="LIL84" s="1"/>
      <c r="LIM84" s="1"/>
      <c r="LIN84" s="1"/>
      <c r="LIO84" s="1"/>
      <c r="LIP84" s="1"/>
      <c r="LIQ84" s="1"/>
      <c r="LIR84" s="1"/>
      <c r="LIS84" s="1"/>
      <c r="LIT84" s="1"/>
      <c r="LIU84" s="1"/>
      <c r="LIV84" s="1"/>
      <c r="LIW84" s="1"/>
      <c r="LIX84" s="1"/>
      <c r="LIY84" s="1"/>
      <c r="LIZ84" s="1"/>
      <c r="LJA84" s="1"/>
      <c r="LJB84" s="1"/>
      <c r="LJC84" s="1"/>
      <c r="LJD84" s="1"/>
      <c r="LJE84" s="1"/>
      <c r="LJF84" s="1"/>
      <c r="LJG84" s="1"/>
      <c r="LJH84" s="1"/>
      <c r="LJI84" s="1"/>
      <c r="LJJ84" s="1"/>
      <c r="LJK84" s="1"/>
      <c r="LJL84" s="1"/>
      <c r="LJM84" s="1"/>
      <c r="LJN84" s="1"/>
      <c r="LJO84" s="1"/>
      <c r="LJP84" s="1"/>
      <c r="LJQ84" s="1"/>
      <c r="LJR84" s="1"/>
      <c r="LJS84" s="1"/>
      <c r="LJT84" s="1"/>
      <c r="LJU84" s="1"/>
      <c r="LJV84" s="1"/>
      <c r="LJW84" s="1"/>
      <c r="LJX84" s="1"/>
      <c r="LJY84" s="1"/>
      <c r="LJZ84" s="1"/>
      <c r="LKA84" s="1"/>
      <c r="LKB84" s="1"/>
      <c r="LKC84" s="1"/>
      <c r="LKD84" s="1"/>
      <c r="LKE84" s="1"/>
      <c r="LKF84" s="1"/>
      <c r="LKG84" s="1"/>
      <c r="LKH84" s="1"/>
      <c r="LKI84" s="1"/>
      <c r="LKJ84" s="1"/>
      <c r="LKK84" s="1"/>
      <c r="LKL84" s="1"/>
      <c r="LKM84" s="1"/>
      <c r="LKN84" s="1"/>
      <c r="LKO84" s="1"/>
      <c r="LKP84" s="1"/>
      <c r="LKQ84" s="1"/>
      <c r="LKR84" s="1"/>
      <c r="LKS84" s="1"/>
      <c r="LKT84" s="1"/>
      <c r="LKU84" s="1"/>
      <c r="LKV84" s="1"/>
      <c r="LKW84" s="1"/>
      <c r="LKX84" s="1"/>
      <c r="LKY84" s="1"/>
      <c r="LKZ84" s="1"/>
      <c r="LLA84" s="1"/>
      <c r="LLB84" s="1"/>
      <c r="LLC84" s="1"/>
      <c r="LLD84" s="1"/>
      <c r="LLE84" s="1"/>
      <c r="LLF84" s="1"/>
      <c r="LLG84" s="1"/>
      <c r="LLH84" s="1"/>
      <c r="LLI84" s="1"/>
      <c r="LLJ84" s="1"/>
      <c r="LLK84" s="1"/>
      <c r="LLL84" s="1"/>
      <c r="LLM84" s="1"/>
      <c r="LLN84" s="1"/>
      <c r="LLO84" s="1"/>
      <c r="LLP84" s="1"/>
      <c r="LLQ84" s="1"/>
      <c r="LLR84" s="1"/>
      <c r="LLS84" s="1"/>
      <c r="LLT84" s="1"/>
      <c r="LLU84" s="1"/>
      <c r="LLV84" s="1"/>
      <c r="LLW84" s="1"/>
      <c r="LLX84" s="1"/>
      <c r="LLY84" s="1"/>
      <c r="LLZ84" s="1"/>
      <c r="LMA84" s="1"/>
      <c r="LMB84" s="1"/>
      <c r="LMC84" s="1"/>
      <c r="LMD84" s="1"/>
      <c r="LME84" s="1"/>
      <c r="LMF84" s="1"/>
      <c r="LMG84" s="1"/>
      <c r="LMH84" s="1"/>
      <c r="LMI84" s="1"/>
      <c r="LMJ84" s="1"/>
      <c r="LMK84" s="1"/>
      <c r="LML84" s="1"/>
      <c r="LMM84" s="1"/>
      <c r="LMN84" s="1"/>
      <c r="LMO84" s="1"/>
      <c r="LMP84" s="1"/>
      <c r="LMQ84" s="1"/>
      <c r="LMR84" s="1"/>
      <c r="LMS84" s="1"/>
      <c r="LMT84" s="1"/>
      <c r="LMU84" s="1"/>
      <c r="LMV84" s="1"/>
      <c r="LMW84" s="1"/>
      <c r="LMX84" s="1"/>
      <c r="LMY84" s="1"/>
      <c r="LMZ84" s="1"/>
      <c r="LNA84" s="1"/>
      <c r="LNB84" s="1"/>
      <c r="LNC84" s="1"/>
      <c r="LND84" s="1"/>
      <c r="LNE84" s="1"/>
      <c r="LNF84" s="1"/>
      <c r="LNG84" s="1"/>
      <c r="LNH84" s="1"/>
      <c r="LNI84" s="1"/>
      <c r="LNJ84" s="1"/>
      <c r="LNK84" s="1"/>
      <c r="LNL84" s="1"/>
      <c r="LNM84" s="1"/>
      <c r="LNN84" s="1"/>
      <c r="LNO84" s="1"/>
      <c r="LNP84" s="1"/>
      <c r="LNQ84" s="1"/>
      <c r="LNR84" s="1"/>
      <c r="LNS84" s="1"/>
      <c r="LNT84" s="1"/>
      <c r="LNU84" s="1"/>
      <c r="LNV84" s="1"/>
      <c r="LNW84" s="1"/>
      <c r="LNX84" s="1"/>
      <c r="LNY84" s="1"/>
      <c r="LNZ84" s="1"/>
      <c r="LOA84" s="1"/>
      <c r="LOB84" s="1"/>
      <c r="LOC84" s="1"/>
      <c r="LOD84" s="1"/>
      <c r="LOE84" s="1"/>
      <c r="LOF84" s="1"/>
      <c r="LOG84" s="1"/>
      <c r="LOH84" s="1"/>
      <c r="LOI84" s="1"/>
      <c r="LOJ84" s="1"/>
      <c r="LOK84" s="1"/>
      <c r="LOL84" s="1"/>
      <c r="LOM84" s="1"/>
      <c r="LON84" s="1"/>
      <c r="LOO84" s="1"/>
      <c r="LOP84" s="1"/>
      <c r="LOQ84" s="1"/>
      <c r="LOR84" s="1"/>
      <c r="LOS84" s="1"/>
      <c r="LOT84" s="1"/>
      <c r="LOU84" s="1"/>
      <c r="LOV84" s="1"/>
      <c r="LOW84" s="1"/>
      <c r="LOX84" s="1"/>
      <c r="LOY84" s="1"/>
      <c r="LOZ84" s="1"/>
      <c r="LPA84" s="1"/>
      <c r="LPB84" s="1"/>
      <c r="LPC84" s="1"/>
      <c r="LPD84" s="1"/>
      <c r="LPE84" s="1"/>
      <c r="LPF84" s="1"/>
      <c r="LPG84" s="1"/>
      <c r="LPH84" s="1"/>
      <c r="LPI84" s="1"/>
      <c r="LPJ84" s="1"/>
      <c r="LPK84" s="1"/>
      <c r="LPL84" s="1"/>
      <c r="LPM84" s="1"/>
      <c r="LPN84" s="1"/>
      <c r="LPO84" s="1"/>
      <c r="LPP84" s="1"/>
      <c r="LPQ84" s="1"/>
      <c r="LPR84" s="1"/>
      <c r="LPS84" s="1"/>
      <c r="LPT84" s="1"/>
      <c r="LPU84" s="1"/>
      <c r="LPV84" s="1"/>
      <c r="LPW84" s="1"/>
      <c r="LPX84" s="1"/>
      <c r="LPY84" s="1"/>
      <c r="LPZ84" s="1"/>
      <c r="LQA84" s="1"/>
      <c r="LQB84" s="1"/>
      <c r="LQC84" s="1"/>
      <c r="LQD84" s="1"/>
      <c r="LQE84" s="1"/>
      <c r="LQF84" s="1"/>
      <c r="LQG84" s="1"/>
      <c r="LQH84" s="1"/>
      <c r="LQI84" s="1"/>
      <c r="LQJ84" s="1"/>
      <c r="LQK84" s="1"/>
      <c r="LQL84" s="1"/>
      <c r="LQM84" s="1"/>
      <c r="LQN84" s="1"/>
      <c r="LQO84" s="1"/>
      <c r="LQP84" s="1"/>
      <c r="LQQ84" s="1"/>
      <c r="LQR84" s="1"/>
      <c r="LQS84" s="1"/>
      <c r="LQT84" s="1"/>
      <c r="LQU84" s="1"/>
      <c r="LQV84" s="1"/>
      <c r="LQW84" s="1"/>
      <c r="LQX84" s="1"/>
      <c r="LQY84" s="1"/>
      <c r="LQZ84" s="1"/>
      <c r="LRA84" s="1"/>
      <c r="LRB84" s="1"/>
      <c r="LRC84" s="1"/>
      <c r="LRD84" s="1"/>
      <c r="LRE84" s="1"/>
      <c r="LRF84" s="1"/>
      <c r="LRG84" s="1"/>
      <c r="LRH84" s="1"/>
      <c r="LRI84" s="1"/>
      <c r="LRJ84" s="1"/>
      <c r="LRK84" s="1"/>
      <c r="LRL84" s="1"/>
      <c r="LRM84" s="1"/>
      <c r="LRN84" s="1"/>
      <c r="LRO84" s="1"/>
      <c r="LRP84" s="1"/>
      <c r="LRQ84" s="1"/>
      <c r="LRR84" s="1"/>
      <c r="LRS84" s="1"/>
      <c r="LRT84" s="1"/>
      <c r="LRU84" s="1"/>
      <c r="LRV84" s="1"/>
      <c r="LRW84" s="1"/>
      <c r="LRX84" s="1"/>
      <c r="LRY84" s="1"/>
      <c r="LRZ84" s="1"/>
      <c r="LSA84" s="1"/>
      <c r="LSB84" s="1"/>
      <c r="LSC84" s="1"/>
      <c r="LSD84" s="1"/>
      <c r="LSE84" s="1"/>
      <c r="LSF84" s="1"/>
      <c r="LSG84" s="1"/>
      <c r="LSH84" s="1"/>
      <c r="LSI84" s="1"/>
      <c r="LSJ84" s="1"/>
      <c r="LSK84" s="1"/>
      <c r="LSL84" s="1"/>
      <c r="LSM84" s="1"/>
      <c r="LSN84" s="1"/>
      <c r="LSO84" s="1"/>
      <c r="LSP84" s="1"/>
      <c r="LSQ84" s="1"/>
      <c r="LSR84" s="1"/>
      <c r="LSS84" s="1"/>
      <c r="LST84" s="1"/>
      <c r="LSU84" s="1"/>
      <c r="LSV84" s="1"/>
      <c r="LSW84" s="1"/>
      <c r="LSX84" s="1"/>
      <c r="LSY84" s="1"/>
      <c r="LSZ84" s="1"/>
      <c r="LTA84" s="1"/>
      <c r="LTB84" s="1"/>
      <c r="LTC84" s="1"/>
      <c r="LTD84" s="1"/>
      <c r="LTE84" s="1"/>
      <c r="LTF84" s="1"/>
      <c r="LTG84" s="1"/>
      <c r="LTH84" s="1"/>
      <c r="LTI84" s="1"/>
      <c r="LTJ84" s="1"/>
      <c r="LTK84" s="1"/>
      <c r="LTL84" s="1"/>
      <c r="LTM84" s="1"/>
      <c r="LTN84" s="1"/>
      <c r="LTO84" s="1"/>
      <c r="LTP84" s="1"/>
      <c r="LTQ84" s="1"/>
      <c r="LTR84" s="1"/>
      <c r="LTS84" s="1"/>
      <c r="LTT84" s="1"/>
      <c r="LTU84" s="1"/>
      <c r="LTV84" s="1"/>
      <c r="LTW84" s="1"/>
      <c r="LTX84" s="1"/>
      <c r="LTY84" s="1"/>
      <c r="LTZ84" s="1"/>
      <c r="LUA84" s="1"/>
      <c r="LUB84" s="1"/>
      <c r="LUC84" s="1"/>
      <c r="LUD84" s="1"/>
      <c r="LUE84" s="1"/>
      <c r="LUF84" s="1"/>
      <c r="LUG84" s="1"/>
      <c r="LUH84" s="1"/>
      <c r="LUI84" s="1"/>
      <c r="LUJ84" s="1"/>
      <c r="LUK84" s="1"/>
      <c r="LUL84" s="1"/>
      <c r="LUM84" s="1"/>
      <c r="LUN84" s="1"/>
      <c r="LUO84" s="1"/>
      <c r="LUP84" s="1"/>
      <c r="LUQ84" s="1"/>
      <c r="LUR84" s="1"/>
      <c r="LUS84" s="1"/>
      <c r="LUT84" s="1"/>
      <c r="LUU84" s="1"/>
      <c r="LUV84" s="1"/>
      <c r="LUW84" s="1"/>
      <c r="LUX84" s="1"/>
      <c r="LUY84" s="1"/>
      <c r="LUZ84" s="1"/>
      <c r="LVA84" s="1"/>
      <c r="LVB84" s="1"/>
      <c r="LVC84" s="1"/>
      <c r="LVD84" s="1"/>
      <c r="LVE84" s="1"/>
      <c r="LVF84" s="1"/>
      <c r="LVG84" s="1"/>
      <c r="LVH84" s="1"/>
      <c r="LVI84" s="1"/>
      <c r="LVJ84" s="1"/>
      <c r="LVK84" s="1"/>
      <c r="LVL84" s="1"/>
      <c r="LVM84" s="1"/>
      <c r="LVN84" s="1"/>
      <c r="LVO84" s="1"/>
      <c r="LVP84" s="1"/>
      <c r="LVQ84" s="1"/>
      <c r="LVR84" s="1"/>
      <c r="LVS84" s="1"/>
      <c r="LVT84" s="1"/>
      <c r="LVU84" s="1"/>
      <c r="LVV84" s="1"/>
      <c r="LVW84" s="1"/>
      <c r="LVX84" s="1"/>
      <c r="LVY84" s="1"/>
      <c r="LVZ84" s="1"/>
      <c r="LWA84" s="1"/>
      <c r="LWB84" s="1"/>
      <c r="LWC84" s="1"/>
      <c r="LWD84" s="1"/>
      <c r="LWE84" s="1"/>
      <c r="LWF84" s="1"/>
      <c r="LWG84" s="1"/>
      <c r="LWH84" s="1"/>
      <c r="LWI84" s="1"/>
      <c r="LWJ84" s="1"/>
      <c r="LWK84" s="1"/>
      <c r="LWL84" s="1"/>
      <c r="LWM84" s="1"/>
      <c r="LWN84" s="1"/>
      <c r="LWO84" s="1"/>
      <c r="LWP84" s="1"/>
      <c r="LWQ84" s="1"/>
      <c r="LWR84" s="1"/>
      <c r="LWS84" s="1"/>
      <c r="LWT84" s="1"/>
      <c r="LWU84" s="1"/>
      <c r="LWV84" s="1"/>
      <c r="LWW84" s="1"/>
      <c r="LWX84" s="1"/>
      <c r="LWY84" s="1"/>
      <c r="LWZ84" s="1"/>
      <c r="LXA84" s="1"/>
      <c r="LXB84" s="1"/>
      <c r="LXC84" s="1"/>
      <c r="LXD84" s="1"/>
      <c r="LXE84" s="1"/>
      <c r="LXF84" s="1"/>
      <c r="LXG84" s="1"/>
      <c r="LXH84" s="1"/>
      <c r="LXI84" s="1"/>
      <c r="LXJ84" s="1"/>
      <c r="LXK84" s="1"/>
      <c r="LXL84" s="1"/>
      <c r="LXM84" s="1"/>
      <c r="LXN84" s="1"/>
      <c r="LXO84" s="1"/>
      <c r="LXP84" s="1"/>
      <c r="LXQ84" s="1"/>
      <c r="LXR84" s="1"/>
      <c r="LXS84" s="1"/>
      <c r="LXT84" s="1"/>
      <c r="LXU84" s="1"/>
      <c r="LXV84" s="1"/>
      <c r="LXW84" s="1"/>
      <c r="LXX84" s="1"/>
      <c r="LXY84" s="1"/>
      <c r="LXZ84" s="1"/>
      <c r="LYA84" s="1"/>
      <c r="LYB84" s="1"/>
      <c r="LYC84" s="1"/>
      <c r="LYD84" s="1"/>
      <c r="LYE84" s="1"/>
      <c r="LYF84" s="1"/>
      <c r="LYG84" s="1"/>
      <c r="LYH84" s="1"/>
      <c r="LYI84" s="1"/>
      <c r="LYJ84" s="1"/>
      <c r="LYK84" s="1"/>
      <c r="LYL84" s="1"/>
      <c r="LYM84" s="1"/>
      <c r="LYN84" s="1"/>
      <c r="LYO84" s="1"/>
      <c r="LYP84" s="1"/>
      <c r="LYQ84" s="1"/>
      <c r="LYR84" s="1"/>
      <c r="LYS84" s="1"/>
      <c r="LYT84" s="1"/>
      <c r="LYU84" s="1"/>
      <c r="LYV84" s="1"/>
      <c r="LYW84" s="1"/>
      <c r="LYX84" s="1"/>
      <c r="LYY84" s="1"/>
      <c r="LYZ84" s="1"/>
      <c r="LZA84" s="1"/>
      <c r="LZB84" s="1"/>
      <c r="LZC84" s="1"/>
      <c r="LZD84" s="1"/>
      <c r="LZE84" s="1"/>
      <c r="LZF84" s="1"/>
      <c r="LZG84" s="1"/>
      <c r="LZH84" s="1"/>
      <c r="LZI84" s="1"/>
      <c r="LZJ84" s="1"/>
      <c r="LZK84" s="1"/>
      <c r="LZL84" s="1"/>
      <c r="LZM84" s="1"/>
      <c r="LZN84" s="1"/>
      <c r="LZO84" s="1"/>
      <c r="LZP84" s="1"/>
      <c r="LZQ84" s="1"/>
      <c r="LZR84" s="1"/>
      <c r="LZS84" s="1"/>
      <c r="LZT84" s="1"/>
      <c r="LZU84" s="1"/>
      <c r="LZV84" s="1"/>
      <c r="LZW84" s="1"/>
      <c r="LZX84" s="1"/>
      <c r="LZY84" s="1"/>
      <c r="LZZ84" s="1"/>
      <c r="MAA84" s="1"/>
      <c r="MAB84" s="1"/>
      <c r="MAC84" s="1"/>
      <c r="MAD84" s="1"/>
      <c r="MAE84" s="1"/>
      <c r="MAF84" s="1"/>
      <c r="MAG84" s="1"/>
      <c r="MAH84" s="1"/>
      <c r="MAI84" s="1"/>
      <c r="MAJ84" s="1"/>
      <c r="MAK84" s="1"/>
      <c r="MAL84" s="1"/>
      <c r="MAM84" s="1"/>
      <c r="MAN84" s="1"/>
      <c r="MAO84" s="1"/>
      <c r="MAP84" s="1"/>
      <c r="MAQ84" s="1"/>
      <c r="MAR84" s="1"/>
      <c r="MAS84" s="1"/>
      <c r="MAT84" s="1"/>
      <c r="MAU84" s="1"/>
      <c r="MAV84" s="1"/>
      <c r="MAW84" s="1"/>
      <c r="MAX84" s="1"/>
      <c r="MAY84" s="1"/>
      <c r="MAZ84" s="1"/>
      <c r="MBA84" s="1"/>
      <c r="MBB84" s="1"/>
      <c r="MBC84" s="1"/>
      <c r="MBD84" s="1"/>
      <c r="MBE84" s="1"/>
      <c r="MBF84" s="1"/>
      <c r="MBG84" s="1"/>
      <c r="MBH84" s="1"/>
      <c r="MBI84" s="1"/>
      <c r="MBJ84" s="1"/>
      <c r="MBK84" s="1"/>
      <c r="MBL84" s="1"/>
      <c r="MBM84" s="1"/>
      <c r="MBN84" s="1"/>
      <c r="MBO84" s="1"/>
      <c r="MBP84" s="1"/>
      <c r="MBQ84" s="1"/>
      <c r="MBR84" s="1"/>
      <c r="MBS84" s="1"/>
      <c r="MBT84" s="1"/>
      <c r="MBU84" s="1"/>
      <c r="MBV84" s="1"/>
      <c r="MBW84" s="1"/>
      <c r="MBX84" s="1"/>
      <c r="MBY84" s="1"/>
      <c r="MBZ84" s="1"/>
      <c r="MCA84" s="1"/>
      <c r="MCB84" s="1"/>
      <c r="MCC84" s="1"/>
      <c r="MCD84" s="1"/>
      <c r="MCE84" s="1"/>
      <c r="MCF84" s="1"/>
      <c r="MCG84" s="1"/>
      <c r="MCH84" s="1"/>
      <c r="MCI84" s="1"/>
      <c r="MCJ84" s="1"/>
      <c r="MCK84" s="1"/>
      <c r="MCL84" s="1"/>
      <c r="MCM84" s="1"/>
      <c r="MCN84" s="1"/>
      <c r="MCO84" s="1"/>
      <c r="MCP84" s="1"/>
      <c r="MCQ84" s="1"/>
      <c r="MCR84" s="1"/>
      <c r="MCS84" s="1"/>
      <c r="MCT84" s="1"/>
      <c r="MCU84" s="1"/>
      <c r="MCV84" s="1"/>
      <c r="MCW84" s="1"/>
      <c r="MCX84" s="1"/>
      <c r="MCY84" s="1"/>
      <c r="MCZ84" s="1"/>
      <c r="MDA84" s="1"/>
      <c r="MDB84" s="1"/>
      <c r="MDC84" s="1"/>
      <c r="MDD84" s="1"/>
      <c r="MDE84" s="1"/>
      <c r="MDF84" s="1"/>
      <c r="MDG84" s="1"/>
      <c r="MDH84" s="1"/>
      <c r="MDI84" s="1"/>
      <c r="MDJ84" s="1"/>
      <c r="MDK84" s="1"/>
      <c r="MDL84" s="1"/>
      <c r="MDM84" s="1"/>
      <c r="MDN84" s="1"/>
      <c r="MDO84" s="1"/>
      <c r="MDP84" s="1"/>
      <c r="MDQ84" s="1"/>
      <c r="MDR84" s="1"/>
      <c r="MDS84" s="1"/>
      <c r="MDT84" s="1"/>
      <c r="MDU84" s="1"/>
      <c r="MDV84" s="1"/>
      <c r="MDW84" s="1"/>
      <c r="MDX84" s="1"/>
      <c r="MDY84" s="1"/>
      <c r="MDZ84" s="1"/>
      <c r="MEA84" s="1"/>
      <c r="MEB84" s="1"/>
      <c r="MEC84" s="1"/>
      <c r="MED84" s="1"/>
      <c r="MEE84" s="1"/>
      <c r="MEF84" s="1"/>
      <c r="MEG84" s="1"/>
      <c r="MEH84" s="1"/>
      <c r="MEI84" s="1"/>
      <c r="MEJ84" s="1"/>
      <c r="MEK84" s="1"/>
      <c r="MEL84" s="1"/>
      <c r="MEM84" s="1"/>
      <c r="MEN84" s="1"/>
      <c r="MEO84" s="1"/>
      <c r="MEP84" s="1"/>
      <c r="MEQ84" s="1"/>
      <c r="MER84" s="1"/>
      <c r="MES84" s="1"/>
      <c r="MET84" s="1"/>
      <c r="MEU84" s="1"/>
      <c r="MEV84" s="1"/>
      <c r="MEW84" s="1"/>
      <c r="MEX84" s="1"/>
      <c r="MEY84" s="1"/>
      <c r="MEZ84" s="1"/>
      <c r="MFA84" s="1"/>
      <c r="MFB84" s="1"/>
      <c r="MFC84" s="1"/>
      <c r="MFD84" s="1"/>
      <c r="MFE84" s="1"/>
      <c r="MFF84" s="1"/>
      <c r="MFG84" s="1"/>
      <c r="MFH84" s="1"/>
      <c r="MFI84" s="1"/>
      <c r="MFJ84" s="1"/>
      <c r="MFK84" s="1"/>
      <c r="MFL84" s="1"/>
      <c r="MFM84" s="1"/>
      <c r="MFN84" s="1"/>
      <c r="MFO84" s="1"/>
      <c r="MFP84" s="1"/>
      <c r="MFQ84" s="1"/>
      <c r="MFR84" s="1"/>
      <c r="MFS84" s="1"/>
      <c r="MFT84" s="1"/>
      <c r="MFU84" s="1"/>
      <c r="MFV84" s="1"/>
      <c r="MFW84" s="1"/>
      <c r="MFX84" s="1"/>
      <c r="MFY84" s="1"/>
      <c r="MFZ84" s="1"/>
      <c r="MGA84" s="1"/>
      <c r="MGB84" s="1"/>
      <c r="MGC84" s="1"/>
      <c r="MGD84" s="1"/>
      <c r="MGE84" s="1"/>
      <c r="MGF84" s="1"/>
      <c r="MGG84" s="1"/>
      <c r="MGH84" s="1"/>
      <c r="MGI84" s="1"/>
      <c r="MGJ84" s="1"/>
      <c r="MGK84" s="1"/>
      <c r="MGL84" s="1"/>
      <c r="MGM84" s="1"/>
      <c r="MGN84" s="1"/>
      <c r="MGO84" s="1"/>
      <c r="MGP84" s="1"/>
      <c r="MGQ84" s="1"/>
      <c r="MGR84" s="1"/>
      <c r="MGS84" s="1"/>
      <c r="MGT84" s="1"/>
      <c r="MGU84" s="1"/>
      <c r="MGV84" s="1"/>
      <c r="MGW84" s="1"/>
      <c r="MGX84" s="1"/>
      <c r="MGY84" s="1"/>
      <c r="MGZ84" s="1"/>
      <c r="MHA84" s="1"/>
      <c r="MHB84" s="1"/>
      <c r="MHC84" s="1"/>
      <c r="MHD84" s="1"/>
      <c r="MHE84" s="1"/>
      <c r="MHF84" s="1"/>
      <c r="MHG84" s="1"/>
      <c r="MHH84" s="1"/>
      <c r="MHI84" s="1"/>
      <c r="MHJ84" s="1"/>
      <c r="MHK84" s="1"/>
      <c r="MHL84" s="1"/>
      <c r="MHM84" s="1"/>
      <c r="MHN84" s="1"/>
      <c r="MHO84" s="1"/>
      <c r="MHP84" s="1"/>
      <c r="MHQ84" s="1"/>
      <c r="MHR84" s="1"/>
      <c r="MHS84" s="1"/>
      <c r="MHT84" s="1"/>
      <c r="MHU84" s="1"/>
      <c r="MHV84" s="1"/>
      <c r="MHW84" s="1"/>
      <c r="MHX84" s="1"/>
      <c r="MHY84" s="1"/>
      <c r="MHZ84" s="1"/>
      <c r="MIA84" s="1"/>
      <c r="MIB84" s="1"/>
      <c r="MIC84" s="1"/>
      <c r="MID84" s="1"/>
      <c r="MIE84" s="1"/>
      <c r="MIF84" s="1"/>
      <c r="MIG84" s="1"/>
      <c r="MIH84" s="1"/>
      <c r="MII84" s="1"/>
      <c r="MIJ84" s="1"/>
      <c r="MIK84" s="1"/>
      <c r="MIL84" s="1"/>
      <c r="MIM84" s="1"/>
      <c r="MIN84" s="1"/>
      <c r="MIO84" s="1"/>
      <c r="MIP84" s="1"/>
      <c r="MIQ84" s="1"/>
      <c r="MIR84" s="1"/>
      <c r="MIS84" s="1"/>
      <c r="MIT84" s="1"/>
      <c r="MIU84" s="1"/>
      <c r="MIV84" s="1"/>
      <c r="MIW84" s="1"/>
      <c r="MIX84" s="1"/>
      <c r="MIY84" s="1"/>
      <c r="MIZ84" s="1"/>
      <c r="MJA84" s="1"/>
      <c r="MJB84" s="1"/>
      <c r="MJC84" s="1"/>
      <c r="MJD84" s="1"/>
      <c r="MJE84" s="1"/>
      <c r="MJF84" s="1"/>
      <c r="MJG84" s="1"/>
      <c r="MJH84" s="1"/>
      <c r="MJI84" s="1"/>
      <c r="MJJ84" s="1"/>
      <c r="MJK84" s="1"/>
      <c r="MJL84" s="1"/>
      <c r="MJM84" s="1"/>
      <c r="MJN84" s="1"/>
      <c r="MJO84" s="1"/>
      <c r="MJP84" s="1"/>
      <c r="MJQ84" s="1"/>
      <c r="MJR84" s="1"/>
      <c r="MJS84" s="1"/>
      <c r="MJT84" s="1"/>
      <c r="MJU84" s="1"/>
      <c r="MJV84" s="1"/>
      <c r="MJW84" s="1"/>
      <c r="MJX84" s="1"/>
      <c r="MJY84" s="1"/>
      <c r="MJZ84" s="1"/>
      <c r="MKA84" s="1"/>
      <c r="MKB84" s="1"/>
      <c r="MKC84" s="1"/>
      <c r="MKD84" s="1"/>
      <c r="MKE84" s="1"/>
      <c r="MKF84" s="1"/>
      <c r="MKG84" s="1"/>
      <c r="MKH84" s="1"/>
      <c r="MKI84" s="1"/>
      <c r="MKJ84" s="1"/>
      <c r="MKK84" s="1"/>
      <c r="MKL84" s="1"/>
      <c r="MKM84" s="1"/>
      <c r="MKN84" s="1"/>
      <c r="MKO84" s="1"/>
      <c r="MKP84" s="1"/>
      <c r="MKQ84" s="1"/>
      <c r="MKR84" s="1"/>
      <c r="MKS84" s="1"/>
      <c r="MKT84" s="1"/>
      <c r="MKU84" s="1"/>
      <c r="MKV84" s="1"/>
      <c r="MKW84" s="1"/>
      <c r="MKX84" s="1"/>
      <c r="MKY84" s="1"/>
      <c r="MKZ84" s="1"/>
      <c r="MLA84" s="1"/>
      <c r="MLB84" s="1"/>
      <c r="MLC84" s="1"/>
      <c r="MLD84" s="1"/>
      <c r="MLE84" s="1"/>
      <c r="MLF84" s="1"/>
      <c r="MLG84" s="1"/>
      <c r="MLH84" s="1"/>
      <c r="MLI84" s="1"/>
      <c r="MLJ84" s="1"/>
      <c r="MLK84" s="1"/>
      <c r="MLL84" s="1"/>
      <c r="MLM84" s="1"/>
      <c r="MLN84" s="1"/>
      <c r="MLO84" s="1"/>
      <c r="MLP84" s="1"/>
      <c r="MLQ84" s="1"/>
      <c r="MLR84" s="1"/>
      <c r="MLS84" s="1"/>
      <c r="MLT84" s="1"/>
      <c r="MLU84" s="1"/>
      <c r="MLV84" s="1"/>
      <c r="MLW84" s="1"/>
      <c r="MLX84" s="1"/>
      <c r="MLY84" s="1"/>
      <c r="MLZ84" s="1"/>
      <c r="MMA84" s="1"/>
      <c r="MMB84" s="1"/>
      <c r="MMC84" s="1"/>
      <c r="MMD84" s="1"/>
      <c r="MME84" s="1"/>
      <c r="MMF84" s="1"/>
      <c r="MMG84" s="1"/>
      <c r="MMH84" s="1"/>
      <c r="MMI84" s="1"/>
      <c r="MMJ84" s="1"/>
      <c r="MMK84" s="1"/>
      <c r="MML84" s="1"/>
      <c r="MMM84" s="1"/>
      <c r="MMN84" s="1"/>
      <c r="MMO84" s="1"/>
      <c r="MMP84" s="1"/>
      <c r="MMQ84" s="1"/>
      <c r="MMR84" s="1"/>
      <c r="MMS84" s="1"/>
      <c r="MMT84" s="1"/>
      <c r="MMU84" s="1"/>
      <c r="MMV84" s="1"/>
      <c r="MMW84" s="1"/>
      <c r="MMX84" s="1"/>
      <c r="MMY84" s="1"/>
      <c r="MMZ84" s="1"/>
      <c r="MNA84" s="1"/>
      <c r="MNB84" s="1"/>
      <c r="MNC84" s="1"/>
      <c r="MND84" s="1"/>
      <c r="MNE84" s="1"/>
      <c r="MNF84" s="1"/>
      <c r="MNG84" s="1"/>
      <c r="MNH84" s="1"/>
      <c r="MNI84" s="1"/>
      <c r="MNJ84" s="1"/>
      <c r="MNK84" s="1"/>
      <c r="MNL84" s="1"/>
      <c r="MNM84" s="1"/>
      <c r="MNN84" s="1"/>
      <c r="MNO84" s="1"/>
      <c r="MNP84" s="1"/>
      <c r="MNQ84" s="1"/>
      <c r="MNR84" s="1"/>
      <c r="MNS84" s="1"/>
      <c r="MNT84" s="1"/>
      <c r="MNU84" s="1"/>
      <c r="MNV84" s="1"/>
      <c r="MNW84" s="1"/>
      <c r="MNX84" s="1"/>
      <c r="MNY84" s="1"/>
      <c r="MNZ84" s="1"/>
      <c r="MOA84" s="1"/>
      <c r="MOB84" s="1"/>
      <c r="MOC84" s="1"/>
      <c r="MOD84" s="1"/>
      <c r="MOE84" s="1"/>
      <c r="MOF84" s="1"/>
      <c r="MOG84" s="1"/>
      <c r="MOH84" s="1"/>
      <c r="MOI84" s="1"/>
      <c r="MOJ84" s="1"/>
      <c r="MOK84" s="1"/>
      <c r="MOL84" s="1"/>
      <c r="MOM84" s="1"/>
      <c r="MON84" s="1"/>
      <c r="MOO84" s="1"/>
      <c r="MOP84" s="1"/>
      <c r="MOQ84" s="1"/>
      <c r="MOR84" s="1"/>
      <c r="MOS84" s="1"/>
      <c r="MOT84" s="1"/>
      <c r="MOU84" s="1"/>
      <c r="MOV84" s="1"/>
      <c r="MOW84" s="1"/>
      <c r="MOX84" s="1"/>
      <c r="MOY84" s="1"/>
      <c r="MOZ84" s="1"/>
      <c r="MPA84" s="1"/>
      <c r="MPB84" s="1"/>
      <c r="MPC84" s="1"/>
      <c r="MPD84" s="1"/>
      <c r="MPE84" s="1"/>
      <c r="MPF84" s="1"/>
      <c r="MPG84" s="1"/>
      <c r="MPH84" s="1"/>
      <c r="MPI84" s="1"/>
      <c r="MPJ84" s="1"/>
      <c r="MPK84" s="1"/>
      <c r="MPL84" s="1"/>
      <c r="MPM84" s="1"/>
      <c r="MPN84" s="1"/>
      <c r="MPO84" s="1"/>
      <c r="MPP84" s="1"/>
      <c r="MPQ84" s="1"/>
      <c r="MPR84" s="1"/>
      <c r="MPS84" s="1"/>
      <c r="MPT84" s="1"/>
      <c r="MPU84" s="1"/>
      <c r="MPV84" s="1"/>
      <c r="MPW84" s="1"/>
      <c r="MPX84" s="1"/>
      <c r="MPY84" s="1"/>
      <c r="MPZ84" s="1"/>
      <c r="MQA84" s="1"/>
      <c r="MQB84" s="1"/>
      <c r="MQC84" s="1"/>
      <c r="MQD84" s="1"/>
      <c r="MQE84" s="1"/>
      <c r="MQF84" s="1"/>
      <c r="MQG84" s="1"/>
      <c r="MQH84" s="1"/>
      <c r="MQI84" s="1"/>
      <c r="MQJ84" s="1"/>
      <c r="MQK84" s="1"/>
      <c r="MQL84" s="1"/>
      <c r="MQM84" s="1"/>
      <c r="MQN84" s="1"/>
      <c r="MQO84" s="1"/>
      <c r="MQP84" s="1"/>
      <c r="MQQ84" s="1"/>
      <c r="MQR84" s="1"/>
      <c r="MQS84" s="1"/>
      <c r="MQT84" s="1"/>
      <c r="MQU84" s="1"/>
      <c r="MQV84" s="1"/>
      <c r="MQW84" s="1"/>
      <c r="MQX84" s="1"/>
      <c r="MQY84" s="1"/>
      <c r="MQZ84" s="1"/>
      <c r="MRA84" s="1"/>
      <c r="MRB84" s="1"/>
      <c r="MRC84" s="1"/>
      <c r="MRD84" s="1"/>
      <c r="MRE84" s="1"/>
      <c r="MRF84" s="1"/>
      <c r="MRG84" s="1"/>
      <c r="MRH84" s="1"/>
      <c r="MRI84" s="1"/>
      <c r="MRJ84" s="1"/>
      <c r="MRK84" s="1"/>
      <c r="MRL84" s="1"/>
      <c r="MRM84" s="1"/>
      <c r="MRN84" s="1"/>
      <c r="MRO84" s="1"/>
      <c r="MRP84" s="1"/>
      <c r="MRQ84" s="1"/>
      <c r="MRR84" s="1"/>
      <c r="MRS84" s="1"/>
      <c r="MRT84" s="1"/>
      <c r="MRU84" s="1"/>
      <c r="MRV84" s="1"/>
      <c r="MRW84" s="1"/>
      <c r="MRX84" s="1"/>
      <c r="MRY84" s="1"/>
      <c r="MRZ84" s="1"/>
      <c r="MSA84" s="1"/>
      <c r="MSB84" s="1"/>
      <c r="MSC84" s="1"/>
      <c r="MSD84" s="1"/>
      <c r="MSE84" s="1"/>
      <c r="MSF84" s="1"/>
      <c r="MSG84" s="1"/>
      <c r="MSH84" s="1"/>
      <c r="MSI84" s="1"/>
      <c r="MSJ84" s="1"/>
      <c r="MSK84" s="1"/>
      <c r="MSL84" s="1"/>
      <c r="MSM84" s="1"/>
      <c r="MSN84" s="1"/>
      <c r="MSO84" s="1"/>
      <c r="MSP84" s="1"/>
      <c r="MSQ84" s="1"/>
      <c r="MSR84" s="1"/>
      <c r="MSS84" s="1"/>
      <c r="MST84" s="1"/>
      <c r="MSU84" s="1"/>
      <c r="MSV84" s="1"/>
      <c r="MSW84" s="1"/>
      <c r="MSX84" s="1"/>
      <c r="MSY84" s="1"/>
      <c r="MSZ84" s="1"/>
      <c r="MTA84" s="1"/>
      <c r="MTB84" s="1"/>
      <c r="MTC84" s="1"/>
      <c r="MTD84" s="1"/>
      <c r="MTE84" s="1"/>
      <c r="MTF84" s="1"/>
      <c r="MTG84" s="1"/>
      <c r="MTH84" s="1"/>
      <c r="MTI84" s="1"/>
      <c r="MTJ84" s="1"/>
      <c r="MTK84" s="1"/>
      <c r="MTL84" s="1"/>
      <c r="MTM84" s="1"/>
      <c r="MTN84" s="1"/>
      <c r="MTO84" s="1"/>
      <c r="MTP84" s="1"/>
      <c r="MTQ84" s="1"/>
      <c r="MTR84" s="1"/>
      <c r="MTS84" s="1"/>
      <c r="MTT84" s="1"/>
      <c r="MTU84" s="1"/>
      <c r="MTV84" s="1"/>
      <c r="MTW84" s="1"/>
      <c r="MTX84" s="1"/>
      <c r="MTY84" s="1"/>
      <c r="MTZ84" s="1"/>
      <c r="MUA84" s="1"/>
      <c r="MUB84" s="1"/>
      <c r="MUC84" s="1"/>
      <c r="MUD84" s="1"/>
      <c r="MUE84" s="1"/>
      <c r="MUF84" s="1"/>
      <c r="MUG84" s="1"/>
      <c r="MUH84" s="1"/>
      <c r="MUI84" s="1"/>
      <c r="MUJ84" s="1"/>
      <c r="MUK84" s="1"/>
      <c r="MUL84" s="1"/>
      <c r="MUM84" s="1"/>
      <c r="MUN84" s="1"/>
      <c r="MUO84" s="1"/>
      <c r="MUP84" s="1"/>
      <c r="MUQ84" s="1"/>
      <c r="MUR84" s="1"/>
      <c r="MUS84" s="1"/>
      <c r="MUT84" s="1"/>
      <c r="MUU84" s="1"/>
      <c r="MUV84" s="1"/>
      <c r="MUW84" s="1"/>
      <c r="MUX84" s="1"/>
      <c r="MUY84" s="1"/>
      <c r="MUZ84" s="1"/>
      <c r="MVA84" s="1"/>
      <c r="MVB84" s="1"/>
      <c r="MVC84" s="1"/>
      <c r="MVD84" s="1"/>
      <c r="MVE84" s="1"/>
      <c r="MVF84" s="1"/>
      <c r="MVG84" s="1"/>
      <c r="MVH84" s="1"/>
      <c r="MVI84" s="1"/>
      <c r="MVJ84" s="1"/>
      <c r="MVK84" s="1"/>
      <c r="MVL84" s="1"/>
      <c r="MVM84" s="1"/>
      <c r="MVN84" s="1"/>
      <c r="MVO84" s="1"/>
      <c r="MVP84" s="1"/>
      <c r="MVQ84" s="1"/>
      <c r="MVR84" s="1"/>
      <c r="MVS84" s="1"/>
      <c r="MVT84" s="1"/>
      <c r="MVU84" s="1"/>
      <c r="MVV84" s="1"/>
      <c r="MVW84" s="1"/>
      <c r="MVX84" s="1"/>
      <c r="MVY84" s="1"/>
      <c r="MVZ84" s="1"/>
      <c r="MWA84" s="1"/>
      <c r="MWB84" s="1"/>
      <c r="MWC84" s="1"/>
      <c r="MWD84" s="1"/>
      <c r="MWE84" s="1"/>
      <c r="MWF84" s="1"/>
      <c r="MWG84" s="1"/>
      <c r="MWH84" s="1"/>
      <c r="MWI84" s="1"/>
      <c r="MWJ84" s="1"/>
      <c r="MWK84" s="1"/>
      <c r="MWL84" s="1"/>
      <c r="MWM84" s="1"/>
      <c r="MWN84" s="1"/>
      <c r="MWO84" s="1"/>
      <c r="MWP84" s="1"/>
      <c r="MWQ84" s="1"/>
      <c r="MWR84" s="1"/>
      <c r="MWS84" s="1"/>
      <c r="MWT84" s="1"/>
      <c r="MWU84" s="1"/>
      <c r="MWV84" s="1"/>
      <c r="MWW84" s="1"/>
      <c r="MWX84" s="1"/>
      <c r="MWY84" s="1"/>
      <c r="MWZ84" s="1"/>
      <c r="MXA84" s="1"/>
      <c r="MXB84" s="1"/>
      <c r="MXC84" s="1"/>
      <c r="MXD84" s="1"/>
      <c r="MXE84" s="1"/>
      <c r="MXF84" s="1"/>
      <c r="MXG84" s="1"/>
      <c r="MXH84" s="1"/>
      <c r="MXI84" s="1"/>
      <c r="MXJ84" s="1"/>
      <c r="MXK84" s="1"/>
      <c r="MXL84" s="1"/>
      <c r="MXM84" s="1"/>
      <c r="MXN84" s="1"/>
      <c r="MXO84" s="1"/>
      <c r="MXP84" s="1"/>
      <c r="MXQ84" s="1"/>
      <c r="MXR84" s="1"/>
      <c r="MXS84" s="1"/>
      <c r="MXT84" s="1"/>
      <c r="MXU84" s="1"/>
      <c r="MXV84" s="1"/>
      <c r="MXW84" s="1"/>
      <c r="MXX84" s="1"/>
      <c r="MXY84" s="1"/>
      <c r="MXZ84" s="1"/>
      <c r="MYA84" s="1"/>
      <c r="MYB84" s="1"/>
      <c r="MYC84" s="1"/>
      <c r="MYD84" s="1"/>
      <c r="MYE84" s="1"/>
      <c r="MYF84" s="1"/>
      <c r="MYG84" s="1"/>
      <c r="MYH84" s="1"/>
      <c r="MYI84" s="1"/>
      <c r="MYJ84" s="1"/>
      <c r="MYK84" s="1"/>
      <c r="MYL84" s="1"/>
      <c r="MYM84" s="1"/>
      <c r="MYN84" s="1"/>
      <c r="MYO84" s="1"/>
      <c r="MYP84" s="1"/>
      <c r="MYQ84" s="1"/>
      <c r="MYR84" s="1"/>
      <c r="MYS84" s="1"/>
      <c r="MYT84" s="1"/>
      <c r="MYU84" s="1"/>
      <c r="MYV84" s="1"/>
      <c r="MYW84" s="1"/>
      <c r="MYX84" s="1"/>
      <c r="MYY84" s="1"/>
      <c r="MYZ84" s="1"/>
      <c r="MZA84" s="1"/>
      <c r="MZB84" s="1"/>
      <c r="MZC84" s="1"/>
      <c r="MZD84" s="1"/>
      <c r="MZE84" s="1"/>
      <c r="MZF84" s="1"/>
      <c r="MZG84" s="1"/>
      <c r="MZH84" s="1"/>
      <c r="MZI84" s="1"/>
      <c r="MZJ84" s="1"/>
      <c r="MZK84" s="1"/>
      <c r="MZL84" s="1"/>
      <c r="MZM84" s="1"/>
      <c r="MZN84" s="1"/>
      <c r="MZO84" s="1"/>
      <c r="MZP84" s="1"/>
      <c r="MZQ84" s="1"/>
      <c r="MZR84" s="1"/>
      <c r="MZS84" s="1"/>
      <c r="MZT84" s="1"/>
      <c r="MZU84" s="1"/>
      <c r="MZV84" s="1"/>
      <c r="MZW84" s="1"/>
      <c r="MZX84" s="1"/>
      <c r="MZY84" s="1"/>
      <c r="MZZ84" s="1"/>
      <c r="NAA84" s="1"/>
      <c r="NAB84" s="1"/>
      <c r="NAC84" s="1"/>
      <c r="NAD84" s="1"/>
      <c r="NAE84" s="1"/>
      <c r="NAF84" s="1"/>
      <c r="NAG84" s="1"/>
      <c r="NAH84" s="1"/>
      <c r="NAI84" s="1"/>
      <c r="NAJ84" s="1"/>
      <c r="NAK84" s="1"/>
      <c r="NAL84" s="1"/>
      <c r="NAM84" s="1"/>
      <c r="NAN84" s="1"/>
      <c r="NAO84" s="1"/>
      <c r="NAP84" s="1"/>
      <c r="NAQ84" s="1"/>
      <c r="NAR84" s="1"/>
      <c r="NAS84" s="1"/>
      <c r="NAT84" s="1"/>
      <c r="NAU84" s="1"/>
      <c r="NAV84" s="1"/>
      <c r="NAW84" s="1"/>
      <c r="NAX84" s="1"/>
      <c r="NAY84" s="1"/>
      <c r="NAZ84" s="1"/>
      <c r="NBA84" s="1"/>
      <c r="NBB84" s="1"/>
      <c r="NBC84" s="1"/>
      <c r="NBD84" s="1"/>
      <c r="NBE84" s="1"/>
      <c r="NBF84" s="1"/>
      <c r="NBG84" s="1"/>
      <c r="NBH84" s="1"/>
      <c r="NBI84" s="1"/>
      <c r="NBJ84" s="1"/>
      <c r="NBK84" s="1"/>
      <c r="NBL84" s="1"/>
      <c r="NBM84" s="1"/>
      <c r="NBN84" s="1"/>
      <c r="NBO84" s="1"/>
      <c r="NBP84" s="1"/>
      <c r="NBQ84" s="1"/>
      <c r="NBR84" s="1"/>
      <c r="NBS84" s="1"/>
      <c r="NBT84" s="1"/>
      <c r="NBU84" s="1"/>
      <c r="NBV84" s="1"/>
      <c r="NBW84" s="1"/>
      <c r="NBX84" s="1"/>
      <c r="NBY84" s="1"/>
      <c r="NBZ84" s="1"/>
      <c r="NCA84" s="1"/>
      <c r="NCB84" s="1"/>
      <c r="NCC84" s="1"/>
      <c r="NCD84" s="1"/>
      <c r="NCE84" s="1"/>
      <c r="NCF84" s="1"/>
      <c r="NCG84" s="1"/>
      <c r="NCH84" s="1"/>
      <c r="NCI84" s="1"/>
      <c r="NCJ84" s="1"/>
      <c r="NCK84" s="1"/>
      <c r="NCL84" s="1"/>
      <c r="NCM84" s="1"/>
      <c r="NCN84" s="1"/>
      <c r="NCO84" s="1"/>
      <c r="NCP84" s="1"/>
      <c r="NCQ84" s="1"/>
      <c r="NCR84" s="1"/>
      <c r="NCS84" s="1"/>
      <c r="NCT84" s="1"/>
      <c r="NCU84" s="1"/>
      <c r="NCV84" s="1"/>
      <c r="NCW84" s="1"/>
      <c r="NCX84" s="1"/>
      <c r="NCY84" s="1"/>
      <c r="NCZ84" s="1"/>
      <c r="NDA84" s="1"/>
      <c r="NDB84" s="1"/>
      <c r="NDC84" s="1"/>
      <c r="NDD84" s="1"/>
      <c r="NDE84" s="1"/>
      <c r="NDF84" s="1"/>
      <c r="NDG84" s="1"/>
      <c r="NDH84" s="1"/>
      <c r="NDI84" s="1"/>
      <c r="NDJ84" s="1"/>
      <c r="NDK84" s="1"/>
      <c r="NDL84" s="1"/>
      <c r="NDM84" s="1"/>
      <c r="NDN84" s="1"/>
      <c r="NDO84" s="1"/>
      <c r="NDP84" s="1"/>
      <c r="NDQ84" s="1"/>
      <c r="NDR84" s="1"/>
      <c r="NDS84" s="1"/>
      <c r="NDT84" s="1"/>
      <c r="NDU84" s="1"/>
      <c r="NDV84" s="1"/>
      <c r="NDW84" s="1"/>
      <c r="NDX84" s="1"/>
      <c r="NDY84" s="1"/>
      <c r="NDZ84" s="1"/>
      <c r="NEA84" s="1"/>
      <c r="NEB84" s="1"/>
      <c r="NEC84" s="1"/>
      <c r="NED84" s="1"/>
      <c r="NEE84" s="1"/>
      <c r="NEF84" s="1"/>
      <c r="NEG84" s="1"/>
      <c r="NEH84" s="1"/>
      <c r="NEI84" s="1"/>
      <c r="NEJ84" s="1"/>
      <c r="NEK84" s="1"/>
      <c r="NEL84" s="1"/>
      <c r="NEM84" s="1"/>
      <c r="NEN84" s="1"/>
      <c r="NEO84" s="1"/>
      <c r="NEP84" s="1"/>
      <c r="NEQ84" s="1"/>
      <c r="NER84" s="1"/>
      <c r="NES84" s="1"/>
      <c r="NET84" s="1"/>
      <c r="NEU84" s="1"/>
      <c r="NEV84" s="1"/>
      <c r="NEW84" s="1"/>
      <c r="NEX84" s="1"/>
      <c r="NEY84" s="1"/>
      <c r="NEZ84" s="1"/>
      <c r="NFA84" s="1"/>
      <c r="NFB84" s="1"/>
      <c r="NFC84" s="1"/>
      <c r="NFD84" s="1"/>
      <c r="NFE84" s="1"/>
      <c r="NFF84" s="1"/>
      <c r="NFG84" s="1"/>
      <c r="NFH84" s="1"/>
      <c r="NFI84" s="1"/>
      <c r="NFJ84" s="1"/>
      <c r="NFK84" s="1"/>
      <c r="NFL84" s="1"/>
      <c r="NFM84" s="1"/>
      <c r="NFN84" s="1"/>
      <c r="NFO84" s="1"/>
      <c r="NFP84" s="1"/>
      <c r="NFQ84" s="1"/>
      <c r="NFR84" s="1"/>
      <c r="NFS84" s="1"/>
      <c r="NFT84" s="1"/>
      <c r="NFU84" s="1"/>
      <c r="NFV84" s="1"/>
      <c r="NFW84" s="1"/>
      <c r="NFX84" s="1"/>
      <c r="NFY84" s="1"/>
      <c r="NFZ84" s="1"/>
      <c r="NGA84" s="1"/>
      <c r="NGB84" s="1"/>
      <c r="NGC84" s="1"/>
      <c r="NGD84" s="1"/>
      <c r="NGE84" s="1"/>
      <c r="NGF84" s="1"/>
      <c r="NGG84" s="1"/>
      <c r="NGH84" s="1"/>
      <c r="NGI84" s="1"/>
      <c r="NGJ84" s="1"/>
      <c r="NGK84" s="1"/>
      <c r="NGL84" s="1"/>
      <c r="NGM84" s="1"/>
      <c r="NGN84" s="1"/>
      <c r="NGO84" s="1"/>
      <c r="NGP84" s="1"/>
      <c r="NGQ84" s="1"/>
      <c r="NGR84" s="1"/>
      <c r="NGS84" s="1"/>
      <c r="NGT84" s="1"/>
      <c r="NGU84" s="1"/>
      <c r="NGV84" s="1"/>
      <c r="NGW84" s="1"/>
      <c r="NGX84" s="1"/>
      <c r="NGY84" s="1"/>
      <c r="NGZ84" s="1"/>
      <c r="NHA84" s="1"/>
      <c r="NHB84" s="1"/>
      <c r="NHC84" s="1"/>
      <c r="NHD84" s="1"/>
      <c r="NHE84" s="1"/>
      <c r="NHF84" s="1"/>
      <c r="NHG84" s="1"/>
      <c r="NHH84" s="1"/>
      <c r="NHI84" s="1"/>
      <c r="NHJ84" s="1"/>
      <c r="NHK84" s="1"/>
      <c r="NHL84" s="1"/>
      <c r="NHM84" s="1"/>
      <c r="NHN84" s="1"/>
      <c r="NHO84" s="1"/>
      <c r="NHP84" s="1"/>
      <c r="NHQ84" s="1"/>
      <c r="NHR84" s="1"/>
      <c r="NHS84" s="1"/>
      <c r="NHT84" s="1"/>
      <c r="NHU84" s="1"/>
      <c r="NHV84" s="1"/>
      <c r="NHW84" s="1"/>
      <c r="NHX84" s="1"/>
      <c r="NHY84" s="1"/>
      <c r="NHZ84" s="1"/>
      <c r="NIA84" s="1"/>
      <c r="NIB84" s="1"/>
      <c r="NIC84" s="1"/>
      <c r="NID84" s="1"/>
      <c r="NIE84" s="1"/>
      <c r="NIF84" s="1"/>
      <c r="NIG84" s="1"/>
      <c r="NIH84" s="1"/>
      <c r="NII84" s="1"/>
      <c r="NIJ84" s="1"/>
      <c r="NIK84" s="1"/>
      <c r="NIL84" s="1"/>
      <c r="NIM84" s="1"/>
      <c r="NIN84" s="1"/>
      <c r="NIO84" s="1"/>
      <c r="NIP84" s="1"/>
      <c r="NIQ84" s="1"/>
      <c r="NIR84" s="1"/>
      <c r="NIS84" s="1"/>
      <c r="NIT84" s="1"/>
      <c r="NIU84" s="1"/>
      <c r="NIV84" s="1"/>
      <c r="NIW84" s="1"/>
      <c r="NIX84" s="1"/>
      <c r="NIY84" s="1"/>
      <c r="NIZ84" s="1"/>
      <c r="NJA84" s="1"/>
      <c r="NJB84" s="1"/>
      <c r="NJC84" s="1"/>
      <c r="NJD84" s="1"/>
      <c r="NJE84" s="1"/>
      <c r="NJF84" s="1"/>
      <c r="NJG84" s="1"/>
      <c r="NJH84" s="1"/>
      <c r="NJI84" s="1"/>
      <c r="NJJ84" s="1"/>
      <c r="NJK84" s="1"/>
      <c r="NJL84" s="1"/>
      <c r="NJM84" s="1"/>
      <c r="NJN84" s="1"/>
      <c r="NJO84" s="1"/>
      <c r="NJP84" s="1"/>
      <c r="NJQ84" s="1"/>
      <c r="NJR84" s="1"/>
      <c r="NJS84" s="1"/>
      <c r="NJT84" s="1"/>
      <c r="NJU84" s="1"/>
      <c r="NJV84" s="1"/>
      <c r="NJW84" s="1"/>
      <c r="NJX84" s="1"/>
      <c r="NJY84" s="1"/>
      <c r="NJZ84" s="1"/>
      <c r="NKA84" s="1"/>
      <c r="NKB84" s="1"/>
      <c r="NKC84" s="1"/>
      <c r="NKD84" s="1"/>
      <c r="NKE84" s="1"/>
      <c r="NKF84" s="1"/>
      <c r="NKG84" s="1"/>
      <c r="NKH84" s="1"/>
      <c r="NKI84" s="1"/>
      <c r="NKJ84" s="1"/>
      <c r="NKK84" s="1"/>
      <c r="NKL84" s="1"/>
      <c r="NKM84" s="1"/>
      <c r="NKN84" s="1"/>
      <c r="NKO84" s="1"/>
      <c r="NKP84" s="1"/>
      <c r="NKQ84" s="1"/>
      <c r="NKR84" s="1"/>
      <c r="NKS84" s="1"/>
      <c r="NKT84" s="1"/>
      <c r="NKU84" s="1"/>
      <c r="NKV84" s="1"/>
      <c r="NKW84" s="1"/>
      <c r="NKX84" s="1"/>
      <c r="NKY84" s="1"/>
      <c r="NKZ84" s="1"/>
      <c r="NLA84" s="1"/>
      <c r="NLB84" s="1"/>
      <c r="NLC84" s="1"/>
      <c r="NLD84" s="1"/>
      <c r="NLE84" s="1"/>
      <c r="NLF84" s="1"/>
      <c r="NLG84" s="1"/>
      <c r="NLH84" s="1"/>
      <c r="NLI84" s="1"/>
      <c r="NLJ84" s="1"/>
      <c r="NLK84" s="1"/>
      <c r="NLL84" s="1"/>
      <c r="NLM84" s="1"/>
      <c r="NLN84" s="1"/>
      <c r="NLO84" s="1"/>
      <c r="NLP84" s="1"/>
      <c r="NLQ84" s="1"/>
      <c r="NLR84" s="1"/>
      <c r="NLS84" s="1"/>
      <c r="NLT84" s="1"/>
      <c r="NLU84" s="1"/>
      <c r="NLV84" s="1"/>
      <c r="NLW84" s="1"/>
      <c r="NLX84" s="1"/>
      <c r="NLY84" s="1"/>
      <c r="NLZ84" s="1"/>
      <c r="NMA84" s="1"/>
      <c r="NMB84" s="1"/>
      <c r="NMC84" s="1"/>
      <c r="NMD84" s="1"/>
      <c r="NME84" s="1"/>
      <c r="NMF84" s="1"/>
      <c r="NMG84" s="1"/>
      <c r="NMH84" s="1"/>
      <c r="NMI84" s="1"/>
      <c r="NMJ84" s="1"/>
      <c r="NMK84" s="1"/>
      <c r="NML84" s="1"/>
      <c r="NMM84" s="1"/>
      <c r="NMN84" s="1"/>
      <c r="NMO84" s="1"/>
      <c r="NMP84" s="1"/>
      <c r="NMQ84" s="1"/>
      <c r="NMR84" s="1"/>
      <c r="NMS84" s="1"/>
      <c r="NMT84" s="1"/>
      <c r="NMU84" s="1"/>
      <c r="NMV84" s="1"/>
      <c r="NMW84" s="1"/>
      <c r="NMX84" s="1"/>
      <c r="NMY84" s="1"/>
      <c r="NMZ84" s="1"/>
      <c r="NNA84" s="1"/>
      <c r="NNB84" s="1"/>
      <c r="NNC84" s="1"/>
      <c r="NND84" s="1"/>
      <c r="NNE84" s="1"/>
      <c r="NNF84" s="1"/>
      <c r="NNG84" s="1"/>
      <c r="NNH84" s="1"/>
      <c r="NNI84" s="1"/>
      <c r="NNJ84" s="1"/>
      <c r="NNK84" s="1"/>
      <c r="NNL84" s="1"/>
      <c r="NNM84" s="1"/>
      <c r="NNN84" s="1"/>
      <c r="NNO84" s="1"/>
      <c r="NNP84" s="1"/>
      <c r="NNQ84" s="1"/>
      <c r="NNR84" s="1"/>
      <c r="NNS84" s="1"/>
      <c r="NNT84" s="1"/>
      <c r="NNU84" s="1"/>
      <c r="NNV84" s="1"/>
      <c r="NNW84" s="1"/>
      <c r="NNX84" s="1"/>
      <c r="NNY84" s="1"/>
      <c r="NNZ84" s="1"/>
      <c r="NOA84" s="1"/>
      <c r="NOB84" s="1"/>
      <c r="NOC84" s="1"/>
      <c r="NOD84" s="1"/>
      <c r="NOE84" s="1"/>
      <c r="NOF84" s="1"/>
      <c r="NOG84" s="1"/>
      <c r="NOH84" s="1"/>
      <c r="NOI84" s="1"/>
      <c r="NOJ84" s="1"/>
      <c r="NOK84" s="1"/>
      <c r="NOL84" s="1"/>
      <c r="NOM84" s="1"/>
      <c r="NON84" s="1"/>
      <c r="NOO84" s="1"/>
      <c r="NOP84" s="1"/>
      <c r="NOQ84" s="1"/>
      <c r="NOR84" s="1"/>
      <c r="NOS84" s="1"/>
      <c r="NOT84" s="1"/>
      <c r="NOU84" s="1"/>
      <c r="NOV84" s="1"/>
      <c r="NOW84" s="1"/>
      <c r="NOX84" s="1"/>
      <c r="NOY84" s="1"/>
      <c r="NOZ84" s="1"/>
      <c r="NPA84" s="1"/>
      <c r="NPB84" s="1"/>
      <c r="NPC84" s="1"/>
      <c r="NPD84" s="1"/>
      <c r="NPE84" s="1"/>
      <c r="NPF84" s="1"/>
      <c r="NPG84" s="1"/>
      <c r="NPH84" s="1"/>
      <c r="NPI84" s="1"/>
      <c r="NPJ84" s="1"/>
      <c r="NPK84" s="1"/>
      <c r="NPL84" s="1"/>
      <c r="NPM84" s="1"/>
      <c r="NPN84" s="1"/>
      <c r="NPO84" s="1"/>
      <c r="NPP84" s="1"/>
      <c r="NPQ84" s="1"/>
      <c r="NPR84" s="1"/>
      <c r="NPS84" s="1"/>
      <c r="NPT84" s="1"/>
      <c r="NPU84" s="1"/>
      <c r="NPV84" s="1"/>
      <c r="NPW84" s="1"/>
      <c r="NPX84" s="1"/>
      <c r="NPY84" s="1"/>
      <c r="NPZ84" s="1"/>
      <c r="NQA84" s="1"/>
      <c r="NQB84" s="1"/>
      <c r="NQC84" s="1"/>
      <c r="NQD84" s="1"/>
      <c r="NQE84" s="1"/>
      <c r="NQF84" s="1"/>
      <c r="NQG84" s="1"/>
      <c r="NQH84" s="1"/>
      <c r="NQI84" s="1"/>
      <c r="NQJ84" s="1"/>
      <c r="NQK84" s="1"/>
      <c r="NQL84" s="1"/>
      <c r="NQM84" s="1"/>
      <c r="NQN84" s="1"/>
      <c r="NQO84" s="1"/>
      <c r="NQP84" s="1"/>
      <c r="NQQ84" s="1"/>
      <c r="NQR84" s="1"/>
      <c r="NQS84" s="1"/>
      <c r="NQT84" s="1"/>
      <c r="NQU84" s="1"/>
      <c r="NQV84" s="1"/>
      <c r="NQW84" s="1"/>
      <c r="NQX84" s="1"/>
      <c r="NQY84" s="1"/>
      <c r="NQZ84" s="1"/>
      <c r="NRA84" s="1"/>
      <c r="NRB84" s="1"/>
      <c r="NRC84" s="1"/>
      <c r="NRD84" s="1"/>
      <c r="NRE84" s="1"/>
      <c r="NRF84" s="1"/>
      <c r="NRG84" s="1"/>
      <c r="NRH84" s="1"/>
      <c r="NRI84" s="1"/>
      <c r="NRJ84" s="1"/>
      <c r="NRK84" s="1"/>
      <c r="NRL84" s="1"/>
      <c r="NRM84" s="1"/>
      <c r="NRN84" s="1"/>
      <c r="NRO84" s="1"/>
      <c r="NRP84" s="1"/>
      <c r="NRQ84" s="1"/>
      <c r="NRR84" s="1"/>
      <c r="NRS84" s="1"/>
      <c r="NRT84" s="1"/>
      <c r="NRU84" s="1"/>
      <c r="NRV84" s="1"/>
      <c r="NRW84" s="1"/>
      <c r="NRX84" s="1"/>
      <c r="NRY84" s="1"/>
      <c r="NRZ84" s="1"/>
      <c r="NSA84" s="1"/>
      <c r="NSB84" s="1"/>
      <c r="NSC84" s="1"/>
      <c r="NSD84" s="1"/>
      <c r="NSE84" s="1"/>
      <c r="NSF84" s="1"/>
      <c r="NSG84" s="1"/>
      <c r="NSH84" s="1"/>
      <c r="NSI84" s="1"/>
      <c r="NSJ84" s="1"/>
      <c r="NSK84" s="1"/>
      <c r="NSL84" s="1"/>
      <c r="NSM84" s="1"/>
      <c r="NSN84" s="1"/>
      <c r="NSO84" s="1"/>
      <c r="NSP84" s="1"/>
      <c r="NSQ84" s="1"/>
      <c r="NSR84" s="1"/>
      <c r="NSS84" s="1"/>
      <c r="NST84" s="1"/>
      <c r="NSU84" s="1"/>
      <c r="NSV84" s="1"/>
      <c r="NSW84" s="1"/>
      <c r="NSX84" s="1"/>
      <c r="NSY84" s="1"/>
      <c r="NSZ84" s="1"/>
      <c r="NTA84" s="1"/>
      <c r="NTB84" s="1"/>
      <c r="NTC84" s="1"/>
      <c r="NTD84" s="1"/>
      <c r="NTE84" s="1"/>
      <c r="NTF84" s="1"/>
      <c r="NTG84" s="1"/>
      <c r="NTH84" s="1"/>
      <c r="NTI84" s="1"/>
      <c r="NTJ84" s="1"/>
      <c r="NTK84" s="1"/>
      <c r="NTL84" s="1"/>
      <c r="NTM84" s="1"/>
      <c r="NTN84" s="1"/>
      <c r="NTO84" s="1"/>
      <c r="NTP84" s="1"/>
      <c r="NTQ84" s="1"/>
      <c r="NTR84" s="1"/>
      <c r="NTS84" s="1"/>
      <c r="NTT84" s="1"/>
      <c r="NTU84" s="1"/>
      <c r="NTV84" s="1"/>
      <c r="NTW84" s="1"/>
      <c r="NTX84" s="1"/>
      <c r="NTY84" s="1"/>
      <c r="NTZ84" s="1"/>
      <c r="NUA84" s="1"/>
      <c r="NUB84" s="1"/>
      <c r="NUC84" s="1"/>
      <c r="NUD84" s="1"/>
      <c r="NUE84" s="1"/>
      <c r="NUF84" s="1"/>
      <c r="NUG84" s="1"/>
      <c r="NUH84" s="1"/>
      <c r="NUI84" s="1"/>
      <c r="NUJ84" s="1"/>
      <c r="NUK84" s="1"/>
      <c r="NUL84" s="1"/>
      <c r="NUM84" s="1"/>
      <c r="NUN84" s="1"/>
      <c r="NUO84" s="1"/>
      <c r="NUP84" s="1"/>
      <c r="NUQ84" s="1"/>
      <c r="NUR84" s="1"/>
      <c r="NUS84" s="1"/>
      <c r="NUT84" s="1"/>
      <c r="NUU84" s="1"/>
      <c r="NUV84" s="1"/>
      <c r="NUW84" s="1"/>
      <c r="NUX84" s="1"/>
      <c r="NUY84" s="1"/>
      <c r="NUZ84" s="1"/>
      <c r="NVA84" s="1"/>
      <c r="NVB84" s="1"/>
      <c r="NVC84" s="1"/>
      <c r="NVD84" s="1"/>
      <c r="NVE84" s="1"/>
      <c r="NVF84" s="1"/>
      <c r="NVG84" s="1"/>
      <c r="NVH84" s="1"/>
      <c r="NVI84" s="1"/>
      <c r="NVJ84" s="1"/>
      <c r="NVK84" s="1"/>
      <c r="NVL84" s="1"/>
      <c r="NVM84" s="1"/>
      <c r="NVN84" s="1"/>
      <c r="NVO84" s="1"/>
      <c r="NVP84" s="1"/>
      <c r="NVQ84" s="1"/>
      <c r="NVR84" s="1"/>
      <c r="NVS84" s="1"/>
      <c r="NVT84" s="1"/>
      <c r="NVU84" s="1"/>
      <c r="NVV84" s="1"/>
      <c r="NVW84" s="1"/>
      <c r="NVX84" s="1"/>
      <c r="NVY84" s="1"/>
      <c r="NVZ84" s="1"/>
      <c r="NWA84" s="1"/>
      <c r="NWB84" s="1"/>
      <c r="NWC84" s="1"/>
      <c r="NWD84" s="1"/>
      <c r="NWE84" s="1"/>
      <c r="NWF84" s="1"/>
      <c r="NWG84" s="1"/>
      <c r="NWH84" s="1"/>
      <c r="NWI84" s="1"/>
      <c r="NWJ84" s="1"/>
      <c r="NWK84" s="1"/>
      <c r="NWL84" s="1"/>
      <c r="NWM84" s="1"/>
      <c r="NWN84" s="1"/>
      <c r="NWO84" s="1"/>
      <c r="NWP84" s="1"/>
      <c r="NWQ84" s="1"/>
      <c r="NWR84" s="1"/>
      <c r="NWS84" s="1"/>
      <c r="NWT84" s="1"/>
      <c r="NWU84" s="1"/>
      <c r="NWV84" s="1"/>
      <c r="NWW84" s="1"/>
      <c r="NWX84" s="1"/>
      <c r="NWY84" s="1"/>
      <c r="NWZ84" s="1"/>
      <c r="NXA84" s="1"/>
      <c r="NXB84" s="1"/>
      <c r="NXC84" s="1"/>
      <c r="NXD84" s="1"/>
      <c r="NXE84" s="1"/>
      <c r="NXF84" s="1"/>
      <c r="NXG84" s="1"/>
      <c r="NXH84" s="1"/>
      <c r="NXI84" s="1"/>
      <c r="NXJ84" s="1"/>
      <c r="NXK84" s="1"/>
      <c r="NXL84" s="1"/>
      <c r="NXM84" s="1"/>
      <c r="NXN84" s="1"/>
      <c r="NXO84" s="1"/>
      <c r="NXP84" s="1"/>
      <c r="NXQ84" s="1"/>
      <c r="NXR84" s="1"/>
      <c r="NXS84" s="1"/>
      <c r="NXT84" s="1"/>
      <c r="NXU84" s="1"/>
      <c r="NXV84" s="1"/>
      <c r="NXW84" s="1"/>
      <c r="NXX84" s="1"/>
      <c r="NXY84" s="1"/>
      <c r="NXZ84" s="1"/>
      <c r="NYA84" s="1"/>
      <c r="NYB84" s="1"/>
      <c r="NYC84" s="1"/>
      <c r="NYD84" s="1"/>
      <c r="NYE84" s="1"/>
      <c r="NYF84" s="1"/>
      <c r="NYG84" s="1"/>
      <c r="NYH84" s="1"/>
      <c r="NYI84" s="1"/>
      <c r="NYJ84" s="1"/>
      <c r="NYK84" s="1"/>
      <c r="NYL84" s="1"/>
      <c r="NYM84" s="1"/>
      <c r="NYN84" s="1"/>
      <c r="NYO84" s="1"/>
      <c r="NYP84" s="1"/>
      <c r="NYQ84" s="1"/>
      <c r="NYR84" s="1"/>
      <c r="NYS84" s="1"/>
      <c r="NYT84" s="1"/>
      <c r="NYU84" s="1"/>
      <c r="NYV84" s="1"/>
      <c r="NYW84" s="1"/>
      <c r="NYX84" s="1"/>
      <c r="NYY84" s="1"/>
      <c r="NYZ84" s="1"/>
      <c r="NZA84" s="1"/>
      <c r="NZB84" s="1"/>
      <c r="NZC84" s="1"/>
      <c r="NZD84" s="1"/>
      <c r="NZE84" s="1"/>
      <c r="NZF84" s="1"/>
      <c r="NZG84" s="1"/>
      <c r="NZH84" s="1"/>
      <c r="NZI84" s="1"/>
      <c r="NZJ84" s="1"/>
      <c r="NZK84" s="1"/>
      <c r="NZL84" s="1"/>
      <c r="NZM84" s="1"/>
      <c r="NZN84" s="1"/>
      <c r="NZO84" s="1"/>
      <c r="NZP84" s="1"/>
      <c r="NZQ84" s="1"/>
      <c r="NZR84" s="1"/>
      <c r="NZS84" s="1"/>
      <c r="NZT84" s="1"/>
      <c r="NZU84" s="1"/>
      <c r="NZV84" s="1"/>
      <c r="NZW84" s="1"/>
      <c r="NZX84" s="1"/>
      <c r="NZY84" s="1"/>
      <c r="NZZ84" s="1"/>
      <c r="OAA84" s="1"/>
      <c r="OAB84" s="1"/>
      <c r="OAC84" s="1"/>
      <c r="OAD84" s="1"/>
      <c r="OAE84" s="1"/>
      <c r="OAF84" s="1"/>
      <c r="OAG84" s="1"/>
      <c r="OAH84" s="1"/>
      <c r="OAI84" s="1"/>
      <c r="OAJ84" s="1"/>
      <c r="OAK84" s="1"/>
      <c r="OAL84" s="1"/>
      <c r="OAM84" s="1"/>
      <c r="OAN84" s="1"/>
      <c r="OAO84" s="1"/>
      <c r="OAP84" s="1"/>
      <c r="OAQ84" s="1"/>
      <c r="OAR84" s="1"/>
      <c r="OAS84" s="1"/>
      <c r="OAT84" s="1"/>
      <c r="OAU84" s="1"/>
      <c r="OAV84" s="1"/>
      <c r="OAW84" s="1"/>
      <c r="OAX84" s="1"/>
      <c r="OAY84" s="1"/>
      <c r="OAZ84" s="1"/>
      <c r="OBA84" s="1"/>
      <c r="OBB84" s="1"/>
      <c r="OBC84" s="1"/>
      <c r="OBD84" s="1"/>
      <c r="OBE84" s="1"/>
      <c r="OBF84" s="1"/>
      <c r="OBG84" s="1"/>
      <c r="OBH84" s="1"/>
      <c r="OBI84" s="1"/>
      <c r="OBJ84" s="1"/>
      <c r="OBK84" s="1"/>
      <c r="OBL84" s="1"/>
      <c r="OBM84" s="1"/>
      <c r="OBN84" s="1"/>
      <c r="OBO84" s="1"/>
      <c r="OBP84" s="1"/>
      <c r="OBQ84" s="1"/>
      <c r="OBR84" s="1"/>
      <c r="OBS84" s="1"/>
      <c r="OBT84" s="1"/>
      <c r="OBU84" s="1"/>
      <c r="OBV84" s="1"/>
      <c r="OBW84" s="1"/>
      <c r="OBX84" s="1"/>
      <c r="OBY84" s="1"/>
      <c r="OBZ84" s="1"/>
      <c r="OCA84" s="1"/>
      <c r="OCB84" s="1"/>
      <c r="OCC84" s="1"/>
      <c r="OCD84" s="1"/>
      <c r="OCE84" s="1"/>
      <c r="OCF84" s="1"/>
      <c r="OCG84" s="1"/>
      <c r="OCH84" s="1"/>
      <c r="OCI84" s="1"/>
      <c r="OCJ84" s="1"/>
      <c r="OCK84" s="1"/>
      <c r="OCL84" s="1"/>
      <c r="OCM84" s="1"/>
      <c r="OCN84" s="1"/>
      <c r="OCO84" s="1"/>
      <c r="OCP84" s="1"/>
      <c r="OCQ84" s="1"/>
      <c r="OCR84" s="1"/>
      <c r="OCS84" s="1"/>
      <c r="OCT84" s="1"/>
      <c r="OCU84" s="1"/>
      <c r="OCV84" s="1"/>
      <c r="OCW84" s="1"/>
      <c r="OCX84" s="1"/>
      <c r="OCY84" s="1"/>
      <c r="OCZ84" s="1"/>
      <c r="ODA84" s="1"/>
      <c r="ODB84" s="1"/>
      <c r="ODC84" s="1"/>
      <c r="ODD84" s="1"/>
      <c r="ODE84" s="1"/>
      <c r="ODF84" s="1"/>
      <c r="ODG84" s="1"/>
      <c r="ODH84" s="1"/>
      <c r="ODI84" s="1"/>
      <c r="ODJ84" s="1"/>
      <c r="ODK84" s="1"/>
      <c r="ODL84" s="1"/>
      <c r="ODM84" s="1"/>
      <c r="ODN84" s="1"/>
      <c r="ODO84" s="1"/>
      <c r="ODP84" s="1"/>
      <c r="ODQ84" s="1"/>
      <c r="ODR84" s="1"/>
      <c r="ODS84" s="1"/>
      <c r="ODT84" s="1"/>
      <c r="ODU84" s="1"/>
      <c r="ODV84" s="1"/>
      <c r="ODW84" s="1"/>
      <c r="ODX84" s="1"/>
      <c r="ODY84" s="1"/>
      <c r="ODZ84" s="1"/>
      <c r="OEA84" s="1"/>
      <c r="OEB84" s="1"/>
      <c r="OEC84" s="1"/>
      <c r="OED84" s="1"/>
      <c r="OEE84" s="1"/>
      <c r="OEF84" s="1"/>
      <c r="OEG84" s="1"/>
      <c r="OEH84" s="1"/>
      <c r="OEI84" s="1"/>
      <c r="OEJ84" s="1"/>
      <c r="OEK84" s="1"/>
      <c r="OEL84" s="1"/>
      <c r="OEM84" s="1"/>
      <c r="OEN84" s="1"/>
      <c r="OEO84" s="1"/>
      <c r="OEP84" s="1"/>
      <c r="OEQ84" s="1"/>
      <c r="OER84" s="1"/>
      <c r="OES84" s="1"/>
      <c r="OET84" s="1"/>
      <c r="OEU84" s="1"/>
      <c r="OEV84" s="1"/>
      <c r="OEW84" s="1"/>
      <c r="OEX84" s="1"/>
      <c r="OEY84" s="1"/>
      <c r="OEZ84" s="1"/>
      <c r="OFA84" s="1"/>
      <c r="OFB84" s="1"/>
      <c r="OFC84" s="1"/>
      <c r="OFD84" s="1"/>
      <c r="OFE84" s="1"/>
      <c r="OFF84" s="1"/>
      <c r="OFG84" s="1"/>
      <c r="OFH84" s="1"/>
      <c r="OFI84" s="1"/>
      <c r="OFJ84" s="1"/>
      <c r="OFK84" s="1"/>
      <c r="OFL84" s="1"/>
      <c r="OFM84" s="1"/>
      <c r="OFN84" s="1"/>
      <c r="OFO84" s="1"/>
      <c r="OFP84" s="1"/>
      <c r="OFQ84" s="1"/>
      <c r="OFR84" s="1"/>
      <c r="OFS84" s="1"/>
      <c r="OFT84" s="1"/>
      <c r="OFU84" s="1"/>
      <c r="OFV84" s="1"/>
      <c r="OFW84" s="1"/>
      <c r="OFX84" s="1"/>
      <c r="OFY84" s="1"/>
      <c r="OFZ84" s="1"/>
      <c r="OGA84" s="1"/>
      <c r="OGB84" s="1"/>
      <c r="OGC84" s="1"/>
      <c r="OGD84" s="1"/>
      <c r="OGE84" s="1"/>
      <c r="OGF84" s="1"/>
      <c r="OGG84" s="1"/>
      <c r="OGH84" s="1"/>
      <c r="OGI84" s="1"/>
      <c r="OGJ84" s="1"/>
      <c r="OGK84" s="1"/>
      <c r="OGL84" s="1"/>
      <c r="OGM84" s="1"/>
      <c r="OGN84" s="1"/>
      <c r="OGO84" s="1"/>
      <c r="OGP84" s="1"/>
      <c r="OGQ84" s="1"/>
      <c r="OGR84" s="1"/>
      <c r="OGS84" s="1"/>
      <c r="OGT84" s="1"/>
      <c r="OGU84" s="1"/>
      <c r="OGV84" s="1"/>
      <c r="OGW84" s="1"/>
      <c r="OGX84" s="1"/>
      <c r="OGY84" s="1"/>
      <c r="OGZ84" s="1"/>
      <c r="OHA84" s="1"/>
      <c r="OHB84" s="1"/>
      <c r="OHC84" s="1"/>
      <c r="OHD84" s="1"/>
      <c r="OHE84" s="1"/>
      <c r="OHF84" s="1"/>
      <c r="OHG84" s="1"/>
      <c r="OHH84" s="1"/>
      <c r="OHI84" s="1"/>
      <c r="OHJ84" s="1"/>
      <c r="OHK84" s="1"/>
      <c r="OHL84" s="1"/>
      <c r="OHM84" s="1"/>
      <c r="OHN84" s="1"/>
      <c r="OHO84" s="1"/>
      <c r="OHP84" s="1"/>
      <c r="OHQ84" s="1"/>
      <c r="OHR84" s="1"/>
      <c r="OHS84" s="1"/>
      <c r="OHT84" s="1"/>
      <c r="OHU84" s="1"/>
      <c r="OHV84" s="1"/>
      <c r="OHW84" s="1"/>
      <c r="OHX84" s="1"/>
      <c r="OHY84" s="1"/>
      <c r="OHZ84" s="1"/>
      <c r="OIA84" s="1"/>
      <c r="OIB84" s="1"/>
      <c r="OIC84" s="1"/>
      <c r="OID84" s="1"/>
      <c r="OIE84" s="1"/>
      <c r="OIF84" s="1"/>
      <c r="OIG84" s="1"/>
      <c r="OIH84" s="1"/>
      <c r="OII84" s="1"/>
      <c r="OIJ84" s="1"/>
      <c r="OIK84" s="1"/>
      <c r="OIL84" s="1"/>
      <c r="OIM84" s="1"/>
      <c r="OIN84" s="1"/>
      <c r="OIO84" s="1"/>
      <c r="OIP84" s="1"/>
      <c r="OIQ84" s="1"/>
      <c r="OIR84" s="1"/>
      <c r="OIS84" s="1"/>
      <c r="OIT84" s="1"/>
      <c r="OIU84" s="1"/>
      <c r="OIV84" s="1"/>
      <c r="OIW84" s="1"/>
      <c r="OIX84" s="1"/>
      <c r="OIY84" s="1"/>
      <c r="OIZ84" s="1"/>
      <c r="OJA84" s="1"/>
      <c r="OJB84" s="1"/>
      <c r="OJC84" s="1"/>
      <c r="OJD84" s="1"/>
      <c r="OJE84" s="1"/>
      <c r="OJF84" s="1"/>
      <c r="OJG84" s="1"/>
      <c r="OJH84" s="1"/>
      <c r="OJI84" s="1"/>
      <c r="OJJ84" s="1"/>
      <c r="OJK84" s="1"/>
      <c r="OJL84" s="1"/>
      <c r="OJM84" s="1"/>
      <c r="OJN84" s="1"/>
      <c r="OJO84" s="1"/>
      <c r="OJP84" s="1"/>
      <c r="OJQ84" s="1"/>
      <c r="OJR84" s="1"/>
      <c r="OJS84" s="1"/>
      <c r="OJT84" s="1"/>
      <c r="OJU84" s="1"/>
      <c r="OJV84" s="1"/>
      <c r="OJW84" s="1"/>
      <c r="OJX84" s="1"/>
      <c r="OJY84" s="1"/>
      <c r="OJZ84" s="1"/>
      <c r="OKA84" s="1"/>
      <c r="OKB84" s="1"/>
      <c r="OKC84" s="1"/>
      <c r="OKD84" s="1"/>
      <c r="OKE84" s="1"/>
      <c r="OKF84" s="1"/>
      <c r="OKG84" s="1"/>
      <c r="OKH84" s="1"/>
      <c r="OKI84" s="1"/>
      <c r="OKJ84" s="1"/>
      <c r="OKK84" s="1"/>
      <c r="OKL84" s="1"/>
      <c r="OKM84" s="1"/>
      <c r="OKN84" s="1"/>
      <c r="OKO84" s="1"/>
      <c r="OKP84" s="1"/>
      <c r="OKQ84" s="1"/>
      <c r="OKR84" s="1"/>
      <c r="OKS84" s="1"/>
      <c r="OKT84" s="1"/>
      <c r="OKU84" s="1"/>
      <c r="OKV84" s="1"/>
      <c r="OKW84" s="1"/>
      <c r="OKX84" s="1"/>
      <c r="OKY84" s="1"/>
      <c r="OKZ84" s="1"/>
      <c r="OLA84" s="1"/>
      <c r="OLB84" s="1"/>
      <c r="OLC84" s="1"/>
      <c r="OLD84" s="1"/>
      <c r="OLE84" s="1"/>
      <c r="OLF84" s="1"/>
      <c r="OLG84" s="1"/>
      <c r="OLH84" s="1"/>
      <c r="OLI84" s="1"/>
      <c r="OLJ84" s="1"/>
      <c r="OLK84" s="1"/>
      <c r="OLL84" s="1"/>
      <c r="OLM84" s="1"/>
      <c r="OLN84" s="1"/>
      <c r="OLO84" s="1"/>
      <c r="OLP84" s="1"/>
      <c r="OLQ84" s="1"/>
      <c r="OLR84" s="1"/>
      <c r="OLS84" s="1"/>
      <c r="OLT84" s="1"/>
      <c r="OLU84" s="1"/>
      <c r="OLV84" s="1"/>
      <c r="OLW84" s="1"/>
      <c r="OLX84" s="1"/>
      <c r="OLY84" s="1"/>
      <c r="OLZ84" s="1"/>
      <c r="OMA84" s="1"/>
      <c r="OMB84" s="1"/>
      <c r="OMC84" s="1"/>
      <c r="OMD84" s="1"/>
      <c r="OME84" s="1"/>
      <c r="OMF84" s="1"/>
      <c r="OMG84" s="1"/>
      <c r="OMH84" s="1"/>
      <c r="OMI84" s="1"/>
      <c r="OMJ84" s="1"/>
      <c r="OMK84" s="1"/>
      <c r="OML84" s="1"/>
      <c r="OMM84" s="1"/>
      <c r="OMN84" s="1"/>
      <c r="OMO84" s="1"/>
      <c r="OMP84" s="1"/>
      <c r="OMQ84" s="1"/>
      <c r="OMR84" s="1"/>
      <c r="OMS84" s="1"/>
      <c r="OMT84" s="1"/>
      <c r="OMU84" s="1"/>
      <c r="OMV84" s="1"/>
      <c r="OMW84" s="1"/>
      <c r="OMX84" s="1"/>
      <c r="OMY84" s="1"/>
      <c r="OMZ84" s="1"/>
      <c r="ONA84" s="1"/>
      <c r="ONB84" s="1"/>
      <c r="ONC84" s="1"/>
      <c r="OND84" s="1"/>
      <c r="ONE84" s="1"/>
      <c r="ONF84" s="1"/>
      <c r="ONG84" s="1"/>
      <c r="ONH84" s="1"/>
      <c r="ONI84" s="1"/>
      <c r="ONJ84" s="1"/>
      <c r="ONK84" s="1"/>
      <c r="ONL84" s="1"/>
      <c r="ONM84" s="1"/>
      <c r="ONN84" s="1"/>
      <c r="ONO84" s="1"/>
      <c r="ONP84" s="1"/>
      <c r="ONQ84" s="1"/>
      <c r="ONR84" s="1"/>
      <c r="ONS84" s="1"/>
      <c r="ONT84" s="1"/>
      <c r="ONU84" s="1"/>
      <c r="ONV84" s="1"/>
      <c r="ONW84" s="1"/>
      <c r="ONX84" s="1"/>
      <c r="ONY84" s="1"/>
      <c r="ONZ84" s="1"/>
      <c r="OOA84" s="1"/>
      <c r="OOB84" s="1"/>
      <c r="OOC84" s="1"/>
      <c r="OOD84" s="1"/>
      <c r="OOE84" s="1"/>
      <c r="OOF84" s="1"/>
      <c r="OOG84" s="1"/>
      <c r="OOH84" s="1"/>
      <c r="OOI84" s="1"/>
      <c r="OOJ84" s="1"/>
      <c r="OOK84" s="1"/>
      <c r="OOL84" s="1"/>
      <c r="OOM84" s="1"/>
      <c r="OON84" s="1"/>
      <c r="OOO84" s="1"/>
      <c r="OOP84" s="1"/>
      <c r="OOQ84" s="1"/>
      <c r="OOR84" s="1"/>
      <c r="OOS84" s="1"/>
      <c r="OOT84" s="1"/>
      <c r="OOU84" s="1"/>
      <c r="OOV84" s="1"/>
      <c r="OOW84" s="1"/>
      <c r="OOX84" s="1"/>
      <c r="OOY84" s="1"/>
      <c r="OOZ84" s="1"/>
      <c r="OPA84" s="1"/>
      <c r="OPB84" s="1"/>
      <c r="OPC84" s="1"/>
      <c r="OPD84" s="1"/>
      <c r="OPE84" s="1"/>
      <c r="OPF84" s="1"/>
      <c r="OPG84" s="1"/>
      <c r="OPH84" s="1"/>
      <c r="OPI84" s="1"/>
      <c r="OPJ84" s="1"/>
      <c r="OPK84" s="1"/>
      <c r="OPL84" s="1"/>
      <c r="OPM84" s="1"/>
      <c r="OPN84" s="1"/>
      <c r="OPO84" s="1"/>
      <c r="OPP84" s="1"/>
      <c r="OPQ84" s="1"/>
      <c r="OPR84" s="1"/>
      <c r="OPS84" s="1"/>
      <c r="OPT84" s="1"/>
      <c r="OPU84" s="1"/>
      <c r="OPV84" s="1"/>
      <c r="OPW84" s="1"/>
      <c r="OPX84" s="1"/>
      <c r="OPY84" s="1"/>
      <c r="OPZ84" s="1"/>
      <c r="OQA84" s="1"/>
      <c r="OQB84" s="1"/>
      <c r="OQC84" s="1"/>
      <c r="OQD84" s="1"/>
      <c r="OQE84" s="1"/>
      <c r="OQF84" s="1"/>
      <c r="OQG84" s="1"/>
      <c r="OQH84" s="1"/>
      <c r="OQI84" s="1"/>
      <c r="OQJ84" s="1"/>
      <c r="OQK84" s="1"/>
      <c r="OQL84" s="1"/>
      <c r="OQM84" s="1"/>
      <c r="OQN84" s="1"/>
      <c r="OQO84" s="1"/>
      <c r="OQP84" s="1"/>
      <c r="OQQ84" s="1"/>
      <c r="OQR84" s="1"/>
      <c r="OQS84" s="1"/>
      <c r="OQT84" s="1"/>
      <c r="OQU84" s="1"/>
      <c r="OQV84" s="1"/>
      <c r="OQW84" s="1"/>
      <c r="OQX84" s="1"/>
      <c r="OQY84" s="1"/>
      <c r="OQZ84" s="1"/>
      <c r="ORA84" s="1"/>
      <c r="ORB84" s="1"/>
      <c r="ORC84" s="1"/>
      <c r="ORD84" s="1"/>
      <c r="ORE84" s="1"/>
      <c r="ORF84" s="1"/>
      <c r="ORG84" s="1"/>
      <c r="ORH84" s="1"/>
      <c r="ORI84" s="1"/>
      <c r="ORJ84" s="1"/>
      <c r="ORK84" s="1"/>
      <c r="ORL84" s="1"/>
      <c r="ORM84" s="1"/>
      <c r="ORN84" s="1"/>
      <c r="ORO84" s="1"/>
      <c r="ORP84" s="1"/>
      <c r="ORQ84" s="1"/>
      <c r="ORR84" s="1"/>
      <c r="ORS84" s="1"/>
      <c r="ORT84" s="1"/>
      <c r="ORU84" s="1"/>
      <c r="ORV84" s="1"/>
      <c r="ORW84" s="1"/>
      <c r="ORX84" s="1"/>
      <c r="ORY84" s="1"/>
      <c r="ORZ84" s="1"/>
      <c r="OSA84" s="1"/>
      <c r="OSB84" s="1"/>
      <c r="OSC84" s="1"/>
      <c r="OSD84" s="1"/>
      <c r="OSE84" s="1"/>
      <c r="OSF84" s="1"/>
      <c r="OSG84" s="1"/>
      <c r="OSH84" s="1"/>
      <c r="OSI84" s="1"/>
      <c r="OSJ84" s="1"/>
      <c r="OSK84" s="1"/>
      <c r="OSL84" s="1"/>
      <c r="OSM84" s="1"/>
      <c r="OSN84" s="1"/>
      <c r="OSO84" s="1"/>
      <c r="OSP84" s="1"/>
      <c r="OSQ84" s="1"/>
      <c r="OSR84" s="1"/>
      <c r="OSS84" s="1"/>
      <c r="OST84" s="1"/>
      <c r="OSU84" s="1"/>
      <c r="OSV84" s="1"/>
      <c r="OSW84" s="1"/>
      <c r="OSX84" s="1"/>
      <c r="OSY84" s="1"/>
      <c r="OSZ84" s="1"/>
      <c r="OTA84" s="1"/>
      <c r="OTB84" s="1"/>
      <c r="OTC84" s="1"/>
      <c r="OTD84" s="1"/>
      <c r="OTE84" s="1"/>
      <c r="OTF84" s="1"/>
      <c r="OTG84" s="1"/>
      <c r="OTH84" s="1"/>
      <c r="OTI84" s="1"/>
      <c r="OTJ84" s="1"/>
      <c r="OTK84" s="1"/>
      <c r="OTL84" s="1"/>
      <c r="OTM84" s="1"/>
      <c r="OTN84" s="1"/>
      <c r="OTO84" s="1"/>
      <c r="OTP84" s="1"/>
      <c r="OTQ84" s="1"/>
      <c r="OTR84" s="1"/>
      <c r="OTS84" s="1"/>
      <c r="OTT84" s="1"/>
      <c r="OTU84" s="1"/>
      <c r="OTV84" s="1"/>
      <c r="OTW84" s="1"/>
      <c r="OTX84" s="1"/>
      <c r="OTY84" s="1"/>
      <c r="OTZ84" s="1"/>
      <c r="OUA84" s="1"/>
      <c r="OUB84" s="1"/>
      <c r="OUC84" s="1"/>
      <c r="OUD84" s="1"/>
      <c r="OUE84" s="1"/>
      <c r="OUF84" s="1"/>
      <c r="OUG84" s="1"/>
      <c r="OUH84" s="1"/>
      <c r="OUI84" s="1"/>
      <c r="OUJ84" s="1"/>
      <c r="OUK84" s="1"/>
      <c r="OUL84" s="1"/>
      <c r="OUM84" s="1"/>
      <c r="OUN84" s="1"/>
      <c r="OUO84" s="1"/>
      <c r="OUP84" s="1"/>
      <c r="OUQ84" s="1"/>
      <c r="OUR84" s="1"/>
      <c r="OUS84" s="1"/>
      <c r="OUT84" s="1"/>
      <c r="OUU84" s="1"/>
      <c r="OUV84" s="1"/>
      <c r="OUW84" s="1"/>
      <c r="OUX84" s="1"/>
      <c r="OUY84" s="1"/>
      <c r="OUZ84" s="1"/>
      <c r="OVA84" s="1"/>
      <c r="OVB84" s="1"/>
      <c r="OVC84" s="1"/>
      <c r="OVD84" s="1"/>
      <c r="OVE84" s="1"/>
      <c r="OVF84" s="1"/>
      <c r="OVG84" s="1"/>
      <c r="OVH84" s="1"/>
      <c r="OVI84" s="1"/>
      <c r="OVJ84" s="1"/>
      <c r="OVK84" s="1"/>
      <c r="OVL84" s="1"/>
      <c r="OVM84" s="1"/>
      <c r="OVN84" s="1"/>
      <c r="OVO84" s="1"/>
      <c r="OVP84" s="1"/>
      <c r="OVQ84" s="1"/>
      <c r="OVR84" s="1"/>
      <c r="OVS84" s="1"/>
      <c r="OVT84" s="1"/>
      <c r="OVU84" s="1"/>
      <c r="OVV84" s="1"/>
      <c r="OVW84" s="1"/>
      <c r="OVX84" s="1"/>
      <c r="OVY84" s="1"/>
      <c r="OVZ84" s="1"/>
      <c r="OWA84" s="1"/>
      <c r="OWB84" s="1"/>
      <c r="OWC84" s="1"/>
      <c r="OWD84" s="1"/>
      <c r="OWE84" s="1"/>
      <c r="OWF84" s="1"/>
      <c r="OWG84" s="1"/>
      <c r="OWH84" s="1"/>
      <c r="OWI84" s="1"/>
      <c r="OWJ84" s="1"/>
      <c r="OWK84" s="1"/>
      <c r="OWL84" s="1"/>
      <c r="OWM84" s="1"/>
      <c r="OWN84" s="1"/>
      <c r="OWO84" s="1"/>
      <c r="OWP84" s="1"/>
      <c r="OWQ84" s="1"/>
      <c r="OWR84" s="1"/>
      <c r="OWS84" s="1"/>
      <c r="OWT84" s="1"/>
      <c r="OWU84" s="1"/>
      <c r="OWV84" s="1"/>
      <c r="OWW84" s="1"/>
      <c r="OWX84" s="1"/>
      <c r="OWY84" s="1"/>
      <c r="OWZ84" s="1"/>
      <c r="OXA84" s="1"/>
      <c r="OXB84" s="1"/>
      <c r="OXC84" s="1"/>
      <c r="OXD84" s="1"/>
      <c r="OXE84" s="1"/>
      <c r="OXF84" s="1"/>
      <c r="OXG84" s="1"/>
      <c r="OXH84" s="1"/>
      <c r="OXI84" s="1"/>
      <c r="OXJ84" s="1"/>
      <c r="OXK84" s="1"/>
      <c r="OXL84" s="1"/>
      <c r="OXM84" s="1"/>
      <c r="OXN84" s="1"/>
      <c r="OXO84" s="1"/>
      <c r="OXP84" s="1"/>
      <c r="OXQ84" s="1"/>
      <c r="OXR84" s="1"/>
      <c r="OXS84" s="1"/>
      <c r="OXT84" s="1"/>
      <c r="OXU84" s="1"/>
      <c r="OXV84" s="1"/>
      <c r="OXW84" s="1"/>
      <c r="OXX84" s="1"/>
      <c r="OXY84" s="1"/>
      <c r="OXZ84" s="1"/>
      <c r="OYA84" s="1"/>
      <c r="OYB84" s="1"/>
      <c r="OYC84" s="1"/>
      <c r="OYD84" s="1"/>
      <c r="OYE84" s="1"/>
      <c r="OYF84" s="1"/>
      <c r="OYG84" s="1"/>
      <c r="OYH84" s="1"/>
      <c r="OYI84" s="1"/>
      <c r="OYJ84" s="1"/>
      <c r="OYK84" s="1"/>
      <c r="OYL84" s="1"/>
      <c r="OYM84" s="1"/>
      <c r="OYN84" s="1"/>
      <c r="OYO84" s="1"/>
      <c r="OYP84" s="1"/>
      <c r="OYQ84" s="1"/>
      <c r="OYR84" s="1"/>
      <c r="OYS84" s="1"/>
      <c r="OYT84" s="1"/>
      <c r="OYU84" s="1"/>
      <c r="OYV84" s="1"/>
      <c r="OYW84" s="1"/>
      <c r="OYX84" s="1"/>
      <c r="OYY84" s="1"/>
      <c r="OYZ84" s="1"/>
      <c r="OZA84" s="1"/>
      <c r="OZB84" s="1"/>
      <c r="OZC84" s="1"/>
      <c r="OZD84" s="1"/>
      <c r="OZE84" s="1"/>
      <c r="OZF84" s="1"/>
      <c r="OZG84" s="1"/>
      <c r="OZH84" s="1"/>
      <c r="OZI84" s="1"/>
      <c r="OZJ84" s="1"/>
      <c r="OZK84" s="1"/>
      <c r="OZL84" s="1"/>
      <c r="OZM84" s="1"/>
      <c r="OZN84" s="1"/>
      <c r="OZO84" s="1"/>
      <c r="OZP84" s="1"/>
      <c r="OZQ84" s="1"/>
      <c r="OZR84" s="1"/>
      <c r="OZS84" s="1"/>
      <c r="OZT84" s="1"/>
      <c r="OZU84" s="1"/>
      <c r="OZV84" s="1"/>
      <c r="OZW84" s="1"/>
      <c r="OZX84" s="1"/>
      <c r="OZY84" s="1"/>
      <c r="OZZ84" s="1"/>
      <c r="PAA84" s="1"/>
      <c r="PAB84" s="1"/>
      <c r="PAC84" s="1"/>
      <c r="PAD84" s="1"/>
      <c r="PAE84" s="1"/>
      <c r="PAF84" s="1"/>
      <c r="PAG84" s="1"/>
      <c r="PAH84" s="1"/>
      <c r="PAI84" s="1"/>
      <c r="PAJ84" s="1"/>
      <c r="PAK84" s="1"/>
      <c r="PAL84" s="1"/>
      <c r="PAM84" s="1"/>
      <c r="PAN84" s="1"/>
      <c r="PAO84" s="1"/>
      <c r="PAP84" s="1"/>
      <c r="PAQ84" s="1"/>
      <c r="PAR84" s="1"/>
      <c r="PAS84" s="1"/>
      <c r="PAT84" s="1"/>
      <c r="PAU84" s="1"/>
      <c r="PAV84" s="1"/>
      <c r="PAW84" s="1"/>
      <c r="PAX84" s="1"/>
      <c r="PAY84" s="1"/>
      <c r="PAZ84" s="1"/>
      <c r="PBA84" s="1"/>
      <c r="PBB84" s="1"/>
      <c r="PBC84" s="1"/>
      <c r="PBD84" s="1"/>
      <c r="PBE84" s="1"/>
      <c r="PBF84" s="1"/>
      <c r="PBG84" s="1"/>
      <c r="PBH84" s="1"/>
      <c r="PBI84" s="1"/>
      <c r="PBJ84" s="1"/>
      <c r="PBK84" s="1"/>
      <c r="PBL84" s="1"/>
      <c r="PBM84" s="1"/>
      <c r="PBN84" s="1"/>
      <c r="PBO84" s="1"/>
      <c r="PBP84" s="1"/>
      <c r="PBQ84" s="1"/>
      <c r="PBR84" s="1"/>
      <c r="PBS84" s="1"/>
      <c r="PBT84" s="1"/>
      <c r="PBU84" s="1"/>
      <c r="PBV84" s="1"/>
      <c r="PBW84" s="1"/>
      <c r="PBX84" s="1"/>
      <c r="PBY84" s="1"/>
      <c r="PBZ84" s="1"/>
      <c r="PCA84" s="1"/>
      <c r="PCB84" s="1"/>
      <c r="PCC84" s="1"/>
      <c r="PCD84" s="1"/>
      <c r="PCE84" s="1"/>
      <c r="PCF84" s="1"/>
      <c r="PCG84" s="1"/>
      <c r="PCH84" s="1"/>
      <c r="PCI84" s="1"/>
      <c r="PCJ84" s="1"/>
      <c r="PCK84" s="1"/>
      <c r="PCL84" s="1"/>
      <c r="PCM84" s="1"/>
      <c r="PCN84" s="1"/>
      <c r="PCO84" s="1"/>
      <c r="PCP84" s="1"/>
      <c r="PCQ84" s="1"/>
      <c r="PCR84" s="1"/>
      <c r="PCS84" s="1"/>
      <c r="PCT84" s="1"/>
      <c r="PCU84" s="1"/>
      <c r="PCV84" s="1"/>
      <c r="PCW84" s="1"/>
      <c r="PCX84" s="1"/>
      <c r="PCY84" s="1"/>
      <c r="PCZ84" s="1"/>
      <c r="PDA84" s="1"/>
      <c r="PDB84" s="1"/>
      <c r="PDC84" s="1"/>
      <c r="PDD84" s="1"/>
      <c r="PDE84" s="1"/>
      <c r="PDF84" s="1"/>
      <c r="PDG84" s="1"/>
      <c r="PDH84" s="1"/>
      <c r="PDI84" s="1"/>
      <c r="PDJ84" s="1"/>
      <c r="PDK84" s="1"/>
      <c r="PDL84" s="1"/>
      <c r="PDM84" s="1"/>
      <c r="PDN84" s="1"/>
      <c r="PDO84" s="1"/>
      <c r="PDP84" s="1"/>
      <c r="PDQ84" s="1"/>
      <c r="PDR84" s="1"/>
      <c r="PDS84" s="1"/>
      <c r="PDT84" s="1"/>
      <c r="PDU84" s="1"/>
      <c r="PDV84" s="1"/>
      <c r="PDW84" s="1"/>
      <c r="PDX84" s="1"/>
      <c r="PDY84" s="1"/>
      <c r="PDZ84" s="1"/>
      <c r="PEA84" s="1"/>
      <c r="PEB84" s="1"/>
      <c r="PEC84" s="1"/>
      <c r="PED84" s="1"/>
      <c r="PEE84" s="1"/>
      <c r="PEF84" s="1"/>
      <c r="PEG84" s="1"/>
      <c r="PEH84" s="1"/>
      <c r="PEI84" s="1"/>
      <c r="PEJ84" s="1"/>
      <c r="PEK84" s="1"/>
      <c r="PEL84" s="1"/>
      <c r="PEM84" s="1"/>
      <c r="PEN84" s="1"/>
      <c r="PEO84" s="1"/>
      <c r="PEP84" s="1"/>
      <c r="PEQ84" s="1"/>
      <c r="PER84" s="1"/>
      <c r="PES84" s="1"/>
      <c r="PET84" s="1"/>
      <c r="PEU84" s="1"/>
      <c r="PEV84" s="1"/>
      <c r="PEW84" s="1"/>
      <c r="PEX84" s="1"/>
      <c r="PEY84" s="1"/>
      <c r="PEZ84" s="1"/>
      <c r="PFA84" s="1"/>
      <c r="PFB84" s="1"/>
      <c r="PFC84" s="1"/>
      <c r="PFD84" s="1"/>
      <c r="PFE84" s="1"/>
      <c r="PFF84" s="1"/>
      <c r="PFG84" s="1"/>
      <c r="PFH84" s="1"/>
      <c r="PFI84" s="1"/>
      <c r="PFJ84" s="1"/>
      <c r="PFK84" s="1"/>
      <c r="PFL84" s="1"/>
      <c r="PFM84" s="1"/>
      <c r="PFN84" s="1"/>
      <c r="PFO84" s="1"/>
      <c r="PFP84" s="1"/>
      <c r="PFQ84" s="1"/>
      <c r="PFR84" s="1"/>
      <c r="PFS84" s="1"/>
      <c r="PFT84" s="1"/>
      <c r="PFU84" s="1"/>
      <c r="PFV84" s="1"/>
      <c r="PFW84" s="1"/>
      <c r="PFX84" s="1"/>
      <c r="PFY84" s="1"/>
      <c r="PFZ84" s="1"/>
      <c r="PGA84" s="1"/>
      <c r="PGB84" s="1"/>
      <c r="PGC84" s="1"/>
      <c r="PGD84" s="1"/>
      <c r="PGE84" s="1"/>
      <c r="PGF84" s="1"/>
      <c r="PGG84" s="1"/>
      <c r="PGH84" s="1"/>
      <c r="PGI84" s="1"/>
      <c r="PGJ84" s="1"/>
      <c r="PGK84" s="1"/>
      <c r="PGL84" s="1"/>
      <c r="PGM84" s="1"/>
      <c r="PGN84" s="1"/>
      <c r="PGO84" s="1"/>
      <c r="PGP84" s="1"/>
      <c r="PGQ84" s="1"/>
      <c r="PGR84" s="1"/>
      <c r="PGS84" s="1"/>
      <c r="PGT84" s="1"/>
      <c r="PGU84" s="1"/>
      <c r="PGV84" s="1"/>
      <c r="PGW84" s="1"/>
      <c r="PGX84" s="1"/>
      <c r="PGY84" s="1"/>
      <c r="PGZ84" s="1"/>
      <c r="PHA84" s="1"/>
      <c r="PHB84" s="1"/>
      <c r="PHC84" s="1"/>
      <c r="PHD84" s="1"/>
      <c r="PHE84" s="1"/>
      <c r="PHF84" s="1"/>
      <c r="PHG84" s="1"/>
      <c r="PHH84" s="1"/>
      <c r="PHI84" s="1"/>
      <c r="PHJ84" s="1"/>
      <c r="PHK84" s="1"/>
      <c r="PHL84" s="1"/>
      <c r="PHM84" s="1"/>
      <c r="PHN84" s="1"/>
      <c r="PHO84" s="1"/>
      <c r="PHP84" s="1"/>
      <c r="PHQ84" s="1"/>
      <c r="PHR84" s="1"/>
      <c r="PHS84" s="1"/>
      <c r="PHT84" s="1"/>
      <c r="PHU84" s="1"/>
      <c r="PHV84" s="1"/>
      <c r="PHW84" s="1"/>
      <c r="PHX84" s="1"/>
      <c r="PHY84" s="1"/>
      <c r="PHZ84" s="1"/>
      <c r="PIA84" s="1"/>
      <c r="PIB84" s="1"/>
      <c r="PIC84" s="1"/>
      <c r="PID84" s="1"/>
      <c r="PIE84" s="1"/>
      <c r="PIF84" s="1"/>
      <c r="PIG84" s="1"/>
      <c r="PIH84" s="1"/>
      <c r="PII84" s="1"/>
      <c r="PIJ84" s="1"/>
      <c r="PIK84" s="1"/>
      <c r="PIL84" s="1"/>
      <c r="PIM84" s="1"/>
      <c r="PIN84" s="1"/>
      <c r="PIO84" s="1"/>
      <c r="PIP84" s="1"/>
      <c r="PIQ84" s="1"/>
      <c r="PIR84" s="1"/>
      <c r="PIS84" s="1"/>
      <c r="PIT84" s="1"/>
      <c r="PIU84" s="1"/>
      <c r="PIV84" s="1"/>
      <c r="PIW84" s="1"/>
      <c r="PIX84" s="1"/>
      <c r="PIY84" s="1"/>
      <c r="PIZ84" s="1"/>
      <c r="PJA84" s="1"/>
      <c r="PJB84" s="1"/>
      <c r="PJC84" s="1"/>
      <c r="PJD84" s="1"/>
      <c r="PJE84" s="1"/>
      <c r="PJF84" s="1"/>
      <c r="PJG84" s="1"/>
      <c r="PJH84" s="1"/>
      <c r="PJI84" s="1"/>
      <c r="PJJ84" s="1"/>
      <c r="PJK84" s="1"/>
      <c r="PJL84" s="1"/>
      <c r="PJM84" s="1"/>
      <c r="PJN84" s="1"/>
      <c r="PJO84" s="1"/>
      <c r="PJP84" s="1"/>
      <c r="PJQ84" s="1"/>
      <c r="PJR84" s="1"/>
      <c r="PJS84" s="1"/>
      <c r="PJT84" s="1"/>
      <c r="PJU84" s="1"/>
      <c r="PJV84" s="1"/>
      <c r="PJW84" s="1"/>
      <c r="PJX84" s="1"/>
      <c r="PJY84" s="1"/>
      <c r="PJZ84" s="1"/>
      <c r="PKA84" s="1"/>
      <c r="PKB84" s="1"/>
      <c r="PKC84" s="1"/>
      <c r="PKD84" s="1"/>
      <c r="PKE84" s="1"/>
      <c r="PKF84" s="1"/>
      <c r="PKG84" s="1"/>
      <c r="PKH84" s="1"/>
      <c r="PKI84" s="1"/>
      <c r="PKJ84" s="1"/>
      <c r="PKK84" s="1"/>
      <c r="PKL84" s="1"/>
      <c r="PKM84" s="1"/>
      <c r="PKN84" s="1"/>
      <c r="PKO84" s="1"/>
      <c r="PKP84" s="1"/>
      <c r="PKQ84" s="1"/>
      <c r="PKR84" s="1"/>
      <c r="PKS84" s="1"/>
      <c r="PKT84" s="1"/>
      <c r="PKU84" s="1"/>
      <c r="PKV84" s="1"/>
      <c r="PKW84" s="1"/>
      <c r="PKX84" s="1"/>
      <c r="PKY84" s="1"/>
      <c r="PKZ84" s="1"/>
      <c r="PLA84" s="1"/>
      <c r="PLB84" s="1"/>
      <c r="PLC84" s="1"/>
      <c r="PLD84" s="1"/>
      <c r="PLE84" s="1"/>
      <c r="PLF84" s="1"/>
      <c r="PLG84" s="1"/>
      <c r="PLH84" s="1"/>
      <c r="PLI84" s="1"/>
      <c r="PLJ84" s="1"/>
      <c r="PLK84" s="1"/>
      <c r="PLL84" s="1"/>
      <c r="PLM84" s="1"/>
      <c r="PLN84" s="1"/>
      <c r="PLO84" s="1"/>
      <c r="PLP84" s="1"/>
      <c r="PLQ84" s="1"/>
      <c r="PLR84" s="1"/>
      <c r="PLS84" s="1"/>
      <c r="PLT84" s="1"/>
      <c r="PLU84" s="1"/>
      <c r="PLV84" s="1"/>
      <c r="PLW84" s="1"/>
      <c r="PLX84" s="1"/>
      <c r="PLY84" s="1"/>
      <c r="PLZ84" s="1"/>
      <c r="PMA84" s="1"/>
      <c r="PMB84" s="1"/>
      <c r="PMC84" s="1"/>
      <c r="PMD84" s="1"/>
      <c r="PME84" s="1"/>
      <c r="PMF84" s="1"/>
      <c r="PMG84" s="1"/>
      <c r="PMH84" s="1"/>
      <c r="PMI84" s="1"/>
      <c r="PMJ84" s="1"/>
      <c r="PMK84" s="1"/>
      <c r="PML84" s="1"/>
      <c r="PMM84" s="1"/>
      <c r="PMN84" s="1"/>
      <c r="PMO84" s="1"/>
      <c r="PMP84" s="1"/>
      <c r="PMQ84" s="1"/>
      <c r="PMR84" s="1"/>
      <c r="PMS84" s="1"/>
      <c r="PMT84" s="1"/>
      <c r="PMU84" s="1"/>
      <c r="PMV84" s="1"/>
      <c r="PMW84" s="1"/>
      <c r="PMX84" s="1"/>
      <c r="PMY84" s="1"/>
      <c r="PMZ84" s="1"/>
      <c r="PNA84" s="1"/>
      <c r="PNB84" s="1"/>
      <c r="PNC84" s="1"/>
      <c r="PND84" s="1"/>
      <c r="PNE84" s="1"/>
      <c r="PNF84" s="1"/>
      <c r="PNG84" s="1"/>
      <c r="PNH84" s="1"/>
      <c r="PNI84" s="1"/>
      <c r="PNJ84" s="1"/>
      <c r="PNK84" s="1"/>
      <c r="PNL84" s="1"/>
      <c r="PNM84" s="1"/>
      <c r="PNN84" s="1"/>
      <c r="PNO84" s="1"/>
      <c r="PNP84" s="1"/>
      <c r="PNQ84" s="1"/>
      <c r="PNR84" s="1"/>
      <c r="PNS84" s="1"/>
      <c r="PNT84" s="1"/>
      <c r="PNU84" s="1"/>
      <c r="PNV84" s="1"/>
      <c r="PNW84" s="1"/>
      <c r="PNX84" s="1"/>
      <c r="PNY84" s="1"/>
      <c r="PNZ84" s="1"/>
      <c r="POA84" s="1"/>
      <c r="POB84" s="1"/>
      <c r="POC84" s="1"/>
      <c r="POD84" s="1"/>
      <c r="POE84" s="1"/>
      <c r="POF84" s="1"/>
      <c r="POG84" s="1"/>
      <c r="POH84" s="1"/>
      <c r="POI84" s="1"/>
      <c r="POJ84" s="1"/>
      <c r="POK84" s="1"/>
      <c r="POL84" s="1"/>
      <c r="POM84" s="1"/>
      <c r="PON84" s="1"/>
      <c r="POO84" s="1"/>
      <c r="POP84" s="1"/>
      <c r="POQ84" s="1"/>
      <c r="POR84" s="1"/>
      <c r="POS84" s="1"/>
      <c r="POT84" s="1"/>
      <c r="POU84" s="1"/>
      <c r="POV84" s="1"/>
      <c r="POW84" s="1"/>
      <c r="POX84" s="1"/>
      <c r="POY84" s="1"/>
      <c r="POZ84" s="1"/>
      <c r="PPA84" s="1"/>
      <c r="PPB84" s="1"/>
      <c r="PPC84" s="1"/>
      <c r="PPD84" s="1"/>
      <c r="PPE84" s="1"/>
      <c r="PPF84" s="1"/>
      <c r="PPG84" s="1"/>
      <c r="PPH84" s="1"/>
      <c r="PPI84" s="1"/>
      <c r="PPJ84" s="1"/>
      <c r="PPK84" s="1"/>
      <c r="PPL84" s="1"/>
      <c r="PPM84" s="1"/>
      <c r="PPN84" s="1"/>
      <c r="PPO84" s="1"/>
      <c r="PPP84" s="1"/>
      <c r="PPQ84" s="1"/>
      <c r="PPR84" s="1"/>
      <c r="PPS84" s="1"/>
      <c r="PPT84" s="1"/>
      <c r="PPU84" s="1"/>
      <c r="PPV84" s="1"/>
      <c r="PPW84" s="1"/>
      <c r="PPX84" s="1"/>
      <c r="PPY84" s="1"/>
      <c r="PPZ84" s="1"/>
      <c r="PQA84" s="1"/>
      <c r="PQB84" s="1"/>
      <c r="PQC84" s="1"/>
      <c r="PQD84" s="1"/>
      <c r="PQE84" s="1"/>
      <c r="PQF84" s="1"/>
      <c r="PQG84" s="1"/>
      <c r="PQH84" s="1"/>
      <c r="PQI84" s="1"/>
      <c r="PQJ84" s="1"/>
      <c r="PQK84" s="1"/>
      <c r="PQL84" s="1"/>
      <c r="PQM84" s="1"/>
      <c r="PQN84" s="1"/>
      <c r="PQO84" s="1"/>
      <c r="PQP84" s="1"/>
      <c r="PQQ84" s="1"/>
      <c r="PQR84" s="1"/>
      <c r="PQS84" s="1"/>
      <c r="PQT84" s="1"/>
      <c r="PQU84" s="1"/>
      <c r="PQV84" s="1"/>
      <c r="PQW84" s="1"/>
      <c r="PQX84" s="1"/>
      <c r="PQY84" s="1"/>
      <c r="PQZ84" s="1"/>
      <c r="PRA84" s="1"/>
      <c r="PRB84" s="1"/>
      <c r="PRC84" s="1"/>
      <c r="PRD84" s="1"/>
      <c r="PRE84" s="1"/>
      <c r="PRF84" s="1"/>
      <c r="PRG84" s="1"/>
      <c r="PRH84" s="1"/>
      <c r="PRI84" s="1"/>
      <c r="PRJ84" s="1"/>
      <c r="PRK84" s="1"/>
      <c r="PRL84" s="1"/>
      <c r="PRM84" s="1"/>
      <c r="PRN84" s="1"/>
      <c r="PRO84" s="1"/>
      <c r="PRP84" s="1"/>
      <c r="PRQ84" s="1"/>
      <c r="PRR84" s="1"/>
      <c r="PRS84" s="1"/>
      <c r="PRT84" s="1"/>
      <c r="PRU84" s="1"/>
      <c r="PRV84" s="1"/>
      <c r="PRW84" s="1"/>
      <c r="PRX84" s="1"/>
      <c r="PRY84" s="1"/>
      <c r="PRZ84" s="1"/>
      <c r="PSA84" s="1"/>
      <c r="PSB84" s="1"/>
      <c r="PSC84" s="1"/>
      <c r="PSD84" s="1"/>
      <c r="PSE84" s="1"/>
      <c r="PSF84" s="1"/>
      <c r="PSG84" s="1"/>
      <c r="PSH84" s="1"/>
      <c r="PSI84" s="1"/>
      <c r="PSJ84" s="1"/>
      <c r="PSK84" s="1"/>
      <c r="PSL84" s="1"/>
      <c r="PSM84" s="1"/>
      <c r="PSN84" s="1"/>
      <c r="PSO84" s="1"/>
      <c r="PSP84" s="1"/>
      <c r="PSQ84" s="1"/>
      <c r="PSR84" s="1"/>
      <c r="PSS84" s="1"/>
      <c r="PST84" s="1"/>
      <c r="PSU84" s="1"/>
      <c r="PSV84" s="1"/>
      <c r="PSW84" s="1"/>
      <c r="PSX84" s="1"/>
      <c r="PSY84" s="1"/>
      <c r="PSZ84" s="1"/>
      <c r="PTA84" s="1"/>
      <c r="PTB84" s="1"/>
      <c r="PTC84" s="1"/>
      <c r="PTD84" s="1"/>
      <c r="PTE84" s="1"/>
      <c r="PTF84" s="1"/>
      <c r="PTG84" s="1"/>
      <c r="PTH84" s="1"/>
      <c r="PTI84" s="1"/>
      <c r="PTJ84" s="1"/>
      <c r="PTK84" s="1"/>
      <c r="PTL84" s="1"/>
      <c r="PTM84" s="1"/>
      <c r="PTN84" s="1"/>
      <c r="PTO84" s="1"/>
      <c r="PTP84" s="1"/>
      <c r="PTQ84" s="1"/>
      <c r="PTR84" s="1"/>
      <c r="PTS84" s="1"/>
      <c r="PTT84" s="1"/>
      <c r="PTU84" s="1"/>
      <c r="PTV84" s="1"/>
      <c r="PTW84" s="1"/>
      <c r="PTX84" s="1"/>
      <c r="PTY84" s="1"/>
      <c r="PTZ84" s="1"/>
      <c r="PUA84" s="1"/>
      <c r="PUB84" s="1"/>
      <c r="PUC84" s="1"/>
      <c r="PUD84" s="1"/>
      <c r="PUE84" s="1"/>
      <c r="PUF84" s="1"/>
      <c r="PUG84" s="1"/>
      <c r="PUH84" s="1"/>
      <c r="PUI84" s="1"/>
      <c r="PUJ84" s="1"/>
      <c r="PUK84" s="1"/>
      <c r="PUL84" s="1"/>
      <c r="PUM84" s="1"/>
      <c r="PUN84" s="1"/>
      <c r="PUO84" s="1"/>
      <c r="PUP84" s="1"/>
      <c r="PUQ84" s="1"/>
      <c r="PUR84" s="1"/>
      <c r="PUS84" s="1"/>
      <c r="PUT84" s="1"/>
      <c r="PUU84" s="1"/>
      <c r="PUV84" s="1"/>
      <c r="PUW84" s="1"/>
      <c r="PUX84" s="1"/>
      <c r="PUY84" s="1"/>
      <c r="PUZ84" s="1"/>
      <c r="PVA84" s="1"/>
      <c r="PVB84" s="1"/>
      <c r="PVC84" s="1"/>
      <c r="PVD84" s="1"/>
      <c r="PVE84" s="1"/>
      <c r="PVF84" s="1"/>
      <c r="PVG84" s="1"/>
      <c r="PVH84" s="1"/>
      <c r="PVI84" s="1"/>
      <c r="PVJ84" s="1"/>
      <c r="PVK84" s="1"/>
      <c r="PVL84" s="1"/>
      <c r="PVM84" s="1"/>
      <c r="PVN84" s="1"/>
      <c r="PVO84" s="1"/>
      <c r="PVP84" s="1"/>
      <c r="PVQ84" s="1"/>
      <c r="PVR84" s="1"/>
      <c r="PVS84" s="1"/>
      <c r="PVT84" s="1"/>
      <c r="PVU84" s="1"/>
      <c r="PVV84" s="1"/>
      <c r="PVW84" s="1"/>
      <c r="PVX84" s="1"/>
      <c r="PVY84" s="1"/>
      <c r="PVZ84" s="1"/>
      <c r="PWA84" s="1"/>
      <c r="PWB84" s="1"/>
      <c r="PWC84" s="1"/>
      <c r="PWD84" s="1"/>
      <c r="PWE84" s="1"/>
      <c r="PWF84" s="1"/>
      <c r="PWG84" s="1"/>
      <c r="PWH84" s="1"/>
      <c r="PWI84" s="1"/>
      <c r="PWJ84" s="1"/>
      <c r="PWK84" s="1"/>
      <c r="PWL84" s="1"/>
      <c r="PWM84" s="1"/>
      <c r="PWN84" s="1"/>
      <c r="PWO84" s="1"/>
      <c r="PWP84" s="1"/>
      <c r="PWQ84" s="1"/>
      <c r="PWR84" s="1"/>
      <c r="PWS84" s="1"/>
      <c r="PWT84" s="1"/>
      <c r="PWU84" s="1"/>
      <c r="PWV84" s="1"/>
      <c r="PWW84" s="1"/>
      <c r="PWX84" s="1"/>
      <c r="PWY84" s="1"/>
      <c r="PWZ84" s="1"/>
      <c r="PXA84" s="1"/>
      <c r="PXB84" s="1"/>
      <c r="PXC84" s="1"/>
      <c r="PXD84" s="1"/>
      <c r="PXE84" s="1"/>
      <c r="PXF84" s="1"/>
      <c r="PXG84" s="1"/>
      <c r="PXH84" s="1"/>
      <c r="PXI84" s="1"/>
      <c r="PXJ84" s="1"/>
      <c r="PXK84" s="1"/>
      <c r="PXL84" s="1"/>
      <c r="PXM84" s="1"/>
      <c r="PXN84" s="1"/>
      <c r="PXO84" s="1"/>
      <c r="PXP84" s="1"/>
      <c r="PXQ84" s="1"/>
      <c r="PXR84" s="1"/>
      <c r="PXS84" s="1"/>
      <c r="PXT84" s="1"/>
      <c r="PXU84" s="1"/>
      <c r="PXV84" s="1"/>
      <c r="PXW84" s="1"/>
      <c r="PXX84" s="1"/>
      <c r="PXY84" s="1"/>
      <c r="PXZ84" s="1"/>
      <c r="PYA84" s="1"/>
      <c r="PYB84" s="1"/>
      <c r="PYC84" s="1"/>
      <c r="PYD84" s="1"/>
      <c r="PYE84" s="1"/>
      <c r="PYF84" s="1"/>
      <c r="PYG84" s="1"/>
      <c r="PYH84" s="1"/>
      <c r="PYI84" s="1"/>
      <c r="PYJ84" s="1"/>
      <c r="PYK84" s="1"/>
      <c r="PYL84" s="1"/>
      <c r="PYM84" s="1"/>
      <c r="PYN84" s="1"/>
      <c r="PYO84" s="1"/>
      <c r="PYP84" s="1"/>
      <c r="PYQ84" s="1"/>
      <c r="PYR84" s="1"/>
      <c r="PYS84" s="1"/>
      <c r="PYT84" s="1"/>
      <c r="PYU84" s="1"/>
      <c r="PYV84" s="1"/>
      <c r="PYW84" s="1"/>
      <c r="PYX84" s="1"/>
      <c r="PYY84" s="1"/>
      <c r="PYZ84" s="1"/>
      <c r="PZA84" s="1"/>
      <c r="PZB84" s="1"/>
      <c r="PZC84" s="1"/>
      <c r="PZD84" s="1"/>
      <c r="PZE84" s="1"/>
      <c r="PZF84" s="1"/>
      <c r="PZG84" s="1"/>
      <c r="PZH84" s="1"/>
      <c r="PZI84" s="1"/>
      <c r="PZJ84" s="1"/>
      <c r="PZK84" s="1"/>
      <c r="PZL84" s="1"/>
      <c r="PZM84" s="1"/>
      <c r="PZN84" s="1"/>
      <c r="PZO84" s="1"/>
      <c r="PZP84" s="1"/>
      <c r="PZQ84" s="1"/>
      <c r="PZR84" s="1"/>
      <c r="PZS84" s="1"/>
      <c r="PZT84" s="1"/>
      <c r="PZU84" s="1"/>
      <c r="PZV84" s="1"/>
      <c r="PZW84" s="1"/>
      <c r="PZX84" s="1"/>
      <c r="PZY84" s="1"/>
      <c r="PZZ84" s="1"/>
      <c r="QAA84" s="1"/>
      <c r="QAB84" s="1"/>
      <c r="QAC84" s="1"/>
      <c r="QAD84" s="1"/>
      <c r="QAE84" s="1"/>
      <c r="QAF84" s="1"/>
      <c r="QAG84" s="1"/>
      <c r="QAH84" s="1"/>
      <c r="QAI84" s="1"/>
      <c r="QAJ84" s="1"/>
      <c r="QAK84" s="1"/>
      <c r="QAL84" s="1"/>
      <c r="QAM84" s="1"/>
      <c r="QAN84" s="1"/>
      <c r="QAO84" s="1"/>
      <c r="QAP84" s="1"/>
      <c r="QAQ84" s="1"/>
      <c r="QAR84" s="1"/>
      <c r="QAS84" s="1"/>
      <c r="QAT84" s="1"/>
      <c r="QAU84" s="1"/>
      <c r="QAV84" s="1"/>
      <c r="QAW84" s="1"/>
      <c r="QAX84" s="1"/>
      <c r="QAY84" s="1"/>
      <c r="QAZ84" s="1"/>
      <c r="QBA84" s="1"/>
      <c r="QBB84" s="1"/>
      <c r="QBC84" s="1"/>
      <c r="QBD84" s="1"/>
      <c r="QBE84" s="1"/>
      <c r="QBF84" s="1"/>
      <c r="QBG84" s="1"/>
      <c r="QBH84" s="1"/>
      <c r="QBI84" s="1"/>
      <c r="QBJ84" s="1"/>
      <c r="QBK84" s="1"/>
      <c r="QBL84" s="1"/>
      <c r="QBM84" s="1"/>
      <c r="QBN84" s="1"/>
      <c r="QBO84" s="1"/>
      <c r="QBP84" s="1"/>
      <c r="QBQ84" s="1"/>
      <c r="QBR84" s="1"/>
      <c r="QBS84" s="1"/>
      <c r="QBT84" s="1"/>
      <c r="QBU84" s="1"/>
      <c r="QBV84" s="1"/>
      <c r="QBW84" s="1"/>
      <c r="QBX84" s="1"/>
      <c r="QBY84" s="1"/>
      <c r="QBZ84" s="1"/>
      <c r="QCA84" s="1"/>
      <c r="QCB84" s="1"/>
      <c r="QCC84" s="1"/>
      <c r="QCD84" s="1"/>
      <c r="QCE84" s="1"/>
      <c r="QCF84" s="1"/>
      <c r="QCG84" s="1"/>
      <c r="QCH84" s="1"/>
      <c r="QCI84" s="1"/>
      <c r="QCJ84" s="1"/>
      <c r="QCK84" s="1"/>
      <c r="QCL84" s="1"/>
      <c r="QCM84" s="1"/>
      <c r="QCN84" s="1"/>
      <c r="QCO84" s="1"/>
      <c r="QCP84" s="1"/>
      <c r="QCQ84" s="1"/>
      <c r="QCR84" s="1"/>
      <c r="QCS84" s="1"/>
      <c r="QCT84" s="1"/>
      <c r="QCU84" s="1"/>
      <c r="QCV84" s="1"/>
      <c r="QCW84" s="1"/>
      <c r="QCX84" s="1"/>
      <c r="QCY84" s="1"/>
      <c r="QCZ84" s="1"/>
      <c r="QDA84" s="1"/>
      <c r="QDB84" s="1"/>
      <c r="QDC84" s="1"/>
      <c r="QDD84" s="1"/>
      <c r="QDE84" s="1"/>
      <c r="QDF84" s="1"/>
      <c r="QDG84" s="1"/>
      <c r="QDH84" s="1"/>
      <c r="QDI84" s="1"/>
      <c r="QDJ84" s="1"/>
      <c r="QDK84" s="1"/>
      <c r="QDL84" s="1"/>
      <c r="QDM84" s="1"/>
      <c r="QDN84" s="1"/>
      <c r="QDO84" s="1"/>
      <c r="QDP84" s="1"/>
      <c r="QDQ84" s="1"/>
      <c r="QDR84" s="1"/>
      <c r="QDS84" s="1"/>
      <c r="QDT84" s="1"/>
      <c r="QDU84" s="1"/>
      <c r="QDV84" s="1"/>
      <c r="QDW84" s="1"/>
      <c r="QDX84" s="1"/>
      <c r="QDY84" s="1"/>
      <c r="QDZ84" s="1"/>
      <c r="QEA84" s="1"/>
      <c r="QEB84" s="1"/>
      <c r="QEC84" s="1"/>
      <c r="QED84" s="1"/>
      <c r="QEE84" s="1"/>
      <c r="QEF84" s="1"/>
      <c r="QEG84" s="1"/>
      <c r="QEH84" s="1"/>
      <c r="QEI84" s="1"/>
      <c r="QEJ84" s="1"/>
      <c r="QEK84" s="1"/>
      <c r="QEL84" s="1"/>
      <c r="QEM84" s="1"/>
      <c r="QEN84" s="1"/>
      <c r="QEO84" s="1"/>
      <c r="QEP84" s="1"/>
      <c r="QEQ84" s="1"/>
      <c r="QER84" s="1"/>
      <c r="QES84" s="1"/>
      <c r="QET84" s="1"/>
      <c r="QEU84" s="1"/>
      <c r="QEV84" s="1"/>
      <c r="QEW84" s="1"/>
      <c r="QEX84" s="1"/>
      <c r="QEY84" s="1"/>
      <c r="QEZ84" s="1"/>
      <c r="QFA84" s="1"/>
      <c r="QFB84" s="1"/>
      <c r="QFC84" s="1"/>
      <c r="QFD84" s="1"/>
      <c r="QFE84" s="1"/>
      <c r="QFF84" s="1"/>
      <c r="QFG84" s="1"/>
      <c r="QFH84" s="1"/>
      <c r="QFI84" s="1"/>
      <c r="QFJ84" s="1"/>
      <c r="QFK84" s="1"/>
      <c r="QFL84" s="1"/>
      <c r="QFM84" s="1"/>
      <c r="QFN84" s="1"/>
      <c r="QFO84" s="1"/>
      <c r="QFP84" s="1"/>
      <c r="QFQ84" s="1"/>
      <c r="QFR84" s="1"/>
      <c r="QFS84" s="1"/>
      <c r="QFT84" s="1"/>
      <c r="QFU84" s="1"/>
      <c r="QFV84" s="1"/>
      <c r="QFW84" s="1"/>
      <c r="QFX84" s="1"/>
      <c r="QFY84" s="1"/>
      <c r="QFZ84" s="1"/>
      <c r="QGA84" s="1"/>
      <c r="QGB84" s="1"/>
      <c r="QGC84" s="1"/>
      <c r="QGD84" s="1"/>
      <c r="QGE84" s="1"/>
      <c r="QGF84" s="1"/>
      <c r="QGG84" s="1"/>
      <c r="QGH84" s="1"/>
      <c r="QGI84" s="1"/>
      <c r="QGJ84" s="1"/>
      <c r="QGK84" s="1"/>
      <c r="QGL84" s="1"/>
      <c r="QGM84" s="1"/>
      <c r="QGN84" s="1"/>
      <c r="QGO84" s="1"/>
      <c r="QGP84" s="1"/>
      <c r="QGQ84" s="1"/>
      <c r="QGR84" s="1"/>
      <c r="QGS84" s="1"/>
      <c r="QGT84" s="1"/>
      <c r="QGU84" s="1"/>
      <c r="QGV84" s="1"/>
      <c r="QGW84" s="1"/>
      <c r="QGX84" s="1"/>
      <c r="QGY84" s="1"/>
      <c r="QGZ84" s="1"/>
      <c r="QHA84" s="1"/>
      <c r="QHB84" s="1"/>
      <c r="QHC84" s="1"/>
      <c r="QHD84" s="1"/>
      <c r="QHE84" s="1"/>
      <c r="QHF84" s="1"/>
      <c r="QHG84" s="1"/>
      <c r="QHH84" s="1"/>
      <c r="QHI84" s="1"/>
      <c r="QHJ84" s="1"/>
      <c r="QHK84" s="1"/>
      <c r="QHL84" s="1"/>
      <c r="QHM84" s="1"/>
      <c r="QHN84" s="1"/>
      <c r="QHO84" s="1"/>
      <c r="QHP84" s="1"/>
      <c r="QHQ84" s="1"/>
      <c r="QHR84" s="1"/>
      <c r="QHS84" s="1"/>
      <c r="QHT84" s="1"/>
      <c r="QHU84" s="1"/>
      <c r="QHV84" s="1"/>
      <c r="QHW84" s="1"/>
      <c r="QHX84" s="1"/>
      <c r="QHY84" s="1"/>
      <c r="QHZ84" s="1"/>
      <c r="QIA84" s="1"/>
      <c r="QIB84" s="1"/>
      <c r="QIC84" s="1"/>
      <c r="QID84" s="1"/>
      <c r="QIE84" s="1"/>
      <c r="QIF84" s="1"/>
      <c r="QIG84" s="1"/>
      <c r="QIH84" s="1"/>
      <c r="QII84" s="1"/>
      <c r="QIJ84" s="1"/>
      <c r="QIK84" s="1"/>
      <c r="QIL84" s="1"/>
      <c r="QIM84" s="1"/>
      <c r="QIN84" s="1"/>
      <c r="QIO84" s="1"/>
      <c r="QIP84" s="1"/>
      <c r="QIQ84" s="1"/>
      <c r="QIR84" s="1"/>
      <c r="QIS84" s="1"/>
      <c r="QIT84" s="1"/>
      <c r="QIU84" s="1"/>
      <c r="QIV84" s="1"/>
      <c r="QIW84" s="1"/>
      <c r="QIX84" s="1"/>
      <c r="QIY84" s="1"/>
      <c r="QIZ84" s="1"/>
      <c r="QJA84" s="1"/>
      <c r="QJB84" s="1"/>
      <c r="QJC84" s="1"/>
      <c r="QJD84" s="1"/>
      <c r="QJE84" s="1"/>
      <c r="QJF84" s="1"/>
      <c r="QJG84" s="1"/>
      <c r="QJH84" s="1"/>
      <c r="QJI84" s="1"/>
      <c r="QJJ84" s="1"/>
      <c r="QJK84" s="1"/>
      <c r="QJL84" s="1"/>
      <c r="QJM84" s="1"/>
      <c r="QJN84" s="1"/>
      <c r="QJO84" s="1"/>
      <c r="QJP84" s="1"/>
      <c r="QJQ84" s="1"/>
      <c r="QJR84" s="1"/>
      <c r="QJS84" s="1"/>
      <c r="QJT84" s="1"/>
      <c r="QJU84" s="1"/>
      <c r="QJV84" s="1"/>
      <c r="QJW84" s="1"/>
      <c r="QJX84" s="1"/>
      <c r="QJY84" s="1"/>
      <c r="QJZ84" s="1"/>
      <c r="QKA84" s="1"/>
      <c r="QKB84" s="1"/>
      <c r="QKC84" s="1"/>
      <c r="QKD84" s="1"/>
      <c r="QKE84" s="1"/>
      <c r="QKF84" s="1"/>
      <c r="QKG84" s="1"/>
      <c r="QKH84" s="1"/>
      <c r="QKI84" s="1"/>
      <c r="QKJ84" s="1"/>
      <c r="QKK84" s="1"/>
      <c r="QKL84" s="1"/>
      <c r="QKM84" s="1"/>
      <c r="QKN84" s="1"/>
      <c r="QKO84" s="1"/>
      <c r="QKP84" s="1"/>
      <c r="QKQ84" s="1"/>
      <c r="QKR84" s="1"/>
      <c r="QKS84" s="1"/>
      <c r="QKT84" s="1"/>
      <c r="QKU84" s="1"/>
      <c r="QKV84" s="1"/>
      <c r="QKW84" s="1"/>
      <c r="QKX84" s="1"/>
      <c r="QKY84" s="1"/>
      <c r="QKZ84" s="1"/>
      <c r="QLA84" s="1"/>
      <c r="QLB84" s="1"/>
      <c r="QLC84" s="1"/>
      <c r="QLD84" s="1"/>
      <c r="QLE84" s="1"/>
      <c r="QLF84" s="1"/>
      <c r="QLG84" s="1"/>
      <c r="QLH84" s="1"/>
      <c r="QLI84" s="1"/>
      <c r="QLJ84" s="1"/>
      <c r="QLK84" s="1"/>
      <c r="QLL84" s="1"/>
      <c r="QLM84" s="1"/>
      <c r="QLN84" s="1"/>
      <c r="QLO84" s="1"/>
      <c r="QLP84" s="1"/>
      <c r="QLQ84" s="1"/>
      <c r="QLR84" s="1"/>
      <c r="QLS84" s="1"/>
      <c r="QLT84" s="1"/>
      <c r="QLU84" s="1"/>
      <c r="QLV84" s="1"/>
      <c r="QLW84" s="1"/>
      <c r="QLX84" s="1"/>
      <c r="QLY84" s="1"/>
      <c r="QLZ84" s="1"/>
      <c r="QMA84" s="1"/>
      <c r="QMB84" s="1"/>
      <c r="QMC84" s="1"/>
      <c r="QMD84" s="1"/>
      <c r="QME84" s="1"/>
      <c r="QMF84" s="1"/>
      <c r="QMG84" s="1"/>
      <c r="QMH84" s="1"/>
      <c r="QMI84" s="1"/>
      <c r="QMJ84" s="1"/>
      <c r="QMK84" s="1"/>
      <c r="QML84" s="1"/>
      <c r="QMM84" s="1"/>
      <c r="QMN84" s="1"/>
      <c r="QMO84" s="1"/>
      <c r="QMP84" s="1"/>
      <c r="QMQ84" s="1"/>
      <c r="QMR84" s="1"/>
      <c r="QMS84" s="1"/>
      <c r="QMT84" s="1"/>
      <c r="QMU84" s="1"/>
      <c r="QMV84" s="1"/>
      <c r="QMW84" s="1"/>
      <c r="QMX84" s="1"/>
      <c r="QMY84" s="1"/>
      <c r="QMZ84" s="1"/>
      <c r="QNA84" s="1"/>
      <c r="QNB84" s="1"/>
      <c r="QNC84" s="1"/>
      <c r="QND84" s="1"/>
      <c r="QNE84" s="1"/>
      <c r="QNF84" s="1"/>
      <c r="QNG84" s="1"/>
      <c r="QNH84" s="1"/>
      <c r="QNI84" s="1"/>
      <c r="QNJ84" s="1"/>
      <c r="QNK84" s="1"/>
      <c r="QNL84" s="1"/>
      <c r="QNM84" s="1"/>
      <c r="QNN84" s="1"/>
      <c r="QNO84" s="1"/>
      <c r="QNP84" s="1"/>
      <c r="QNQ84" s="1"/>
      <c r="QNR84" s="1"/>
      <c r="QNS84" s="1"/>
      <c r="QNT84" s="1"/>
      <c r="QNU84" s="1"/>
      <c r="QNV84" s="1"/>
      <c r="QNW84" s="1"/>
      <c r="QNX84" s="1"/>
      <c r="QNY84" s="1"/>
      <c r="QNZ84" s="1"/>
      <c r="QOA84" s="1"/>
      <c r="QOB84" s="1"/>
      <c r="QOC84" s="1"/>
      <c r="QOD84" s="1"/>
      <c r="QOE84" s="1"/>
      <c r="QOF84" s="1"/>
      <c r="QOG84" s="1"/>
      <c r="QOH84" s="1"/>
      <c r="QOI84" s="1"/>
      <c r="QOJ84" s="1"/>
      <c r="QOK84" s="1"/>
      <c r="QOL84" s="1"/>
      <c r="QOM84" s="1"/>
      <c r="QON84" s="1"/>
      <c r="QOO84" s="1"/>
      <c r="QOP84" s="1"/>
      <c r="QOQ84" s="1"/>
      <c r="QOR84" s="1"/>
      <c r="QOS84" s="1"/>
      <c r="QOT84" s="1"/>
      <c r="QOU84" s="1"/>
      <c r="QOV84" s="1"/>
      <c r="QOW84" s="1"/>
      <c r="QOX84" s="1"/>
      <c r="QOY84" s="1"/>
      <c r="QOZ84" s="1"/>
      <c r="QPA84" s="1"/>
      <c r="QPB84" s="1"/>
      <c r="QPC84" s="1"/>
      <c r="QPD84" s="1"/>
      <c r="QPE84" s="1"/>
      <c r="QPF84" s="1"/>
      <c r="QPG84" s="1"/>
      <c r="QPH84" s="1"/>
      <c r="QPI84" s="1"/>
      <c r="QPJ84" s="1"/>
      <c r="QPK84" s="1"/>
      <c r="QPL84" s="1"/>
      <c r="QPM84" s="1"/>
      <c r="QPN84" s="1"/>
      <c r="QPO84" s="1"/>
      <c r="QPP84" s="1"/>
      <c r="QPQ84" s="1"/>
      <c r="QPR84" s="1"/>
      <c r="QPS84" s="1"/>
      <c r="QPT84" s="1"/>
      <c r="QPU84" s="1"/>
      <c r="QPV84" s="1"/>
      <c r="QPW84" s="1"/>
      <c r="QPX84" s="1"/>
      <c r="QPY84" s="1"/>
      <c r="QPZ84" s="1"/>
      <c r="QQA84" s="1"/>
      <c r="QQB84" s="1"/>
      <c r="QQC84" s="1"/>
      <c r="QQD84" s="1"/>
      <c r="QQE84" s="1"/>
      <c r="QQF84" s="1"/>
      <c r="QQG84" s="1"/>
      <c r="QQH84" s="1"/>
      <c r="QQI84" s="1"/>
      <c r="QQJ84" s="1"/>
      <c r="QQK84" s="1"/>
      <c r="QQL84" s="1"/>
      <c r="QQM84" s="1"/>
      <c r="QQN84" s="1"/>
      <c r="QQO84" s="1"/>
      <c r="QQP84" s="1"/>
      <c r="QQQ84" s="1"/>
      <c r="QQR84" s="1"/>
      <c r="QQS84" s="1"/>
      <c r="QQT84" s="1"/>
      <c r="QQU84" s="1"/>
      <c r="QQV84" s="1"/>
      <c r="QQW84" s="1"/>
      <c r="QQX84" s="1"/>
      <c r="QQY84" s="1"/>
      <c r="QQZ84" s="1"/>
      <c r="QRA84" s="1"/>
      <c r="QRB84" s="1"/>
      <c r="QRC84" s="1"/>
      <c r="QRD84" s="1"/>
      <c r="QRE84" s="1"/>
      <c r="QRF84" s="1"/>
      <c r="QRG84" s="1"/>
      <c r="QRH84" s="1"/>
      <c r="QRI84" s="1"/>
      <c r="QRJ84" s="1"/>
      <c r="QRK84" s="1"/>
      <c r="QRL84" s="1"/>
      <c r="QRM84" s="1"/>
      <c r="QRN84" s="1"/>
      <c r="QRO84" s="1"/>
      <c r="QRP84" s="1"/>
      <c r="QRQ84" s="1"/>
      <c r="QRR84" s="1"/>
      <c r="QRS84" s="1"/>
      <c r="QRT84" s="1"/>
      <c r="QRU84" s="1"/>
      <c r="QRV84" s="1"/>
      <c r="QRW84" s="1"/>
      <c r="QRX84" s="1"/>
      <c r="QRY84" s="1"/>
      <c r="QRZ84" s="1"/>
      <c r="QSA84" s="1"/>
      <c r="QSB84" s="1"/>
      <c r="QSC84" s="1"/>
      <c r="QSD84" s="1"/>
      <c r="QSE84" s="1"/>
      <c r="QSF84" s="1"/>
      <c r="QSG84" s="1"/>
      <c r="QSH84" s="1"/>
      <c r="QSI84" s="1"/>
      <c r="QSJ84" s="1"/>
      <c r="QSK84" s="1"/>
      <c r="QSL84" s="1"/>
      <c r="QSM84" s="1"/>
      <c r="QSN84" s="1"/>
      <c r="QSO84" s="1"/>
      <c r="QSP84" s="1"/>
      <c r="QSQ84" s="1"/>
      <c r="QSR84" s="1"/>
      <c r="QSS84" s="1"/>
      <c r="QST84" s="1"/>
      <c r="QSU84" s="1"/>
      <c r="QSV84" s="1"/>
      <c r="QSW84" s="1"/>
      <c r="QSX84" s="1"/>
      <c r="QSY84" s="1"/>
      <c r="QSZ84" s="1"/>
      <c r="QTA84" s="1"/>
      <c r="QTB84" s="1"/>
      <c r="QTC84" s="1"/>
      <c r="QTD84" s="1"/>
      <c r="QTE84" s="1"/>
      <c r="QTF84" s="1"/>
      <c r="QTG84" s="1"/>
      <c r="QTH84" s="1"/>
      <c r="QTI84" s="1"/>
      <c r="QTJ84" s="1"/>
      <c r="QTK84" s="1"/>
      <c r="QTL84" s="1"/>
      <c r="QTM84" s="1"/>
      <c r="QTN84" s="1"/>
      <c r="QTO84" s="1"/>
      <c r="QTP84" s="1"/>
      <c r="QTQ84" s="1"/>
      <c r="QTR84" s="1"/>
      <c r="QTS84" s="1"/>
      <c r="QTT84" s="1"/>
      <c r="QTU84" s="1"/>
      <c r="QTV84" s="1"/>
      <c r="QTW84" s="1"/>
      <c r="QTX84" s="1"/>
      <c r="QTY84" s="1"/>
      <c r="QTZ84" s="1"/>
      <c r="QUA84" s="1"/>
      <c r="QUB84" s="1"/>
      <c r="QUC84" s="1"/>
      <c r="QUD84" s="1"/>
      <c r="QUE84" s="1"/>
      <c r="QUF84" s="1"/>
      <c r="QUG84" s="1"/>
      <c r="QUH84" s="1"/>
      <c r="QUI84" s="1"/>
      <c r="QUJ84" s="1"/>
      <c r="QUK84" s="1"/>
      <c r="QUL84" s="1"/>
      <c r="QUM84" s="1"/>
      <c r="QUN84" s="1"/>
      <c r="QUO84" s="1"/>
      <c r="QUP84" s="1"/>
      <c r="QUQ84" s="1"/>
      <c r="QUR84" s="1"/>
      <c r="QUS84" s="1"/>
      <c r="QUT84" s="1"/>
      <c r="QUU84" s="1"/>
      <c r="QUV84" s="1"/>
      <c r="QUW84" s="1"/>
      <c r="QUX84" s="1"/>
      <c r="QUY84" s="1"/>
      <c r="QUZ84" s="1"/>
      <c r="QVA84" s="1"/>
      <c r="QVB84" s="1"/>
      <c r="QVC84" s="1"/>
      <c r="QVD84" s="1"/>
      <c r="QVE84" s="1"/>
      <c r="QVF84" s="1"/>
      <c r="QVG84" s="1"/>
      <c r="QVH84" s="1"/>
      <c r="QVI84" s="1"/>
      <c r="QVJ84" s="1"/>
      <c r="QVK84" s="1"/>
      <c r="QVL84" s="1"/>
      <c r="QVM84" s="1"/>
      <c r="QVN84" s="1"/>
      <c r="QVO84" s="1"/>
      <c r="QVP84" s="1"/>
      <c r="QVQ84" s="1"/>
      <c r="QVR84" s="1"/>
      <c r="QVS84" s="1"/>
      <c r="QVT84" s="1"/>
      <c r="QVU84" s="1"/>
      <c r="QVV84" s="1"/>
      <c r="QVW84" s="1"/>
      <c r="QVX84" s="1"/>
      <c r="QVY84" s="1"/>
      <c r="QVZ84" s="1"/>
      <c r="QWA84" s="1"/>
      <c r="QWB84" s="1"/>
      <c r="QWC84" s="1"/>
      <c r="QWD84" s="1"/>
      <c r="QWE84" s="1"/>
      <c r="QWF84" s="1"/>
      <c r="QWG84" s="1"/>
      <c r="QWH84" s="1"/>
      <c r="QWI84" s="1"/>
      <c r="QWJ84" s="1"/>
      <c r="QWK84" s="1"/>
      <c r="QWL84" s="1"/>
      <c r="QWM84" s="1"/>
      <c r="QWN84" s="1"/>
      <c r="QWO84" s="1"/>
      <c r="QWP84" s="1"/>
      <c r="QWQ84" s="1"/>
      <c r="QWR84" s="1"/>
      <c r="QWS84" s="1"/>
      <c r="QWT84" s="1"/>
      <c r="QWU84" s="1"/>
      <c r="QWV84" s="1"/>
      <c r="QWW84" s="1"/>
      <c r="QWX84" s="1"/>
      <c r="QWY84" s="1"/>
      <c r="QWZ84" s="1"/>
      <c r="QXA84" s="1"/>
      <c r="QXB84" s="1"/>
      <c r="QXC84" s="1"/>
      <c r="QXD84" s="1"/>
      <c r="QXE84" s="1"/>
      <c r="QXF84" s="1"/>
      <c r="QXG84" s="1"/>
      <c r="QXH84" s="1"/>
      <c r="QXI84" s="1"/>
      <c r="QXJ84" s="1"/>
      <c r="QXK84" s="1"/>
      <c r="QXL84" s="1"/>
      <c r="QXM84" s="1"/>
      <c r="QXN84" s="1"/>
      <c r="QXO84" s="1"/>
      <c r="QXP84" s="1"/>
      <c r="QXQ84" s="1"/>
      <c r="QXR84" s="1"/>
      <c r="QXS84" s="1"/>
      <c r="QXT84" s="1"/>
      <c r="QXU84" s="1"/>
      <c r="QXV84" s="1"/>
      <c r="QXW84" s="1"/>
      <c r="QXX84" s="1"/>
      <c r="QXY84" s="1"/>
      <c r="QXZ84" s="1"/>
      <c r="QYA84" s="1"/>
      <c r="QYB84" s="1"/>
      <c r="QYC84" s="1"/>
      <c r="QYD84" s="1"/>
      <c r="QYE84" s="1"/>
      <c r="QYF84" s="1"/>
      <c r="QYG84" s="1"/>
      <c r="QYH84" s="1"/>
      <c r="QYI84" s="1"/>
      <c r="QYJ84" s="1"/>
      <c r="QYK84" s="1"/>
      <c r="QYL84" s="1"/>
      <c r="QYM84" s="1"/>
      <c r="QYN84" s="1"/>
      <c r="QYO84" s="1"/>
      <c r="QYP84" s="1"/>
      <c r="QYQ84" s="1"/>
      <c r="QYR84" s="1"/>
      <c r="QYS84" s="1"/>
      <c r="QYT84" s="1"/>
      <c r="QYU84" s="1"/>
      <c r="QYV84" s="1"/>
      <c r="QYW84" s="1"/>
      <c r="QYX84" s="1"/>
      <c r="QYY84" s="1"/>
      <c r="QYZ84" s="1"/>
      <c r="QZA84" s="1"/>
      <c r="QZB84" s="1"/>
      <c r="QZC84" s="1"/>
      <c r="QZD84" s="1"/>
      <c r="QZE84" s="1"/>
      <c r="QZF84" s="1"/>
      <c r="QZG84" s="1"/>
      <c r="QZH84" s="1"/>
      <c r="QZI84" s="1"/>
      <c r="QZJ84" s="1"/>
      <c r="QZK84" s="1"/>
      <c r="QZL84" s="1"/>
      <c r="QZM84" s="1"/>
      <c r="QZN84" s="1"/>
      <c r="QZO84" s="1"/>
      <c r="QZP84" s="1"/>
      <c r="QZQ84" s="1"/>
      <c r="QZR84" s="1"/>
      <c r="QZS84" s="1"/>
      <c r="QZT84" s="1"/>
      <c r="QZU84" s="1"/>
      <c r="QZV84" s="1"/>
      <c r="QZW84" s="1"/>
      <c r="QZX84" s="1"/>
      <c r="QZY84" s="1"/>
      <c r="QZZ84" s="1"/>
      <c r="RAA84" s="1"/>
      <c r="RAB84" s="1"/>
      <c r="RAC84" s="1"/>
      <c r="RAD84" s="1"/>
      <c r="RAE84" s="1"/>
      <c r="RAF84" s="1"/>
      <c r="RAG84" s="1"/>
      <c r="RAH84" s="1"/>
      <c r="RAI84" s="1"/>
      <c r="RAJ84" s="1"/>
      <c r="RAK84" s="1"/>
      <c r="RAL84" s="1"/>
      <c r="RAM84" s="1"/>
      <c r="RAN84" s="1"/>
      <c r="RAO84" s="1"/>
      <c r="RAP84" s="1"/>
      <c r="RAQ84" s="1"/>
      <c r="RAR84" s="1"/>
      <c r="RAS84" s="1"/>
      <c r="RAT84" s="1"/>
      <c r="RAU84" s="1"/>
      <c r="RAV84" s="1"/>
      <c r="RAW84" s="1"/>
      <c r="RAX84" s="1"/>
      <c r="RAY84" s="1"/>
      <c r="RAZ84" s="1"/>
      <c r="RBA84" s="1"/>
      <c r="RBB84" s="1"/>
      <c r="RBC84" s="1"/>
      <c r="RBD84" s="1"/>
      <c r="RBE84" s="1"/>
      <c r="RBF84" s="1"/>
      <c r="RBG84" s="1"/>
      <c r="RBH84" s="1"/>
      <c r="RBI84" s="1"/>
      <c r="RBJ84" s="1"/>
      <c r="RBK84" s="1"/>
      <c r="RBL84" s="1"/>
      <c r="RBM84" s="1"/>
      <c r="RBN84" s="1"/>
      <c r="RBO84" s="1"/>
      <c r="RBP84" s="1"/>
      <c r="RBQ84" s="1"/>
      <c r="RBR84" s="1"/>
      <c r="RBS84" s="1"/>
      <c r="RBT84" s="1"/>
      <c r="RBU84" s="1"/>
      <c r="RBV84" s="1"/>
      <c r="RBW84" s="1"/>
      <c r="RBX84" s="1"/>
      <c r="RBY84" s="1"/>
      <c r="RBZ84" s="1"/>
      <c r="RCA84" s="1"/>
      <c r="RCB84" s="1"/>
      <c r="RCC84" s="1"/>
      <c r="RCD84" s="1"/>
      <c r="RCE84" s="1"/>
      <c r="RCF84" s="1"/>
      <c r="RCG84" s="1"/>
      <c r="RCH84" s="1"/>
      <c r="RCI84" s="1"/>
      <c r="RCJ84" s="1"/>
      <c r="RCK84" s="1"/>
      <c r="RCL84" s="1"/>
      <c r="RCM84" s="1"/>
      <c r="RCN84" s="1"/>
      <c r="RCO84" s="1"/>
      <c r="RCP84" s="1"/>
      <c r="RCQ84" s="1"/>
      <c r="RCR84" s="1"/>
      <c r="RCS84" s="1"/>
      <c r="RCT84" s="1"/>
      <c r="RCU84" s="1"/>
      <c r="RCV84" s="1"/>
      <c r="RCW84" s="1"/>
      <c r="RCX84" s="1"/>
      <c r="RCY84" s="1"/>
      <c r="RCZ84" s="1"/>
      <c r="RDA84" s="1"/>
      <c r="RDB84" s="1"/>
      <c r="RDC84" s="1"/>
      <c r="RDD84" s="1"/>
      <c r="RDE84" s="1"/>
      <c r="RDF84" s="1"/>
      <c r="RDG84" s="1"/>
      <c r="RDH84" s="1"/>
      <c r="RDI84" s="1"/>
      <c r="RDJ84" s="1"/>
      <c r="RDK84" s="1"/>
      <c r="RDL84" s="1"/>
      <c r="RDM84" s="1"/>
      <c r="RDN84" s="1"/>
      <c r="RDO84" s="1"/>
      <c r="RDP84" s="1"/>
      <c r="RDQ84" s="1"/>
      <c r="RDR84" s="1"/>
      <c r="RDS84" s="1"/>
      <c r="RDT84" s="1"/>
      <c r="RDU84" s="1"/>
      <c r="RDV84" s="1"/>
      <c r="RDW84" s="1"/>
      <c r="RDX84" s="1"/>
      <c r="RDY84" s="1"/>
      <c r="RDZ84" s="1"/>
      <c r="REA84" s="1"/>
      <c r="REB84" s="1"/>
      <c r="REC84" s="1"/>
      <c r="RED84" s="1"/>
      <c r="REE84" s="1"/>
      <c r="REF84" s="1"/>
      <c r="REG84" s="1"/>
      <c r="REH84" s="1"/>
      <c r="REI84" s="1"/>
      <c r="REJ84" s="1"/>
      <c r="REK84" s="1"/>
      <c r="REL84" s="1"/>
      <c r="REM84" s="1"/>
      <c r="REN84" s="1"/>
      <c r="REO84" s="1"/>
      <c r="REP84" s="1"/>
      <c r="REQ84" s="1"/>
      <c r="RER84" s="1"/>
      <c r="RES84" s="1"/>
      <c r="RET84" s="1"/>
      <c r="REU84" s="1"/>
      <c r="REV84" s="1"/>
      <c r="REW84" s="1"/>
      <c r="REX84" s="1"/>
      <c r="REY84" s="1"/>
      <c r="REZ84" s="1"/>
      <c r="RFA84" s="1"/>
      <c r="RFB84" s="1"/>
      <c r="RFC84" s="1"/>
      <c r="RFD84" s="1"/>
      <c r="RFE84" s="1"/>
      <c r="RFF84" s="1"/>
      <c r="RFG84" s="1"/>
      <c r="RFH84" s="1"/>
      <c r="RFI84" s="1"/>
      <c r="RFJ84" s="1"/>
      <c r="RFK84" s="1"/>
      <c r="RFL84" s="1"/>
      <c r="RFM84" s="1"/>
      <c r="RFN84" s="1"/>
      <c r="RFO84" s="1"/>
      <c r="RFP84" s="1"/>
      <c r="RFQ84" s="1"/>
      <c r="RFR84" s="1"/>
      <c r="RFS84" s="1"/>
      <c r="RFT84" s="1"/>
      <c r="RFU84" s="1"/>
      <c r="RFV84" s="1"/>
      <c r="RFW84" s="1"/>
      <c r="RFX84" s="1"/>
      <c r="RFY84" s="1"/>
      <c r="RFZ84" s="1"/>
      <c r="RGA84" s="1"/>
      <c r="RGB84" s="1"/>
      <c r="RGC84" s="1"/>
      <c r="RGD84" s="1"/>
      <c r="RGE84" s="1"/>
      <c r="RGF84" s="1"/>
      <c r="RGG84" s="1"/>
      <c r="RGH84" s="1"/>
      <c r="RGI84" s="1"/>
      <c r="RGJ84" s="1"/>
      <c r="RGK84" s="1"/>
      <c r="RGL84" s="1"/>
      <c r="RGM84" s="1"/>
      <c r="RGN84" s="1"/>
      <c r="RGO84" s="1"/>
      <c r="RGP84" s="1"/>
      <c r="RGQ84" s="1"/>
      <c r="RGR84" s="1"/>
      <c r="RGS84" s="1"/>
      <c r="RGT84" s="1"/>
      <c r="RGU84" s="1"/>
      <c r="RGV84" s="1"/>
      <c r="RGW84" s="1"/>
      <c r="RGX84" s="1"/>
      <c r="RGY84" s="1"/>
      <c r="RGZ84" s="1"/>
      <c r="RHA84" s="1"/>
      <c r="RHB84" s="1"/>
      <c r="RHC84" s="1"/>
      <c r="RHD84" s="1"/>
      <c r="RHE84" s="1"/>
      <c r="RHF84" s="1"/>
      <c r="RHG84" s="1"/>
      <c r="RHH84" s="1"/>
      <c r="RHI84" s="1"/>
      <c r="RHJ84" s="1"/>
      <c r="RHK84" s="1"/>
      <c r="RHL84" s="1"/>
      <c r="RHM84" s="1"/>
      <c r="RHN84" s="1"/>
      <c r="RHO84" s="1"/>
      <c r="RHP84" s="1"/>
      <c r="RHQ84" s="1"/>
      <c r="RHR84" s="1"/>
      <c r="RHS84" s="1"/>
      <c r="RHT84" s="1"/>
      <c r="RHU84" s="1"/>
      <c r="RHV84" s="1"/>
      <c r="RHW84" s="1"/>
      <c r="RHX84" s="1"/>
      <c r="RHY84" s="1"/>
      <c r="RHZ84" s="1"/>
      <c r="RIA84" s="1"/>
      <c r="RIB84" s="1"/>
      <c r="RIC84" s="1"/>
      <c r="RID84" s="1"/>
      <c r="RIE84" s="1"/>
      <c r="RIF84" s="1"/>
      <c r="RIG84" s="1"/>
      <c r="RIH84" s="1"/>
      <c r="RII84" s="1"/>
      <c r="RIJ84" s="1"/>
      <c r="RIK84" s="1"/>
      <c r="RIL84" s="1"/>
      <c r="RIM84" s="1"/>
      <c r="RIN84" s="1"/>
      <c r="RIO84" s="1"/>
      <c r="RIP84" s="1"/>
      <c r="RIQ84" s="1"/>
      <c r="RIR84" s="1"/>
      <c r="RIS84" s="1"/>
      <c r="RIT84" s="1"/>
      <c r="RIU84" s="1"/>
      <c r="RIV84" s="1"/>
      <c r="RIW84" s="1"/>
      <c r="RIX84" s="1"/>
      <c r="RIY84" s="1"/>
      <c r="RIZ84" s="1"/>
      <c r="RJA84" s="1"/>
      <c r="RJB84" s="1"/>
      <c r="RJC84" s="1"/>
      <c r="RJD84" s="1"/>
      <c r="RJE84" s="1"/>
      <c r="RJF84" s="1"/>
      <c r="RJG84" s="1"/>
      <c r="RJH84" s="1"/>
      <c r="RJI84" s="1"/>
      <c r="RJJ84" s="1"/>
      <c r="RJK84" s="1"/>
      <c r="RJL84" s="1"/>
      <c r="RJM84" s="1"/>
      <c r="RJN84" s="1"/>
      <c r="RJO84" s="1"/>
      <c r="RJP84" s="1"/>
      <c r="RJQ84" s="1"/>
      <c r="RJR84" s="1"/>
      <c r="RJS84" s="1"/>
      <c r="RJT84" s="1"/>
      <c r="RJU84" s="1"/>
      <c r="RJV84" s="1"/>
      <c r="RJW84" s="1"/>
      <c r="RJX84" s="1"/>
      <c r="RJY84" s="1"/>
      <c r="RJZ84" s="1"/>
      <c r="RKA84" s="1"/>
      <c r="RKB84" s="1"/>
      <c r="RKC84" s="1"/>
      <c r="RKD84" s="1"/>
      <c r="RKE84" s="1"/>
      <c r="RKF84" s="1"/>
      <c r="RKG84" s="1"/>
      <c r="RKH84" s="1"/>
      <c r="RKI84" s="1"/>
      <c r="RKJ84" s="1"/>
      <c r="RKK84" s="1"/>
      <c r="RKL84" s="1"/>
      <c r="RKM84" s="1"/>
      <c r="RKN84" s="1"/>
      <c r="RKO84" s="1"/>
      <c r="RKP84" s="1"/>
      <c r="RKQ84" s="1"/>
      <c r="RKR84" s="1"/>
      <c r="RKS84" s="1"/>
      <c r="RKT84" s="1"/>
      <c r="RKU84" s="1"/>
      <c r="RKV84" s="1"/>
      <c r="RKW84" s="1"/>
      <c r="RKX84" s="1"/>
      <c r="RKY84" s="1"/>
      <c r="RKZ84" s="1"/>
      <c r="RLA84" s="1"/>
      <c r="RLB84" s="1"/>
      <c r="RLC84" s="1"/>
      <c r="RLD84" s="1"/>
      <c r="RLE84" s="1"/>
      <c r="RLF84" s="1"/>
      <c r="RLG84" s="1"/>
      <c r="RLH84" s="1"/>
      <c r="RLI84" s="1"/>
      <c r="RLJ84" s="1"/>
      <c r="RLK84" s="1"/>
      <c r="RLL84" s="1"/>
      <c r="RLM84" s="1"/>
      <c r="RLN84" s="1"/>
      <c r="RLO84" s="1"/>
      <c r="RLP84" s="1"/>
      <c r="RLQ84" s="1"/>
      <c r="RLR84" s="1"/>
      <c r="RLS84" s="1"/>
      <c r="RLT84" s="1"/>
      <c r="RLU84" s="1"/>
      <c r="RLV84" s="1"/>
      <c r="RLW84" s="1"/>
      <c r="RLX84" s="1"/>
      <c r="RLY84" s="1"/>
      <c r="RLZ84" s="1"/>
      <c r="RMA84" s="1"/>
      <c r="RMB84" s="1"/>
      <c r="RMC84" s="1"/>
      <c r="RMD84" s="1"/>
      <c r="RME84" s="1"/>
      <c r="RMF84" s="1"/>
      <c r="RMG84" s="1"/>
      <c r="RMH84" s="1"/>
      <c r="RMI84" s="1"/>
      <c r="RMJ84" s="1"/>
      <c r="RMK84" s="1"/>
      <c r="RML84" s="1"/>
      <c r="RMM84" s="1"/>
      <c r="RMN84" s="1"/>
      <c r="RMO84" s="1"/>
      <c r="RMP84" s="1"/>
      <c r="RMQ84" s="1"/>
      <c r="RMR84" s="1"/>
      <c r="RMS84" s="1"/>
      <c r="RMT84" s="1"/>
      <c r="RMU84" s="1"/>
      <c r="RMV84" s="1"/>
      <c r="RMW84" s="1"/>
      <c r="RMX84" s="1"/>
      <c r="RMY84" s="1"/>
      <c r="RMZ84" s="1"/>
      <c r="RNA84" s="1"/>
      <c r="RNB84" s="1"/>
      <c r="RNC84" s="1"/>
      <c r="RND84" s="1"/>
      <c r="RNE84" s="1"/>
      <c r="RNF84" s="1"/>
      <c r="RNG84" s="1"/>
      <c r="RNH84" s="1"/>
      <c r="RNI84" s="1"/>
      <c r="RNJ84" s="1"/>
      <c r="RNK84" s="1"/>
      <c r="RNL84" s="1"/>
      <c r="RNM84" s="1"/>
      <c r="RNN84" s="1"/>
      <c r="RNO84" s="1"/>
      <c r="RNP84" s="1"/>
      <c r="RNQ84" s="1"/>
      <c r="RNR84" s="1"/>
      <c r="RNS84" s="1"/>
      <c r="RNT84" s="1"/>
      <c r="RNU84" s="1"/>
      <c r="RNV84" s="1"/>
      <c r="RNW84" s="1"/>
      <c r="RNX84" s="1"/>
      <c r="RNY84" s="1"/>
      <c r="RNZ84" s="1"/>
      <c r="ROA84" s="1"/>
      <c r="ROB84" s="1"/>
      <c r="ROC84" s="1"/>
      <c r="ROD84" s="1"/>
      <c r="ROE84" s="1"/>
      <c r="ROF84" s="1"/>
      <c r="ROG84" s="1"/>
      <c r="ROH84" s="1"/>
      <c r="ROI84" s="1"/>
      <c r="ROJ84" s="1"/>
      <c r="ROK84" s="1"/>
      <c r="ROL84" s="1"/>
      <c r="ROM84" s="1"/>
      <c r="RON84" s="1"/>
      <c r="ROO84" s="1"/>
      <c r="ROP84" s="1"/>
      <c r="ROQ84" s="1"/>
      <c r="ROR84" s="1"/>
      <c r="ROS84" s="1"/>
      <c r="ROT84" s="1"/>
      <c r="ROU84" s="1"/>
      <c r="ROV84" s="1"/>
      <c r="ROW84" s="1"/>
      <c r="ROX84" s="1"/>
      <c r="ROY84" s="1"/>
      <c r="ROZ84" s="1"/>
      <c r="RPA84" s="1"/>
      <c r="RPB84" s="1"/>
      <c r="RPC84" s="1"/>
      <c r="RPD84" s="1"/>
      <c r="RPE84" s="1"/>
      <c r="RPF84" s="1"/>
      <c r="RPG84" s="1"/>
      <c r="RPH84" s="1"/>
      <c r="RPI84" s="1"/>
      <c r="RPJ84" s="1"/>
      <c r="RPK84" s="1"/>
      <c r="RPL84" s="1"/>
      <c r="RPM84" s="1"/>
      <c r="RPN84" s="1"/>
      <c r="RPO84" s="1"/>
      <c r="RPP84" s="1"/>
      <c r="RPQ84" s="1"/>
      <c r="RPR84" s="1"/>
      <c r="RPS84" s="1"/>
      <c r="RPT84" s="1"/>
      <c r="RPU84" s="1"/>
      <c r="RPV84" s="1"/>
      <c r="RPW84" s="1"/>
      <c r="RPX84" s="1"/>
      <c r="RPY84" s="1"/>
      <c r="RPZ84" s="1"/>
      <c r="RQA84" s="1"/>
      <c r="RQB84" s="1"/>
      <c r="RQC84" s="1"/>
      <c r="RQD84" s="1"/>
      <c r="RQE84" s="1"/>
      <c r="RQF84" s="1"/>
      <c r="RQG84" s="1"/>
      <c r="RQH84" s="1"/>
      <c r="RQI84" s="1"/>
      <c r="RQJ84" s="1"/>
      <c r="RQK84" s="1"/>
      <c r="RQL84" s="1"/>
      <c r="RQM84" s="1"/>
      <c r="RQN84" s="1"/>
      <c r="RQO84" s="1"/>
      <c r="RQP84" s="1"/>
      <c r="RQQ84" s="1"/>
      <c r="RQR84" s="1"/>
      <c r="RQS84" s="1"/>
      <c r="RQT84" s="1"/>
      <c r="RQU84" s="1"/>
      <c r="RQV84" s="1"/>
      <c r="RQW84" s="1"/>
      <c r="RQX84" s="1"/>
      <c r="RQY84" s="1"/>
      <c r="RQZ84" s="1"/>
      <c r="RRA84" s="1"/>
      <c r="RRB84" s="1"/>
      <c r="RRC84" s="1"/>
      <c r="RRD84" s="1"/>
      <c r="RRE84" s="1"/>
      <c r="RRF84" s="1"/>
      <c r="RRG84" s="1"/>
      <c r="RRH84" s="1"/>
      <c r="RRI84" s="1"/>
      <c r="RRJ84" s="1"/>
      <c r="RRK84" s="1"/>
      <c r="RRL84" s="1"/>
      <c r="RRM84" s="1"/>
      <c r="RRN84" s="1"/>
      <c r="RRO84" s="1"/>
      <c r="RRP84" s="1"/>
      <c r="RRQ84" s="1"/>
      <c r="RRR84" s="1"/>
      <c r="RRS84" s="1"/>
      <c r="RRT84" s="1"/>
      <c r="RRU84" s="1"/>
      <c r="RRV84" s="1"/>
      <c r="RRW84" s="1"/>
      <c r="RRX84" s="1"/>
      <c r="RRY84" s="1"/>
      <c r="RRZ84" s="1"/>
      <c r="RSA84" s="1"/>
      <c r="RSB84" s="1"/>
      <c r="RSC84" s="1"/>
      <c r="RSD84" s="1"/>
      <c r="RSE84" s="1"/>
      <c r="RSF84" s="1"/>
      <c r="RSG84" s="1"/>
      <c r="RSH84" s="1"/>
      <c r="RSI84" s="1"/>
      <c r="RSJ84" s="1"/>
      <c r="RSK84" s="1"/>
      <c r="RSL84" s="1"/>
      <c r="RSM84" s="1"/>
      <c r="RSN84" s="1"/>
      <c r="RSO84" s="1"/>
      <c r="RSP84" s="1"/>
      <c r="RSQ84" s="1"/>
      <c r="RSR84" s="1"/>
      <c r="RSS84" s="1"/>
      <c r="RST84" s="1"/>
      <c r="RSU84" s="1"/>
      <c r="RSV84" s="1"/>
      <c r="RSW84" s="1"/>
      <c r="RSX84" s="1"/>
      <c r="RSY84" s="1"/>
      <c r="RSZ84" s="1"/>
      <c r="RTA84" s="1"/>
      <c r="RTB84" s="1"/>
      <c r="RTC84" s="1"/>
      <c r="RTD84" s="1"/>
      <c r="RTE84" s="1"/>
      <c r="RTF84" s="1"/>
      <c r="RTG84" s="1"/>
      <c r="RTH84" s="1"/>
      <c r="RTI84" s="1"/>
      <c r="RTJ84" s="1"/>
      <c r="RTK84" s="1"/>
      <c r="RTL84" s="1"/>
      <c r="RTM84" s="1"/>
      <c r="RTN84" s="1"/>
      <c r="RTO84" s="1"/>
      <c r="RTP84" s="1"/>
      <c r="RTQ84" s="1"/>
      <c r="RTR84" s="1"/>
      <c r="RTS84" s="1"/>
      <c r="RTT84" s="1"/>
      <c r="RTU84" s="1"/>
      <c r="RTV84" s="1"/>
      <c r="RTW84" s="1"/>
      <c r="RTX84" s="1"/>
      <c r="RTY84" s="1"/>
      <c r="RTZ84" s="1"/>
      <c r="RUA84" s="1"/>
      <c r="RUB84" s="1"/>
      <c r="RUC84" s="1"/>
      <c r="RUD84" s="1"/>
      <c r="RUE84" s="1"/>
      <c r="RUF84" s="1"/>
      <c r="RUG84" s="1"/>
      <c r="RUH84" s="1"/>
      <c r="RUI84" s="1"/>
      <c r="RUJ84" s="1"/>
      <c r="RUK84" s="1"/>
      <c r="RUL84" s="1"/>
      <c r="RUM84" s="1"/>
      <c r="RUN84" s="1"/>
      <c r="RUO84" s="1"/>
      <c r="RUP84" s="1"/>
      <c r="RUQ84" s="1"/>
      <c r="RUR84" s="1"/>
      <c r="RUS84" s="1"/>
      <c r="RUT84" s="1"/>
      <c r="RUU84" s="1"/>
      <c r="RUV84" s="1"/>
      <c r="RUW84" s="1"/>
      <c r="RUX84" s="1"/>
      <c r="RUY84" s="1"/>
      <c r="RUZ84" s="1"/>
      <c r="RVA84" s="1"/>
      <c r="RVB84" s="1"/>
      <c r="RVC84" s="1"/>
      <c r="RVD84" s="1"/>
      <c r="RVE84" s="1"/>
      <c r="RVF84" s="1"/>
      <c r="RVG84" s="1"/>
      <c r="RVH84" s="1"/>
      <c r="RVI84" s="1"/>
      <c r="RVJ84" s="1"/>
      <c r="RVK84" s="1"/>
      <c r="RVL84" s="1"/>
      <c r="RVM84" s="1"/>
      <c r="RVN84" s="1"/>
      <c r="RVO84" s="1"/>
      <c r="RVP84" s="1"/>
      <c r="RVQ84" s="1"/>
      <c r="RVR84" s="1"/>
      <c r="RVS84" s="1"/>
      <c r="RVT84" s="1"/>
      <c r="RVU84" s="1"/>
      <c r="RVV84" s="1"/>
      <c r="RVW84" s="1"/>
      <c r="RVX84" s="1"/>
      <c r="RVY84" s="1"/>
      <c r="RVZ84" s="1"/>
      <c r="RWA84" s="1"/>
      <c r="RWB84" s="1"/>
      <c r="RWC84" s="1"/>
      <c r="RWD84" s="1"/>
      <c r="RWE84" s="1"/>
      <c r="RWF84" s="1"/>
      <c r="RWG84" s="1"/>
      <c r="RWH84" s="1"/>
      <c r="RWI84" s="1"/>
      <c r="RWJ84" s="1"/>
      <c r="RWK84" s="1"/>
      <c r="RWL84" s="1"/>
      <c r="RWM84" s="1"/>
      <c r="RWN84" s="1"/>
      <c r="RWO84" s="1"/>
      <c r="RWP84" s="1"/>
      <c r="RWQ84" s="1"/>
      <c r="RWR84" s="1"/>
      <c r="RWS84" s="1"/>
      <c r="RWT84" s="1"/>
      <c r="RWU84" s="1"/>
      <c r="RWV84" s="1"/>
      <c r="RWW84" s="1"/>
      <c r="RWX84" s="1"/>
      <c r="RWY84" s="1"/>
      <c r="RWZ84" s="1"/>
      <c r="RXA84" s="1"/>
      <c r="RXB84" s="1"/>
      <c r="RXC84" s="1"/>
      <c r="RXD84" s="1"/>
      <c r="RXE84" s="1"/>
      <c r="RXF84" s="1"/>
      <c r="RXG84" s="1"/>
      <c r="RXH84" s="1"/>
      <c r="RXI84" s="1"/>
      <c r="RXJ84" s="1"/>
      <c r="RXK84" s="1"/>
      <c r="RXL84" s="1"/>
      <c r="RXM84" s="1"/>
      <c r="RXN84" s="1"/>
      <c r="RXO84" s="1"/>
      <c r="RXP84" s="1"/>
      <c r="RXQ84" s="1"/>
      <c r="RXR84" s="1"/>
      <c r="RXS84" s="1"/>
      <c r="RXT84" s="1"/>
      <c r="RXU84" s="1"/>
      <c r="RXV84" s="1"/>
      <c r="RXW84" s="1"/>
      <c r="RXX84" s="1"/>
      <c r="RXY84" s="1"/>
      <c r="RXZ84" s="1"/>
      <c r="RYA84" s="1"/>
      <c r="RYB84" s="1"/>
      <c r="RYC84" s="1"/>
      <c r="RYD84" s="1"/>
      <c r="RYE84" s="1"/>
      <c r="RYF84" s="1"/>
      <c r="RYG84" s="1"/>
      <c r="RYH84" s="1"/>
      <c r="RYI84" s="1"/>
      <c r="RYJ84" s="1"/>
      <c r="RYK84" s="1"/>
      <c r="RYL84" s="1"/>
      <c r="RYM84" s="1"/>
      <c r="RYN84" s="1"/>
      <c r="RYO84" s="1"/>
      <c r="RYP84" s="1"/>
      <c r="RYQ84" s="1"/>
      <c r="RYR84" s="1"/>
      <c r="RYS84" s="1"/>
      <c r="RYT84" s="1"/>
      <c r="RYU84" s="1"/>
      <c r="RYV84" s="1"/>
      <c r="RYW84" s="1"/>
      <c r="RYX84" s="1"/>
      <c r="RYY84" s="1"/>
      <c r="RYZ84" s="1"/>
      <c r="RZA84" s="1"/>
      <c r="RZB84" s="1"/>
      <c r="RZC84" s="1"/>
      <c r="RZD84" s="1"/>
      <c r="RZE84" s="1"/>
      <c r="RZF84" s="1"/>
      <c r="RZG84" s="1"/>
      <c r="RZH84" s="1"/>
      <c r="RZI84" s="1"/>
      <c r="RZJ84" s="1"/>
      <c r="RZK84" s="1"/>
      <c r="RZL84" s="1"/>
      <c r="RZM84" s="1"/>
      <c r="RZN84" s="1"/>
      <c r="RZO84" s="1"/>
      <c r="RZP84" s="1"/>
      <c r="RZQ84" s="1"/>
      <c r="RZR84" s="1"/>
      <c r="RZS84" s="1"/>
      <c r="RZT84" s="1"/>
      <c r="RZU84" s="1"/>
      <c r="RZV84" s="1"/>
      <c r="RZW84" s="1"/>
      <c r="RZX84" s="1"/>
      <c r="RZY84" s="1"/>
      <c r="RZZ84" s="1"/>
      <c r="SAA84" s="1"/>
      <c r="SAB84" s="1"/>
      <c r="SAC84" s="1"/>
      <c r="SAD84" s="1"/>
      <c r="SAE84" s="1"/>
      <c r="SAF84" s="1"/>
      <c r="SAG84" s="1"/>
      <c r="SAH84" s="1"/>
      <c r="SAI84" s="1"/>
      <c r="SAJ84" s="1"/>
      <c r="SAK84" s="1"/>
      <c r="SAL84" s="1"/>
      <c r="SAM84" s="1"/>
      <c r="SAN84" s="1"/>
      <c r="SAO84" s="1"/>
      <c r="SAP84" s="1"/>
      <c r="SAQ84" s="1"/>
      <c r="SAR84" s="1"/>
      <c r="SAS84" s="1"/>
      <c r="SAT84" s="1"/>
      <c r="SAU84" s="1"/>
      <c r="SAV84" s="1"/>
      <c r="SAW84" s="1"/>
      <c r="SAX84" s="1"/>
      <c r="SAY84" s="1"/>
      <c r="SAZ84" s="1"/>
      <c r="SBA84" s="1"/>
      <c r="SBB84" s="1"/>
      <c r="SBC84" s="1"/>
      <c r="SBD84" s="1"/>
      <c r="SBE84" s="1"/>
      <c r="SBF84" s="1"/>
      <c r="SBG84" s="1"/>
      <c r="SBH84" s="1"/>
      <c r="SBI84" s="1"/>
      <c r="SBJ84" s="1"/>
      <c r="SBK84" s="1"/>
      <c r="SBL84" s="1"/>
      <c r="SBM84" s="1"/>
      <c r="SBN84" s="1"/>
      <c r="SBO84" s="1"/>
      <c r="SBP84" s="1"/>
      <c r="SBQ84" s="1"/>
      <c r="SBR84" s="1"/>
      <c r="SBS84" s="1"/>
      <c r="SBT84" s="1"/>
      <c r="SBU84" s="1"/>
      <c r="SBV84" s="1"/>
      <c r="SBW84" s="1"/>
      <c r="SBX84" s="1"/>
      <c r="SBY84" s="1"/>
      <c r="SBZ84" s="1"/>
      <c r="SCA84" s="1"/>
      <c r="SCB84" s="1"/>
      <c r="SCC84" s="1"/>
      <c r="SCD84" s="1"/>
      <c r="SCE84" s="1"/>
      <c r="SCF84" s="1"/>
      <c r="SCG84" s="1"/>
      <c r="SCH84" s="1"/>
      <c r="SCI84" s="1"/>
      <c r="SCJ84" s="1"/>
      <c r="SCK84" s="1"/>
      <c r="SCL84" s="1"/>
      <c r="SCM84" s="1"/>
      <c r="SCN84" s="1"/>
      <c r="SCO84" s="1"/>
      <c r="SCP84" s="1"/>
      <c r="SCQ84" s="1"/>
      <c r="SCR84" s="1"/>
      <c r="SCS84" s="1"/>
      <c r="SCT84" s="1"/>
      <c r="SCU84" s="1"/>
      <c r="SCV84" s="1"/>
      <c r="SCW84" s="1"/>
      <c r="SCX84" s="1"/>
      <c r="SCY84" s="1"/>
      <c r="SCZ84" s="1"/>
      <c r="SDA84" s="1"/>
      <c r="SDB84" s="1"/>
      <c r="SDC84" s="1"/>
      <c r="SDD84" s="1"/>
      <c r="SDE84" s="1"/>
      <c r="SDF84" s="1"/>
      <c r="SDG84" s="1"/>
      <c r="SDH84" s="1"/>
      <c r="SDI84" s="1"/>
      <c r="SDJ84" s="1"/>
      <c r="SDK84" s="1"/>
      <c r="SDL84" s="1"/>
      <c r="SDM84" s="1"/>
      <c r="SDN84" s="1"/>
      <c r="SDO84" s="1"/>
      <c r="SDP84" s="1"/>
      <c r="SDQ84" s="1"/>
      <c r="SDR84" s="1"/>
      <c r="SDS84" s="1"/>
      <c r="SDT84" s="1"/>
      <c r="SDU84" s="1"/>
      <c r="SDV84" s="1"/>
      <c r="SDW84" s="1"/>
      <c r="SDX84" s="1"/>
      <c r="SDY84" s="1"/>
      <c r="SDZ84" s="1"/>
      <c r="SEA84" s="1"/>
      <c r="SEB84" s="1"/>
      <c r="SEC84" s="1"/>
      <c r="SED84" s="1"/>
      <c r="SEE84" s="1"/>
      <c r="SEF84" s="1"/>
      <c r="SEG84" s="1"/>
      <c r="SEH84" s="1"/>
      <c r="SEI84" s="1"/>
      <c r="SEJ84" s="1"/>
      <c r="SEK84" s="1"/>
      <c r="SEL84" s="1"/>
      <c r="SEM84" s="1"/>
      <c r="SEN84" s="1"/>
      <c r="SEO84" s="1"/>
      <c r="SEP84" s="1"/>
      <c r="SEQ84" s="1"/>
      <c r="SER84" s="1"/>
      <c r="SES84" s="1"/>
      <c r="SET84" s="1"/>
      <c r="SEU84" s="1"/>
      <c r="SEV84" s="1"/>
      <c r="SEW84" s="1"/>
      <c r="SEX84" s="1"/>
      <c r="SEY84" s="1"/>
      <c r="SEZ84" s="1"/>
      <c r="SFA84" s="1"/>
      <c r="SFB84" s="1"/>
      <c r="SFC84" s="1"/>
      <c r="SFD84" s="1"/>
      <c r="SFE84" s="1"/>
      <c r="SFF84" s="1"/>
      <c r="SFG84" s="1"/>
      <c r="SFH84" s="1"/>
      <c r="SFI84" s="1"/>
      <c r="SFJ84" s="1"/>
      <c r="SFK84" s="1"/>
      <c r="SFL84" s="1"/>
      <c r="SFM84" s="1"/>
      <c r="SFN84" s="1"/>
      <c r="SFO84" s="1"/>
      <c r="SFP84" s="1"/>
      <c r="SFQ84" s="1"/>
      <c r="SFR84" s="1"/>
      <c r="SFS84" s="1"/>
      <c r="SFT84" s="1"/>
      <c r="SFU84" s="1"/>
      <c r="SFV84" s="1"/>
      <c r="SFW84" s="1"/>
      <c r="SFX84" s="1"/>
      <c r="SFY84" s="1"/>
      <c r="SFZ84" s="1"/>
      <c r="SGA84" s="1"/>
      <c r="SGB84" s="1"/>
      <c r="SGC84" s="1"/>
      <c r="SGD84" s="1"/>
      <c r="SGE84" s="1"/>
      <c r="SGF84" s="1"/>
      <c r="SGG84" s="1"/>
      <c r="SGH84" s="1"/>
      <c r="SGI84" s="1"/>
      <c r="SGJ84" s="1"/>
      <c r="SGK84" s="1"/>
      <c r="SGL84" s="1"/>
      <c r="SGM84" s="1"/>
      <c r="SGN84" s="1"/>
      <c r="SGO84" s="1"/>
      <c r="SGP84" s="1"/>
      <c r="SGQ84" s="1"/>
      <c r="SGR84" s="1"/>
      <c r="SGS84" s="1"/>
      <c r="SGT84" s="1"/>
      <c r="SGU84" s="1"/>
      <c r="SGV84" s="1"/>
      <c r="SGW84" s="1"/>
      <c r="SGX84" s="1"/>
      <c r="SGY84" s="1"/>
      <c r="SGZ84" s="1"/>
      <c r="SHA84" s="1"/>
      <c r="SHB84" s="1"/>
      <c r="SHC84" s="1"/>
      <c r="SHD84" s="1"/>
      <c r="SHE84" s="1"/>
      <c r="SHF84" s="1"/>
      <c r="SHG84" s="1"/>
      <c r="SHH84" s="1"/>
      <c r="SHI84" s="1"/>
      <c r="SHJ84" s="1"/>
      <c r="SHK84" s="1"/>
      <c r="SHL84" s="1"/>
      <c r="SHM84" s="1"/>
      <c r="SHN84" s="1"/>
      <c r="SHO84" s="1"/>
      <c r="SHP84" s="1"/>
      <c r="SHQ84" s="1"/>
      <c r="SHR84" s="1"/>
      <c r="SHS84" s="1"/>
      <c r="SHT84" s="1"/>
      <c r="SHU84" s="1"/>
      <c r="SHV84" s="1"/>
      <c r="SHW84" s="1"/>
      <c r="SHX84" s="1"/>
      <c r="SHY84" s="1"/>
      <c r="SHZ84" s="1"/>
      <c r="SIA84" s="1"/>
      <c r="SIB84" s="1"/>
      <c r="SIC84" s="1"/>
      <c r="SID84" s="1"/>
      <c r="SIE84" s="1"/>
      <c r="SIF84" s="1"/>
      <c r="SIG84" s="1"/>
      <c r="SIH84" s="1"/>
      <c r="SII84" s="1"/>
      <c r="SIJ84" s="1"/>
      <c r="SIK84" s="1"/>
      <c r="SIL84" s="1"/>
      <c r="SIM84" s="1"/>
      <c r="SIN84" s="1"/>
      <c r="SIO84" s="1"/>
      <c r="SIP84" s="1"/>
      <c r="SIQ84" s="1"/>
      <c r="SIR84" s="1"/>
      <c r="SIS84" s="1"/>
      <c r="SIT84" s="1"/>
      <c r="SIU84" s="1"/>
      <c r="SIV84" s="1"/>
      <c r="SIW84" s="1"/>
      <c r="SIX84" s="1"/>
      <c r="SIY84" s="1"/>
      <c r="SIZ84" s="1"/>
      <c r="SJA84" s="1"/>
      <c r="SJB84" s="1"/>
      <c r="SJC84" s="1"/>
      <c r="SJD84" s="1"/>
      <c r="SJE84" s="1"/>
      <c r="SJF84" s="1"/>
      <c r="SJG84" s="1"/>
      <c r="SJH84" s="1"/>
      <c r="SJI84" s="1"/>
      <c r="SJJ84" s="1"/>
      <c r="SJK84" s="1"/>
      <c r="SJL84" s="1"/>
      <c r="SJM84" s="1"/>
      <c r="SJN84" s="1"/>
      <c r="SJO84" s="1"/>
      <c r="SJP84" s="1"/>
      <c r="SJQ84" s="1"/>
      <c r="SJR84" s="1"/>
      <c r="SJS84" s="1"/>
      <c r="SJT84" s="1"/>
      <c r="SJU84" s="1"/>
      <c r="SJV84" s="1"/>
      <c r="SJW84" s="1"/>
      <c r="SJX84" s="1"/>
      <c r="SJY84" s="1"/>
      <c r="SJZ84" s="1"/>
      <c r="SKA84" s="1"/>
      <c r="SKB84" s="1"/>
      <c r="SKC84" s="1"/>
      <c r="SKD84" s="1"/>
      <c r="SKE84" s="1"/>
      <c r="SKF84" s="1"/>
      <c r="SKG84" s="1"/>
      <c r="SKH84" s="1"/>
      <c r="SKI84" s="1"/>
      <c r="SKJ84" s="1"/>
      <c r="SKK84" s="1"/>
      <c r="SKL84" s="1"/>
      <c r="SKM84" s="1"/>
      <c r="SKN84" s="1"/>
      <c r="SKO84" s="1"/>
      <c r="SKP84" s="1"/>
      <c r="SKQ84" s="1"/>
      <c r="SKR84" s="1"/>
      <c r="SKS84" s="1"/>
      <c r="SKT84" s="1"/>
      <c r="SKU84" s="1"/>
      <c r="SKV84" s="1"/>
      <c r="SKW84" s="1"/>
      <c r="SKX84" s="1"/>
      <c r="SKY84" s="1"/>
      <c r="SKZ84" s="1"/>
      <c r="SLA84" s="1"/>
      <c r="SLB84" s="1"/>
      <c r="SLC84" s="1"/>
      <c r="SLD84" s="1"/>
      <c r="SLE84" s="1"/>
      <c r="SLF84" s="1"/>
      <c r="SLG84" s="1"/>
      <c r="SLH84" s="1"/>
      <c r="SLI84" s="1"/>
      <c r="SLJ84" s="1"/>
      <c r="SLK84" s="1"/>
      <c r="SLL84" s="1"/>
      <c r="SLM84" s="1"/>
      <c r="SLN84" s="1"/>
      <c r="SLO84" s="1"/>
      <c r="SLP84" s="1"/>
      <c r="SLQ84" s="1"/>
      <c r="SLR84" s="1"/>
      <c r="SLS84" s="1"/>
      <c r="SLT84" s="1"/>
      <c r="SLU84" s="1"/>
      <c r="SLV84" s="1"/>
      <c r="SLW84" s="1"/>
      <c r="SLX84" s="1"/>
      <c r="SLY84" s="1"/>
      <c r="SLZ84" s="1"/>
      <c r="SMA84" s="1"/>
      <c r="SMB84" s="1"/>
      <c r="SMC84" s="1"/>
      <c r="SMD84" s="1"/>
      <c r="SME84" s="1"/>
      <c r="SMF84" s="1"/>
      <c r="SMG84" s="1"/>
      <c r="SMH84" s="1"/>
      <c r="SMI84" s="1"/>
      <c r="SMJ84" s="1"/>
      <c r="SMK84" s="1"/>
      <c r="SML84" s="1"/>
      <c r="SMM84" s="1"/>
      <c r="SMN84" s="1"/>
      <c r="SMO84" s="1"/>
      <c r="SMP84" s="1"/>
      <c r="SMQ84" s="1"/>
      <c r="SMR84" s="1"/>
      <c r="SMS84" s="1"/>
      <c r="SMT84" s="1"/>
      <c r="SMU84" s="1"/>
      <c r="SMV84" s="1"/>
      <c r="SMW84" s="1"/>
      <c r="SMX84" s="1"/>
      <c r="SMY84" s="1"/>
      <c r="SMZ84" s="1"/>
      <c r="SNA84" s="1"/>
      <c r="SNB84" s="1"/>
      <c r="SNC84" s="1"/>
      <c r="SND84" s="1"/>
      <c r="SNE84" s="1"/>
      <c r="SNF84" s="1"/>
      <c r="SNG84" s="1"/>
      <c r="SNH84" s="1"/>
      <c r="SNI84" s="1"/>
      <c r="SNJ84" s="1"/>
      <c r="SNK84" s="1"/>
      <c r="SNL84" s="1"/>
      <c r="SNM84" s="1"/>
      <c r="SNN84" s="1"/>
      <c r="SNO84" s="1"/>
      <c r="SNP84" s="1"/>
      <c r="SNQ84" s="1"/>
      <c r="SNR84" s="1"/>
      <c r="SNS84" s="1"/>
      <c r="SNT84" s="1"/>
      <c r="SNU84" s="1"/>
      <c r="SNV84" s="1"/>
      <c r="SNW84" s="1"/>
      <c r="SNX84" s="1"/>
      <c r="SNY84" s="1"/>
      <c r="SNZ84" s="1"/>
      <c r="SOA84" s="1"/>
      <c r="SOB84" s="1"/>
      <c r="SOC84" s="1"/>
      <c r="SOD84" s="1"/>
      <c r="SOE84" s="1"/>
      <c r="SOF84" s="1"/>
      <c r="SOG84" s="1"/>
      <c r="SOH84" s="1"/>
      <c r="SOI84" s="1"/>
      <c r="SOJ84" s="1"/>
      <c r="SOK84" s="1"/>
      <c r="SOL84" s="1"/>
      <c r="SOM84" s="1"/>
      <c r="SON84" s="1"/>
      <c r="SOO84" s="1"/>
      <c r="SOP84" s="1"/>
      <c r="SOQ84" s="1"/>
      <c r="SOR84" s="1"/>
      <c r="SOS84" s="1"/>
      <c r="SOT84" s="1"/>
      <c r="SOU84" s="1"/>
      <c r="SOV84" s="1"/>
      <c r="SOW84" s="1"/>
      <c r="SOX84" s="1"/>
      <c r="SOY84" s="1"/>
      <c r="SOZ84" s="1"/>
      <c r="SPA84" s="1"/>
      <c r="SPB84" s="1"/>
      <c r="SPC84" s="1"/>
      <c r="SPD84" s="1"/>
      <c r="SPE84" s="1"/>
      <c r="SPF84" s="1"/>
      <c r="SPG84" s="1"/>
      <c r="SPH84" s="1"/>
      <c r="SPI84" s="1"/>
      <c r="SPJ84" s="1"/>
      <c r="SPK84" s="1"/>
      <c r="SPL84" s="1"/>
      <c r="SPM84" s="1"/>
      <c r="SPN84" s="1"/>
      <c r="SPO84" s="1"/>
      <c r="SPP84" s="1"/>
      <c r="SPQ84" s="1"/>
      <c r="SPR84" s="1"/>
      <c r="SPS84" s="1"/>
      <c r="SPT84" s="1"/>
      <c r="SPU84" s="1"/>
      <c r="SPV84" s="1"/>
      <c r="SPW84" s="1"/>
      <c r="SPX84" s="1"/>
      <c r="SPY84" s="1"/>
      <c r="SPZ84" s="1"/>
      <c r="SQA84" s="1"/>
      <c r="SQB84" s="1"/>
      <c r="SQC84" s="1"/>
      <c r="SQD84" s="1"/>
      <c r="SQE84" s="1"/>
      <c r="SQF84" s="1"/>
      <c r="SQG84" s="1"/>
      <c r="SQH84" s="1"/>
      <c r="SQI84" s="1"/>
      <c r="SQJ84" s="1"/>
      <c r="SQK84" s="1"/>
      <c r="SQL84" s="1"/>
      <c r="SQM84" s="1"/>
      <c r="SQN84" s="1"/>
      <c r="SQO84" s="1"/>
      <c r="SQP84" s="1"/>
      <c r="SQQ84" s="1"/>
      <c r="SQR84" s="1"/>
      <c r="SQS84" s="1"/>
      <c r="SQT84" s="1"/>
      <c r="SQU84" s="1"/>
      <c r="SQV84" s="1"/>
      <c r="SQW84" s="1"/>
      <c r="SQX84" s="1"/>
      <c r="SQY84" s="1"/>
      <c r="SQZ84" s="1"/>
      <c r="SRA84" s="1"/>
      <c r="SRB84" s="1"/>
      <c r="SRC84" s="1"/>
      <c r="SRD84" s="1"/>
      <c r="SRE84" s="1"/>
      <c r="SRF84" s="1"/>
      <c r="SRG84" s="1"/>
      <c r="SRH84" s="1"/>
      <c r="SRI84" s="1"/>
      <c r="SRJ84" s="1"/>
      <c r="SRK84" s="1"/>
      <c r="SRL84" s="1"/>
      <c r="SRM84" s="1"/>
      <c r="SRN84" s="1"/>
      <c r="SRO84" s="1"/>
      <c r="SRP84" s="1"/>
      <c r="SRQ84" s="1"/>
      <c r="SRR84" s="1"/>
      <c r="SRS84" s="1"/>
      <c r="SRT84" s="1"/>
      <c r="SRU84" s="1"/>
      <c r="SRV84" s="1"/>
      <c r="SRW84" s="1"/>
      <c r="SRX84" s="1"/>
      <c r="SRY84" s="1"/>
      <c r="SRZ84" s="1"/>
      <c r="SSA84" s="1"/>
      <c r="SSB84" s="1"/>
      <c r="SSC84" s="1"/>
      <c r="SSD84" s="1"/>
      <c r="SSE84" s="1"/>
      <c r="SSF84" s="1"/>
      <c r="SSG84" s="1"/>
      <c r="SSH84" s="1"/>
      <c r="SSI84" s="1"/>
      <c r="SSJ84" s="1"/>
      <c r="SSK84" s="1"/>
      <c r="SSL84" s="1"/>
      <c r="SSM84" s="1"/>
      <c r="SSN84" s="1"/>
      <c r="SSO84" s="1"/>
      <c r="SSP84" s="1"/>
      <c r="SSQ84" s="1"/>
      <c r="SSR84" s="1"/>
      <c r="SSS84" s="1"/>
      <c r="SST84" s="1"/>
      <c r="SSU84" s="1"/>
      <c r="SSV84" s="1"/>
      <c r="SSW84" s="1"/>
      <c r="SSX84" s="1"/>
      <c r="SSY84" s="1"/>
      <c r="SSZ84" s="1"/>
      <c r="STA84" s="1"/>
      <c r="STB84" s="1"/>
      <c r="STC84" s="1"/>
      <c r="STD84" s="1"/>
      <c r="STE84" s="1"/>
      <c r="STF84" s="1"/>
      <c r="STG84" s="1"/>
      <c r="STH84" s="1"/>
      <c r="STI84" s="1"/>
      <c r="STJ84" s="1"/>
      <c r="STK84" s="1"/>
      <c r="STL84" s="1"/>
      <c r="STM84" s="1"/>
      <c r="STN84" s="1"/>
      <c r="STO84" s="1"/>
      <c r="STP84" s="1"/>
      <c r="STQ84" s="1"/>
      <c r="STR84" s="1"/>
      <c r="STS84" s="1"/>
      <c r="STT84" s="1"/>
      <c r="STU84" s="1"/>
      <c r="STV84" s="1"/>
      <c r="STW84" s="1"/>
      <c r="STX84" s="1"/>
      <c r="STY84" s="1"/>
      <c r="STZ84" s="1"/>
      <c r="SUA84" s="1"/>
      <c r="SUB84" s="1"/>
      <c r="SUC84" s="1"/>
      <c r="SUD84" s="1"/>
      <c r="SUE84" s="1"/>
      <c r="SUF84" s="1"/>
      <c r="SUG84" s="1"/>
      <c r="SUH84" s="1"/>
      <c r="SUI84" s="1"/>
      <c r="SUJ84" s="1"/>
      <c r="SUK84" s="1"/>
      <c r="SUL84" s="1"/>
      <c r="SUM84" s="1"/>
      <c r="SUN84" s="1"/>
      <c r="SUO84" s="1"/>
      <c r="SUP84" s="1"/>
      <c r="SUQ84" s="1"/>
      <c r="SUR84" s="1"/>
      <c r="SUS84" s="1"/>
      <c r="SUT84" s="1"/>
      <c r="SUU84" s="1"/>
      <c r="SUV84" s="1"/>
      <c r="SUW84" s="1"/>
      <c r="SUX84" s="1"/>
      <c r="SUY84" s="1"/>
      <c r="SUZ84" s="1"/>
      <c r="SVA84" s="1"/>
      <c r="SVB84" s="1"/>
      <c r="SVC84" s="1"/>
      <c r="SVD84" s="1"/>
      <c r="SVE84" s="1"/>
      <c r="SVF84" s="1"/>
      <c r="SVG84" s="1"/>
      <c r="SVH84" s="1"/>
      <c r="SVI84" s="1"/>
      <c r="SVJ84" s="1"/>
      <c r="SVK84" s="1"/>
      <c r="SVL84" s="1"/>
      <c r="SVM84" s="1"/>
      <c r="SVN84" s="1"/>
      <c r="SVO84" s="1"/>
      <c r="SVP84" s="1"/>
      <c r="SVQ84" s="1"/>
      <c r="SVR84" s="1"/>
      <c r="SVS84" s="1"/>
      <c r="SVT84" s="1"/>
      <c r="SVU84" s="1"/>
      <c r="SVV84" s="1"/>
      <c r="SVW84" s="1"/>
      <c r="SVX84" s="1"/>
      <c r="SVY84" s="1"/>
      <c r="SVZ84" s="1"/>
      <c r="SWA84" s="1"/>
      <c r="SWB84" s="1"/>
      <c r="SWC84" s="1"/>
      <c r="SWD84" s="1"/>
      <c r="SWE84" s="1"/>
      <c r="SWF84" s="1"/>
      <c r="SWG84" s="1"/>
      <c r="SWH84" s="1"/>
      <c r="SWI84" s="1"/>
      <c r="SWJ84" s="1"/>
      <c r="SWK84" s="1"/>
      <c r="SWL84" s="1"/>
      <c r="SWM84" s="1"/>
      <c r="SWN84" s="1"/>
      <c r="SWO84" s="1"/>
      <c r="SWP84" s="1"/>
      <c r="SWQ84" s="1"/>
      <c r="SWR84" s="1"/>
      <c r="SWS84" s="1"/>
      <c r="SWT84" s="1"/>
      <c r="SWU84" s="1"/>
      <c r="SWV84" s="1"/>
      <c r="SWW84" s="1"/>
      <c r="SWX84" s="1"/>
      <c r="SWY84" s="1"/>
      <c r="SWZ84" s="1"/>
      <c r="SXA84" s="1"/>
      <c r="SXB84" s="1"/>
      <c r="SXC84" s="1"/>
      <c r="SXD84" s="1"/>
      <c r="SXE84" s="1"/>
      <c r="SXF84" s="1"/>
      <c r="SXG84" s="1"/>
      <c r="SXH84" s="1"/>
      <c r="SXI84" s="1"/>
      <c r="SXJ84" s="1"/>
      <c r="SXK84" s="1"/>
      <c r="SXL84" s="1"/>
      <c r="SXM84" s="1"/>
      <c r="SXN84" s="1"/>
      <c r="SXO84" s="1"/>
      <c r="SXP84" s="1"/>
      <c r="SXQ84" s="1"/>
      <c r="SXR84" s="1"/>
      <c r="SXS84" s="1"/>
      <c r="SXT84" s="1"/>
      <c r="SXU84" s="1"/>
      <c r="SXV84" s="1"/>
      <c r="SXW84" s="1"/>
      <c r="SXX84" s="1"/>
      <c r="SXY84" s="1"/>
      <c r="SXZ84" s="1"/>
      <c r="SYA84" s="1"/>
      <c r="SYB84" s="1"/>
      <c r="SYC84" s="1"/>
      <c r="SYD84" s="1"/>
      <c r="SYE84" s="1"/>
      <c r="SYF84" s="1"/>
      <c r="SYG84" s="1"/>
      <c r="SYH84" s="1"/>
      <c r="SYI84" s="1"/>
      <c r="SYJ84" s="1"/>
      <c r="SYK84" s="1"/>
      <c r="SYL84" s="1"/>
      <c r="SYM84" s="1"/>
      <c r="SYN84" s="1"/>
      <c r="SYO84" s="1"/>
      <c r="SYP84" s="1"/>
      <c r="SYQ84" s="1"/>
      <c r="SYR84" s="1"/>
      <c r="SYS84" s="1"/>
      <c r="SYT84" s="1"/>
      <c r="SYU84" s="1"/>
      <c r="SYV84" s="1"/>
      <c r="SYW84" s="1"/>
      <c r="SYX84" s="1"/>
      <c r="SYY84" s="1"/>
      <c r="SYZ84" s="1"/>
      <c r="SZA84" s="1"/>
      <c r="SZB84" s="1"/>
      <c r="SZC84" s="1"/>
      <c r="SZD84" s="1"/>
      <c r="SZE84" s="1"/>
      <c r="SZF84" s="1"/>
      <c r="SZG84" s="1"/>
      <c r="SZH84" s="1"/>
      <c r="SZI84" s="1"/>
      <c r="SZJ84" s="1"/>
      <c r="SZK84" s="1"/>
      <c r="SZL84" s="1"/>
      <c r="SZM84" s="1"/>
      <c r="SZN84" s="1"/>
      <c r="SZO84" s="1"/>
      <c r="SZP84" s="1"/>
      <c r="SZQ84" s="1"/>
      <c r="SZR84" s="1"/>
      <c r="SZS84" s="1"/>
      <c r="SZT84" s="1"/>
      <c r="SZU84" s="1"/>
      <c r="SZV84" s="1"/>
      <c r="SZW84" s="1"/>
      <c r="SZX84" s="1"/>
      <c r="SZY84" s="1"/>
      <c r="SZZ84" s="1"/>
      <c r="TAA84" s="1"/>
      <c r="TAB84" s="1"/>
      <c r="TAC84" s="1"/>
      <c r="TAD84" s="1"/>
      <c r="TAE84" s="1"/>
      <c r="TAF84" s="1"/>
      <c r="TAG84" s="1"/>
      <c r="TAH84" s="1"/>
      <c r="TAI84" s="1"/>
      <c r="TAJ84" s="1"/>
      <c r="TAK84" s="1"/>
      <c r="TAL84" s="1"/>
      <c r="TAM84" s="1"/>
      <c r="TAN84" s="1"/>
      <c r="TAO84" s="1"/>
      <c r="TAP84" s="1"/>
      <c r="TAQ84" s="1"/>
      <c r="TAR84" s="1"/>
      <c r="TAS84" s="1"/>
      <c r="TAT84" s="1"/>
      <c r="TAU84" s="1"/>
      <c r="TAV84" s="1"/>
      <c r="TAW84" s="1"/>
      <c r="TAX84" s="1"/>
      <c r="TAY84" s="1"/>
      <c r="TAZ84" s="1"/>
      <c r="TBA84" s="1"/>
      <c r="TBB84" s="1"/>
      <c r="TBC84" s="1"/>
      <c r="TBD84" s="1"/>
      <c r="TBE84" s="1"/>
      <c r="TBF84" s="1"/>
      <c r="TBG84" s="1"/>
      <c r="TBH84" s="1"/>
      <c r="TBI84" s="1"/>
      <c r="TBJ84" s="1"/>
      <c r="TBK84" s="1"/>
      <c r="TBL84" s="1"/>
      <c r="TBM84" s="1"/>
      <c r="TBN84" s="1"/>
      <c r="TBO84" s="1"/>
      <c r="TBP84" s="1"/>
      <c r="TBQ84" s="1"/>
      <c r="TBR84" s="1"/>
      <c r="TBS84" s="1"/>
      <c r="TBT84" s="1"/>
      <c r="TBU84" s="1"/>
      <c r="TBV84" s="1"/>
      <c r="TBW84" s="1"/>
      <c r="TBX84" s="1"/>
      <c r="TBY84" s="1"/>
      <c r="TBZ84" s="1"/>
      <c r="TCA84" s="1"/>
      <c r="TCB84" s="1"/>
      <c r="TCC84" s="1"/>
      <c r="TCD84" s="1"/>
      <c r="TCE84" s="1"/>
      <c r="TCF84" s="1"/>
      <c r="TCG84" s="1"/>
      <c r="TCH84" s="1"/>
      <c r="TCI84" s="1"/>
      <c r="TCJ84" s="1"/>
      <c r="TCK84" s="1"/>
      <c r="TCL84" s="1"/>
      <c r="TCM84" s="1"/>
      <c r="TCN84" s="1"/>
      <c r="TCO84" s="1"/>
      <c r="TCP84" s="1"/>
      <c r="TCQ84" s="1"/>
      <c r="TCR84" s="1"/>
      <c r="TCS84" s="1"/>
      <c r="TCT84" s="1"/>
      <c r="TCU84" s="1"/>
      <c r="TCV84" s="1"/>
      <c r="TCW84" s="1"/>
      <c r="TCX84" s="1"/>
      <c r="TCY84" s="1"/>
      <c r="TCZ84" s="1"/>
      <c r="TDA84" s="1"/>
      <c r="TDB84" s="1"/>
      <c r="TDC84" s="1"/>
      <c r="TDD84" s="1"/>
      <c r="TDE84" s="1"/>
      <c r="TDF84" s="1"/>
      <c r="TDG84" s="1"/>
      <c r="TDH84" s="1"/>
      <c r="TDI84" s="1"/>
      <c r="TDJ84" s="1"/>
      <c r="TDK84" s="1"/>
      <c r="TDL84" s="1"/>
      <c r="TDM84" s="1"/>
      <c r="TDN84" s="1"/>
      <c r="TDO84" s="1"/>
      <c r="TDP84" s="1"/>
      <c r="TDQ84" s="1"/>
      <c r="TDR84" s="1"/>
      <c r="TDS84" s="1"/>
      <c r="TDT84" s="1"/>
      <c r="TDU84" s="1"/>
      <c r="TDV84" s="1"/>
      <c r="TDW84" s="1"/>
      <c r="TDX84" s="1"/>
      <c r="TDY84" s="1"/>
      <c r="TDZ84" s="1"/>
      <c r="TEA84" s="1"/>
      <c r="TEB84" s="1"/>
      <c r="TEC84" s="1"/>
      <c r="TED84" s="1"/>
      <c r="TEE84" s="1"/>
      <c r="TEF84" s="1"/>
      <c r="TEG84" s="1"/>
      <c r="TEH84" s="1"/>
      <c r="TEI84" s="1"/>
      <c r="TEJ84" s="1"/>
      <c r="TEK84" s="1"/>
      <c r="TEL84" s="1"/>
      <c r="TEM84" s="1"/>
      <c r="TEN84" s="1"/>
      <c r="TEO84" s="1"/>
      <c r="TEP84" s="1"/>
      <c r="TEQ84" s="1"/>
      <c r="TER84" s="1"/>
      <c r="TES84" s="1"/>
      <c r="TET84" s="1"/>
      <c r="TEU84" s="1"/>
      <c r="TEV84" s="1"/>
      <c r="TEW84" s="1"/>
      <c r="TEX84" s="1"/>
      <c r="TEY84" s="1"/>
      <c r="TEZ84" s="1"/>
      <c r="TFA84" s="1"/>
      <c r="TFB84" s="1"/>
      <c r="TFC84" s="1"/>
      <c r="TFD84" s="1"/>
      <c r="TFE84" s="1"/>
      <c r="TFF84" s="1"/>
      <c r="TFG84" s="1"/>
      <c r="TFH84" s="1"/>
      <c r="TFI84" s="1"/>
      <c r="TFJ84" s="1"/>
      <c r="TFK84" s="1"/>
      <c r="TFL84" s="1"/>
      <c r="TFM84" s="1"/>
      <c r="TFN84" s="1"/>
      <c r="TFO84" s="1"/>
      <c r="TFP84" s="1"/>
      <c r="TFQ84" s="1"/>
      <c r="TFR84" s="1"/>
      <c r="TFS84" s="1"/>
      <c r="TFT84" s="1"/>
      <c r="TFU84" s="1"/>
      <c r="TFV84" s="1"/>
      <c r="TFW84" s="1"/>
      <c r="TFX84" s="1"/>
      <c r="TFY84" s="1"/>
      <c r="TFZ84" s="1"/>
      <c r="TGA84" s="1"/>
      <c r="TGB84" s="1"/>
      <c r="TGC84" s="1"/>
      <c r="TGD84" s="1"/>
      <c r="TGE84" s="1"/>
      <c r="TGF84" s="1"/>
      <c r="TGG84" s="1"/>
      <c r="TGH84" s="1"/>
      <c r="TGI84" s="1"/>
      <c r="TGJ84" s="1"/>
      <c r="TGK84" s="1"/>
      <c r="TGL84" s="1"/>
      <c r="TGM84" s="1"/>
      <c r="TGN84" s="1"/>
      <c r="TGO84" s="1"/>
      <c r="TGP84" s="1"/>
      <c r="TGQ84" s="1"/>
      <c r="TGR84" s="1"/>
      <c r="TGS84" s="1"/>
      <c r="TGT84" s="1"/>
      <c r="TGU84" s="1"/>
      <c r="TGV84" s="1"/>
      <c r="TGW84" s="1"/>
      <c r="TGX84" s="1"/>
      <c r="TGY84" s="1"/>
      <c r="TGZ84" s="1"/>
      <c r="THA84" s="1"/>
      <c r="THB84" s="1"/>
      <c r="THC84" s="1"/>
      <c r="THD84" s="1"/>
      <c r="THE84" s="1"/>
      <c r="THF84" s="1"/>
      <c r="THG84" s="1"/>
      <c r="THH84" s="1"/>
      <c r="THI84" s="1"/>
      <c r="THJ84" s="1"/>
      <c r="THK84" s="1"/>
      <c r="THL84" s="1"/>
      <c r="THM84" s="1"/>
      <c r="THN84" s="1"/>
      <c r="THO84" s="1"/>
      <c r="THP84" s="1"/>
      <c r="THQ84" s="1"/>
      <c r="THR84" s="1"/>
      <c r="THS84" s="1"/>
      <c r="THT84" s="1"/>
      <c r="THU84" s="1"/>
      <c r="THV84" s="1"/>
      <c r="THW84" s="1"/>
      <c r="THX84" s="1"/>
      <c r="THY84" s="1"/>
      <c r="THZ84" s="1"/>
      <c r="TIA84" s="1"/>
      <c r="TIB84" s="1"/>
      <c r="TIC84" s="1"/>
      <c r="TID84" s="1"/>
      <c r="TIE84" s="1"/>
      <c r="TIF84" s="1"/>
      <c r="TIG84" s="1"/>
      <c r="TIH84" s="1"/>
      <c r="TII84" s="1"/>
      <c r="TIJ84" s="1"/>
      <c r="TIK84" s="1"/>
      <c r="TIL84" s="1"/>
      <c r="TIM84" s="1"/>
      <c r="TIN84" s="1"/>
      <c r="TIO84" s="1"/>
      <c r="TIP84" s="1"/>
      <c r="TIQ84" s="1"/>
      <c r="TIR84" s="1"/>
      <c r="TIS84" s="1"/>
      <c r="TIT84" s="1"/>
      <c r="TIU84" s="1"/>
      <c r="TIV84" s="1"/>
      <c r="TIW84" s="1"/>
      <c r="TIX84" s="1"/>
      <c r="TIY84" s="1"/>
      <c r="TIZ84" s="1"/>
      <c r="TJA84" s="1"/>
      <c r="TJB84" s="1"/>
      <c r="TJC84" s="1"/>
      <c r="TJD84" s="1"/>
      <c r="TJE84" s="1"/>
      <c r="TJF84" s="1"/>
      <c r="TJG84" s="1"/>
      <c r="TJH84" s="1"/>
      <c r="TJI84" s="1"/>
      <c r="TJJ84" s="1"/>
      <c r="TJK84" s="1"/>
      <c r="TJL84" s="1"/>
      <c r="TJM84" s="1"/>
      <c r="TJN84" s="1"/>
      <c r="TJO84" s="1"/>
      <c r="TJP84" s="1"/>
      <c r="TJQ84" s="1"/>
      <c r="TJR84" s="1"/>
      <c r="TJS84" s="1"/>
      <c r="TJT84" s="1"/>
      <c r="TJU84" s="1"/>
      <c r="TJV84" s="1"/>
      <c r="TJW84" s="1"/>
      <c r="TJX84" s="1"/>
      <c r="TJY84" s="1"/>
      <c r="TJZ84" s="1"/>
      <c r="TKA84" s="1"/>
      <c r="TKB84" s="1"/>
      <c r="TKC84" s="1"/>
      <c r="TKD84" s="1"/>
      <c r="TKE84" s="1"/>
      <c r="TKF84" s="1"/>
      <c r="TKG84" s="1"/>
      <c r="TKH84" s="1"/>
      <c r="TKI84" s="1"/>
      <c r="TKJ84" s="1"/>
      <c r="TKK84" s="1"/>
      <c r="TKL84" s="1"/>
      <c r="TKM84" s="1"/>
      <c r="TKN84" s="1"/>
      <c r="TKO84" s="1"/>
      <c r="TKP84" s="1"/>
      <c r="TKQ84" s="1"/>
      <c r="TKR84" s="1"/>
      <c r="TKS84" s="1"/>
      <c r="TKT84" s="1"/>
      <c r="TKU84" s="1"/>
      <c r="TKV84" s="1"/>
      <c r="TKW84" s="1"/>
      <c r="TKX84" s="1"/>
      <c r="TKY84" s="1"/>
      <c r="TKZ84" s="1"/>
      <c r="TLA84" s="1"/>
      <c r="TLB84" s="1"/>
      <c r="TLC84" s="1"/>
      <c r="TLD84" s="1"/>
      <c r="TLE84" s="1"/>
      <c r="TLF84" s="1"/>
      <c r="TLG84" s="1"/>
      <c r="TLH84" s="1"/>
      <c r="TLI84" s="1"/>
      <c r="TLJ84" s="1"/>
      <c r="TLK84" s="1"/>
      <c r="TLL84" s="1"/>
      <c r="TLM84" s="1"/>
      <c r="TLN84" s="1"/>
      <c r="TLO84" s="1"/>
      <c r="TLP84" s="1"/>
      <c r="TLQ84" s="1"/>
      <c r="TLR84" s="1"/>
      <c r="TLS84" s="1"/>
      <c r="TLT84" s="1"/>
      <c r="TLU84" s="1"/>
      <c r="TLV84" s="1"/>
      <c r="TLW84" s="1"/>
      <c r="TLX84" s="1"/>
      <c r="TLY84" s="1"/>
      <c r="TLZ84" s="1"/>
      <c r="TMA84" s="1"/>
      <c r="TMB84" s="1"/>
      <c r="TMC84" s="1"/>
      <c r="TMD84" s="1"/>
      <c r="TME84" s="1"/>
      <c r="TMF84" s="1"/>
      <c r="TMG84" s="1"/>
      <c r="TMH84" s="1"/>
      <c r="TMI84" s="1"/>
      <c r="TMJ84" s="1"/>
      <c r="TMK84" s="1"/>
      <c r="TML84" s="1"/>
      <c r="TMM84" s="1"/>
      <c r="TMN84" s="1"/>
      <c r="TMO84" s="1"/>
      <c r="TMP84" s="1"/>
      <c r="TMQ84" s="1"/>
      <c r="TMR84" s="1"/>
      <c r="TMS84" s="1"/>
      <c r="TMT84" s="1"/>
      <c r="TMU84" s="1"/>
      <c r="TMV84" s="1"/>
      <c r="TMW84" s="1"/>
      <c r="TMX84" s="1"/>
      <c r="TMY84" s="1"/>
      <c r="TMZ84" s="1"/>
      <c r="TNA84" s="1"/>
      <c r="TNB84" s="1"/>
      <c r="TNC84" s="1"/>
      <c r="TND84" s="1"/>
      <c r="TNE84" s="1"/>
      <c r="TNF84" s="1"/>
      <c r="TNG84" s="1"/>
      <c r="TNH84" s="1"/>
      <c r="TNI84" s="1"/>
      <c r="TNJ84" s="1"/>
      <c r="TNK84" s="1"/>
      <c r="TNL84" s="1"/>
      <c r="TNM84" s="1"/>
      <c r="TNN84" s="1"/>
      <c r="TNO84" s="1"/>
      <c r="TNP84" s="1"/>
      <c r="TNQ84" s="1"/>
      <c r="TNR84" s="1"/>
      <c r="TNS84" s="1"/>
      <c r="TNT84" s="1"/>
      <c r="TNU84" s="1"/>
      <c r="TNV84" s="1"/>
      <c r="TNW84" s="1"/>
      <c r="TNX84" s="1"/>
      <c r="TNY84" s="1"/>
      <c r="TNZ84" s="1"/>
      <c r="TOA84" s="1"/>
      <c r="TOB84" s="1"/>
      <c r="TOC84" s="1"/>
      <c r="TOD84" s="1"/>
      <c r="TOE84" s="1"/>
      <c r="TOF84" s="1"/>
      <c r="TOG84" s="1"/>
      <c r="TOH84" s="1"/>
      <c r="TOI84" s="1"/>
      <c r="TOJ84" s="1"/>
      <c r="TOK84" s="1"/>
      <c r="TOL84" s="1"/>
      <c r="TOM84" s="1"/>
      <c r="TON84" s="1"/>
      <c r="TOO84" s="1"/>
      <c r="TOP84" s="1"/>
      <c r="TOQ84" s="1"/>
      <c r="TOR84" s="1"/>
      <c r="TOS84" s="1"/>
      <c r="TOT84" s="1"/>
      <c r="TOU84" s="1"/>
      <c r="TOV84" s="1"/>
      <c r="TOW84" s="1"/>
      <c r="TOX84" s="1"/>
      <c r="TOY84" s="1"/>
      <c r="TOZ84" s="1"/>
      <c r="TPA84" s="1"/>
      <c r="TPB84" s="1"/>
      <c r="TPC84" s="1"/>
      <c r="TPD84" s="1"/>
      <c r="TPE84" s="1"/>
      <c r="TPF84" s="1"/>
      <c r="TPG84" s="1"/>
      <c r="TPH84" s="1"/>
      <c r="TPI84" s="1"/>
      <c r="TPJ84" s="1"/>
      <c r="TPK84" s="1"/>
      <c r="TPL84" s="1"/>
      <c r="TPM84" s="1"/>
      <c r="TPN84" s="1"/>
      <c r="TPO84" s="1"/>
      <c r="TPP84" s="1"/>
      <c r="TPQ84" s="1"/>
      <c r="TPR84" s="1"/>
      <c r="TPS84" s="1"/>
      <c r="TPT84" s="1"/>
      <c r="TPU84" s="1"/>
      <c r="TPV84" s="1"/>
      <c r="TPW84" s="1"/>
      <c r="TPX84" s="1"/>
      <c r="TPY84" s="1"/>
      <c r="TPZ84" s="1"/>
      <c r="TQA84" s="1"/>
      <c r="TQB84" s="1"/>
      <c r="TQC84" s="1"/>
      <c r="TQD84" s="1"/>
      <c r="TQE84" s="1"/>
      <c r="TQF84" s="1"/>
      <c r="TQG84" s="1"/>
      <c r="TQH84" s="1"/>
      <c r="TQI84" s="1"/>
      <c r="TQJ84" s="1"/>
      <c r="TQK84" s="1"/>
      <c r="TQL84" s="1"/>
      <c r="TQM84" s="1"/>
      <c r="TQN84" s="1"/>
      <c r="TQO84" s="1"/>
      <c r="TQP84" s="1"/>
      <c r="TQQ84" s="1"/>
      <c r="TQR84" s="1"/>
      <c r="TQS84" s="1"/>
      <c r="TQT84" s="1"/>
      <c r="TQU84" s="1"/>
      <c r="TQV84" s="1"/>
      <c r="TQW84" s="1"/>
      <c r="TQX84" s="1"/>
      <c r="TQY84" s="1"/>
      <c r="TQZ84" s="1"/>
      <c r="TRA84" s="1"/>
      <c r="TRB84" s="1"/>
      <c r="TRC84" s="1"/>
      <c r="TRD84" s="1"/>
      <c r="TRE84" s="1"/>
      <c r="TRF84" s="1"/>
      <c r="TRG84" s="1"/>
      <c r="TRH84" s="1"/>
      <c r="TRI84" s="1"/>
      <c r="TRJ84" s="1"/>
      <c r="TRK84" s="1"/>
      <c r="TRL84" s="1"/>
      <c r="TRM84" s="1"/>
      <c r="TRN84" s="1"/>
      <c r="TRO84" s="1"/>
      <c r="TRP84" s="1"/>
      <c r="TRQ84" s="1"/>
      <c r="TRR84" s="1"/>
      <c r="TRS84" s="1"/>
      <c r="TRT84" s="1"/>
      <c r="TRU84" s="1"/>
      <c r="TRV84" s="1"/>
      <c r="TRW84" s="1"/>
      <c r="TRX84" s="1"/>
      <c r="TRY84" s="1"/>
      <c r="TRZ84" s="1"/>
      <c r="TSA84" s="1"/>
      <c r="TSB84" s="1"/>
      <c r="TSC84" s="1"/>
      <c r="TSD84" s="1"/>
      <c r="TSE84" s="1"/>
      <c r="TSF84" s="1"/>
      <c r="TSG84" s="1"/>
      <c r="TSH84" s="1"/>
      <c r="TSI84" s="1"/>
      <c r="TSJ84" s="1"/>
      <c r="TSK84" s="1"/>
      <c r="TSL84" s="1"/>
      <c r="TSM84" s="1"/>
      <c r="TSN84" s="1"/>
      <c r="TSO84" s="1"/>
      <c r="TSP84" s="1"/>
      <c r="TSQ84" s="1"/>
      <c r="TSR84" s="1"/>
      <c r="TSS84" s="1"/>
      <c r="TST84" s="1"/>
      <c r="TSU84" s="1"/>
      <c r="TSV84" s="1"/>
      <c r="TSW84" s="1"/>
      <c r="TSX84" s="1"/>
      <c r="TSY84" s="1"/>
      <c r="TSZ84" s="1"/>
      <c r="TTA84" s="1"/>
      <c r="TTB84" s="1"/>
      <c r="TTC84" s="1"/>
      <c r="TTD84" s="1"/>
      <c r="TTE84" s="1"/>
      <c r="TTF84" s="1"/>
      <c r="TTG84" s="1"/>
      <c r="TTH84" s="1"/>
      <c r="TTI84" s="1"/>
      <c r="TTJ84" s="1"/>
      <c r="TTK84" s="1"/>
      <c r="TTL84" s="1"/>
      <c r="TTM84" s="1"/>
      <c r="TTN84" s="1"/>
      <c r="TTO84" s="1"/>
      <c r="TTP84" s="1"/>
      <c r="TTQ84" s="1"/>
      <c r="TTR84" s="1"/>
      <c r="TTS84" s="1"/>
      <c r="TTT84" s="1"/>
      <c r="TTU84" s="1"/>
      <c r="TTV84" s="1"/>
      <c r="TTW84" s="1"/>
      <c r="TTX84" s="1"/>
      <c r="TTY84" s="1"/>
      <c r="TTZ84" s="1"/>
      <c r="TUA84" s="1"/>
      <c r="TUB84" s="1"/>
      <c r="TUC84" s="1"/>
      <c r="TUD84" s="1"/>
      <c r="TUE84" s="1"/>
      <c r="TUF84" s="1"/>
      <c r="TUG84" s="1"/>
      <c r="TUH84" s="1"/>
      <c r="TUI84" s="1"/>
      <c r="TUJ84" s="1"/>
      <c r="TUK84" s="1"/>
      <c r="TUL84" s="1"/>
      <c r="TUM84" s="1"/>
      <c r="TUN84" s="1"/>
      <c r="TUO84" s="1"/>
      <c r="TUP84" s="1"/>
      <c r="TUQ84" s="1"/>
      <c r="TUR84" s="1"/>
      <c r="TUS84" s="1"/>
      <c r="TUT84" s="1"/>
      <c r="TUU84" s="1"/>
      <c r="TUV84" s="1"/>
      <c r="TUW84" s="1"/>
      <c r="TUX84" s="1"/>
      <c r="TUY84" s="1"/>
      <c r="TUZ84" s="1"/>
      <c r="TVA84" s="1"/>
      <c r="TVB84" s="1"/>
      <c r="TVC84" s="1"/>
      <c r="TVD84" s="1"/>
      <c r="TVE84" s="1"/>
      <c r="TVF84" s="1"/>
      <c r="TVG84" s="1"/>
      <c r="TVH84" s="1"/>
      <c r="TVI84" s="1"/>
      <c r="TVJ84" s="1"/>
      <c r="TVK84" s="1"/>
      <c r="TVL84" s="1"/>
      <c r="TVM84" s="1"/>
      <c r="TVN84" s="1"/>
      <c r="TVO84" s="1"/>
      <c r="TVP84" s="1"/>
      <c r="TVQ84" s="1"/>
      <c r="TVR84" s="1"/>
      <c r="TVS84" s="1"/>
      <c r="TVT84" s="1"/>
      <c r="TVU84" s="1"/>
      <c r="TVV84" s="1"/>
      <c r="TVW84" s="1"/>
      <c r="TVX84" s="1"/>
      <c r="TVY84" s="1"/>
      <c r="TVZ84" s="1"/>
      <c r="TWA84" s="1"/>
      <c r="TWB84" s="1"/>
      <c r="TWC84" s="1"/>
      <c r="TWD84" s="1"/>
      <c r="TWE84" s="1"/>
      <c r="TWF84" s="1"/>
      <c r="TWG84" s="1"/>
      <c r="TWH84" s="1"/>
      <c r="TWI84" s="1"/>
      <c r="TWJ84" s="1"/>
      <c r="TWK84" s="1"/>
      <c r="TWL84" s="1"/>
      <c r="TWM84" s="1"/>
      <c r="TWN84" s="1"/>
      <c r="TWO84" s="1"/>
      <c r="TWP84" s="1"/>
      <c r="TWQ84" s="1"/>
      <c r="TWR84" s="1"/>
      <c r="TWS84" s="1"/>
      <c r="TWT84" s="1"/>
      <c r="TWU84" s="1"/>
      <c r="TWV84" s="1"/>
      <c r="TWW84" s="1"/>
      <c r="TWX84" s="1"/>
      <c r="TWY84" s="1"/>
      <c r="TWZ84" s="1"/>
      <c r="TXA84" s="1"/>
      <c r="TXB84" s="1"/>
      <c r="TXC84" s="1"/>
      <c r="TXD84" s="1"/>
      <c r="TXE84" s="1"/>
      <c r="TXF84" s="1"/>
      <c r="TXG84" s="1"/>
      <c r="TXH84" s="1"/>
      <c r="TXI84" s="1"/>
      <c r="TXJ84" s="1"/>
      <c r="TXK84" s="1"/>
      <c r="TXL84" s="1"/>
      <c r="TXM84" s="1"/>
      <c r="TXN84" s="1"/>
      <c r="TXO84" s="1"/>
      <c r="TXP84" s="1"/>
      <c r="TXQ84" s="1"/>
      <c r="TXR84" s="1"/>
      <c r="TXS84" s="1"/>
      <c r="TXT84" s="1"/>
      <c r="TXU84" s="1"/>
      <c r="TXV84" s="1"/>
      <c r="TXW84" s="1"/>
      <c r="TXX84" s="1"/>
      <c r="TXY84" s="1"/>
      <c r="TXZ84" s="1"/>
      <c r="TYA84" s="1"/>
      <c r="TYB84" s="1"/>
      <c r="TYC84" s="1"/>
      <c r="TYD84" s="1"/>
      <c r="TYE84" s="1"/>
      <c r="TYF84" s="1"/>
      <c r="TYG84" s="1"/>
      <c r="TYH84" s="1"/>
      <c r="TYI84" s="1"/>
      <c r="TYJ84" s="1"/>
      <c r="TYK84" s="1"/>
      <c r="TYL84" s="1"/>
      <c r="TYM84" s="1"/>
      <c r="TYN84" s="1"/>
      <c r="TYO84" s="1"/>
      <c r="TYP84" s="1"/>
      <c r="TYQ84" s="1"/>
      <c r="TYR84" s="1"/>
      <c r="TYS84" s="1"/>
      <c r="TYT84" s="1"/>
      <c r="TYU84" s="1"/>
      <c r="TYV84" s="1"/>
      <c r="TYW84" s="1"/>
      <c r="TYX84" s="1"/>
      <c r="TYY84" s="1"/>
      <c r="TYZ84" s="1"/>
      <c r="TZA84" s="1"/>
      <c r="TZB84" s="1"/>
      <c r="TZC84" s="1"/>
      <c r="TZD84" s="1"/>
      <c r="TZE84" s="1"/>
      <c r="TZF84" s="1"/>
      <c r="TZG84" s="1"/>
      <c r="TZH84" s="1"/>
      <c r="TZI84" s="1"/>
      <c r="TZJ84" s="1"/>
      <c r="TZK84" s="1"/>
      <c r="TZL84" s="1"/>
      <c r="TZM84" s="1"/>
      <c r="TZN84" s="1"/>
      <c r="TZO84" s="1"/>
      <c r="TZP84" s="1"/>
      <c r="TZQ84" s="1"/>
      <c r="TZR84" s="1"/>
      <c r="TZS84" s="1"/>
      <c r="TZT84" s="1"/>
      <c r="TZU84" s="1"/>
      <c r="TZV84" s="1"/>
      <c r="TZW84" s="1"/>
      <c r="TZX84" s="1"/>
      <c r="TZY84" s="1"/>
      <c r="TZZ84" s="1"/>
      <c r="UAA84" s="1"/>
      <c r="UAB84" s="1"/>
      <c r="UAC84" s="1"/>
      <c r="UAD84" s="1"/>
      <c r="UAE84" s="1"/>
      <c r="UAF84" s="1"/>
      <c r="UAG84" s="1"/>
      <c r="UAH84" s="1"/>
      <c r="UAI84" s="1"/>
      <c r="UAJ84" s="1"/>
      <c r="UAK84" s="1"/>
      <c r="UAL84" s="1"/>
      <c r="UAM84" s="1"/>
      <c r="UAN84" s="1"/>
      <c r="UAO84" s="1"/>
      <c r="UAP84" s="1"/>
      <c r="UAQ84" s="1"/>
      <c r="UAR84" s="1"/>
      <c r="UAS84" s="1"/>
      <c r="UAT84" s="1"/>
      <c r="UAU84" s="1"/>
      <c r="UAV84" s="1"/>
      <c r="UAW84" s="1"/>
      <c r="UAX84" s="1"/>
      <c r="UAY84" s="1"/>
      <c r="UAZ84" s="1"/>
      <c r="UBA84" s="1"/>
      <c r="UBB84" s="1"/>
      <c r="UBC84" s="1"/>
      <c r="UBD84" s="1"/>
      <c r="UBE84" s="1"/>
      <c r="UBF84" s="1"/>
      <c r="UBG84" s="1"/>
      <c r="UBH84" s="1"/>
      <c r="UBI84" s="1"/>
      <c r="UBJ84" s="1"/>
      <c r="UBK84" s="1"/>
      <c r="UBL84" s="1"/>
      <c r="UBM84" s="1"/>
      <c r="UBN84" s="1"/>
      <c r="UBO84" s="1"/>
      <c r="UBP84" s="1"/>
      <c r="UBQ84" s="1"/>
      <c r="UBR84" s="1"/>
      <c r="UBS84" s="1"/>
      <c r="UBT84" s="1"/>
      <c r="UBU84" s="1"/>
      <c r="UBV84" s="1"/>
      <c r="UBW84" s="1"/>
      <c r="UBX84" s="1"/>
      <c r="UBY84" s="1"/>
      <c r="UBZ84" s="1"/>
      <c r="UCA84" s="1"/>
      <c r="UCB84" s="1"/>
      <c r="UCC84" s="1"/>
      <c r="UCD84" s="1"/>
      <c r="UCE84" s="1"/>
      <c r="UCF84" s="1"/>
      <c r="UCG84" s="1"/>
      <c r="UCH84" s="1"/>
      <c r="UCI84" s="1"/>
      <c r="UCJ84" s="1"/>
      <c r="UCK84" s="1"/>
      <c r="UCL84" s="1"/>
      <c r="UCM84" s="1"/>
      <c r="UCN84" s="1"/>
      <c r="UCO84" s="1"/>
      <c r="UCP84" s="1"/>
      <c r="UCQ84" s="1"/>
      <c r="UCR84" s="1"/>
      <c r="UCS84" s="1"/>
      <c r="UCT84" s="1"/>
      <c r="UCU84" s="1"/>
      <c r="UCV84" s="1"/>
      <c r="UCW84" s="1"/>
      <c r="UCX84" s="1"/>
      <c r="UCY84" s="1"/>
      <c r="UCZ84" s="1"/>
      <c r="UDA84" s="1"/>
      <c r="UDB84" s="1"/>
      <c r="UDC84" s="1"/>
      <c r="UDD84" s="1"/>
      <c r="UDE84" s="1"/>
      <c r="UDF84" s="1"/>
      <c r="UDG84" s="1"/>
      <c r="UDH84" s="1"/>
      <c r="UDI84" s="1"/>
      <c r="UDJ84" s="1"/>
      <c r="UDK84" s="1"/>
      <c r="UDL84" s="1"/>
      <c r="UDM84" s="1"/>
      <c r="UDN84" s="1"/>
      <c r="UDO84" s="1"/>
      <c r="UDP84" s="1"/>
      <c r="UDQ84" s="1"/>
      <c r="UDR84" s="1"/>
      <c r="UDS84" s="1"/>
      <c r="UDT84" s="1"/>
      <c r="UDU84" s="1"/>
      <c r="UDV84" s="1"/>
      <c r="UDW84" s="1"/>
      <c r="UDX84" s="1"/>
      <c r="UDY84" s="1"/>
      <c r="UDZ84" s="1"/>
      <c r="UEA84" s="1"/>
      <c r="UEB84" s="1"/>
      <c r="UEC84" s="1"/>
      <c r="UED84" s="1"/>
      <c r="UEE84" s="1"/>
      <c r="UEF84" s="1"/>
      <c r="UEG84" s="1"/>
      <c r="UEH84" s="1"/>
      <c r="UEI84" s="1"/>
      <c r="UEJ84" s="1"/>
      <c r="UEK84" s="1"/>
      <c r="UEL84" s="1"/>
      <c r="UEM84" s="1"/>
      <c r="UEN84" s="1"/>
      <c r="UEO84" s="1"/>
      <c r="UEP84" s="1"/>
      <c r="UEQ84" s="1"/>
      <c r="UER84" s="1"/>
      <c r="UES84" s="1"/>
      <c r="UET84" s="1"/>
      <c r="UEU84" s="1"/>
      <c r="UEV84" s="1"/>
      <c r="UEW84" s="1"/>
      <c r="UEX84" s="1"/>
      <c r="UEY84" s="1"/>
      <c r="UEZ84" s="1"/>
      <c r="UFA84" s="1"/>
      <c r="UFB84" s="1"/>
      <c r="UFC84" s="1"/>
      <c r="UFD84" s="1"/>
      <c r="UFE84" s="1"/>
      <c r="UFF84" s="1"/>
      <c r="UFG84" s="1"/>
      <c r="UFH84" s="1"/>
      <c r="UFI84" s="1"/>
      <c r="UFJ84" s="1"/>
      <c r="UFK84" s="1"/>
      <c r="UFL84" s="1"/>
      <c r="UFM84" s="1"/>
      <c r="UFN84" s="1"/>
      <c r="UFO84" s="1"/>
      <c r="UFP84" s="1"/>
      <c r="UFQ84" s="1"/>
      <c r="UFR84" s="1"/>
      <c r="UFS84" s="1"/>
      <c r="UFT84" s="1"/>
      <c r="UFU84" s="1"/>
      <c r="UFV84" s="1"/>
      <c r="UFW84" s="1"/>
      <c r="UFX84" s="1"/>
      <c r="UFY84" s="1"/>
      <c r="UFZ84" s="1"/>
      <c r="UGA84" s="1"/>
      <c r="UGB84" s="1"/>
      <c r="UGC84" s="1"/>
      <c r="UGD84" s="1"/>
      <c r="UGE84" s="1"/>
      <c r="UGF84" s="1"/>
      <c r="UGG84" s="1"/>
      <c r="UGH84" s="1"/>
      <c r="UGI84" s="1"/>
      <c r="UGJ84" s="1"/>
      <c r="UGK84" s="1"/>
      <c r="UGL84" s="1"/>
      <c r="UGM84" s="1"/>
      <c r="UGN84" s="1"/>
      <c r="UGO84" s="1"/>
      <c r="UGP84" s="1"/>
      <c r="UGQ84" s="1"/>
      <c r="UGR84" s="1"/>
      <c r="UGS84" s="1"/>
      <c r="UGT84" s="1"/>
      <c r="UGU84" s="1"/>
      <c r="UGV84" s="1"/>
      <c r="UGW84" s="1"/>
      <c r="UGX84" s="1"/>
      <c r="UGY84" s="1"/>
      <c r="UGZ84" s="1"/>
      <c r="UHA84" s="1"/>
      <c r="UHB84" s="1"/>
      <c r="UHC84" s="1"/>
      <c r="UHD84" s="1"/>
      <c r="UHE84" s="1"/>
      <c r="UHF84" s="1"/>
      <c r="UHG84" s="1"/>
      <c r="UHH84" s="1"/>
      <c r="UHI84" s="1"/>
      <c r="UHJ84" s="1"/>
      <c r="UHK84" s="1"/>
      <c r="UHL84" s="1"/>
      <c r="UHM84" s="1"/>
      <c r="UHN84" s="1"/>
      <c r="UHO84" s="1"/>
      <c r="UHP84" s="1"/>
      <c r="UHQ84" s="1"/>
      <c r="UHR84" s="1"/>
      <c r="UHS84" s="1"/>
      <c r="UHT84" s="1"/>
      <c r="UHU84" s="1"/>
      <c r="UHV84" s="1"/>
      <c r="UHW84" s="1"/>
      <c r="UHX84" s="1"/>
      <c r="UHY84" s="1"/>
      <c r="UHZ84" s="1"/>
      <c r="UIA84" s="1"/>
      <c r="UIB84" s="1"/>
      <c r="UIC84" s="1"/>
      <c r="UID84" s="1"/>
      <c r="UIE84" s="1"/>
      <c r="UIF84" s="1"/>
      <c r="UIG84" s="1"/>
      <c r="UIH84" s="1"/>
      <c r="UII84" s="1"/>
      <c r="UIJ84" s="1"/>
      <c r="UIK84" s="1"/>
      <c r="UIL84" s="1"/>
      <c r="UIM84" s="1"/>
      <c r="UIN84" s="1"/>
      <c r="UIO84" s="1"/>
      <c r="UIP84" s="1"/>
      <c r="UIQ84" s="1"/>
      <c r="UIR84" s="1"/>
      <c r="UIS84" s="1"/>
      <c r="UIT84" s="1"/>
      <c r="UIU84" s="1"/>
      <c r="UIV84" s="1"/>
      <c r="UIW84" s="1"/>
      <c r="UIX84" s="1"/>
      <c r="UIY84" s="1"/>
      <c r="UIZ84" s="1"/>
      <c r="UJA84" s="1"/>
      <c r="UJB84" s="1"/>
      <c r="UJC84" s="1"/>
      <c r="UJD84" s="1"/>
      <c r="UJE84" s="1"/>
      <c r="UJF84" s="1"/>
      <c r="UJG84" s="1"/>
      <c r="UJH84" s="1"/>
      <c r="UJI84" s="1"/>
      <c r="UJJ84" s="1"/>
      <c r="UJK84" s="1"/>
      <c r="UJL84" s="1"/>
      <c r="UJM84" s="1"/>
      <c r="UJN84" s="1"/>
      <c r="UJO84" s="1"/>
      <c r="UJP84" s="1"/>
      <c r="UJQ84" s="1"/>
      <c r="UJR84" s="1"/>
      <c r="UJS84" s="1"/>
      <c r="UJT84" s="1"/>
      <c r="UJU84" s="1"/>
      <c r="UJV84" s="1"/>
      <c r="UJW84" s="1"/>
      <c r="UJX84" s="1"/>
      <c r="UJY84" s="1"/>
      <c r="UJZ84" s="1"/>
      <c r="UKA84" s="1"/>
      <c r="UKB84" s="1"/>
      <c r="UKC84" s="1"/>
      <c r="UKD84" s="1"/>
      <c r="UKE84" s="1"/>
      <c r="UKF84" s="1"/>
      <c r="UKG84" s="1"/>
      <c r="UKH84" s="1"/>
      <c r="UKI84" s="1"/>
      <c r="UKJ84" s="1"/>
      <c r="UKK84" s="1"/>
      <c r="UKL84" s="1"/>
      <c r="UKM84" s="1"/>
      <c r="UKN84" s="1"/>
      <c r="UKO84" s="1"/>
      <c r="UKP84" s="1"/>
      <c r="UKQ84" s="1"/>
      <c r="UKR84" s="1"/>
      <c r="UKS84" s="1"/>
      <c r="UKT84" s="1"/>
      <c r="UKU84" s="1"/>
      <c r="UKV84" s="1"/>
      <c r="UKW84" s="1"/>
      <c r="UKX84" s="1"/>
      <c r="UKY84" s="1"/>
      <c r="UKZ84" s="1"/>
      <c r="ULA84" s="1"/>
      <c r="ULB84" s="1"/>
      <c r="ULC84" s="1"/>
      <c r="ULD84" s="1"/>
      <c r="ULE84" s="1"/>
      <c r="ULF84" s="1"/>
      <c r="ULG84" s="1"/>
      <c r="ULH84" s="1"/>
      <c r="ULI84" s="1"/>
      <c r="ULJ84" s="1"/>
      <c r="ULK84" s="1"/>
      <c r="ULL84" s="1"/>
      <c r="ULM84" s="1"/>
      <c r="ULN84" s="1"/>
      <c r="ULO84" s="1"/>
      <c r="ULP84" s="1"/>
      <c r="ULQ84" s="1"/>
      <c r="ULR84" s="1"/>
      <c r="ULS84" s="1"/>
      <c r="ULT84" s="1"/>
      <c r="ULU84" s="1"/>
      <c r="ULV84" s="1"/>
      <c r="ULW84" s="1"/>
      <c r="ULX84" s="1"/>
      <c r="ULY84" s="1"/>
      <c r="ULZ84" s="1"/>
      <c r="UMA84" s="1"/>
      <c r="UMB84" s="1"/>
      <c r="UMC84" s="1"/>
      <c r="UMD84" s="1"/>
      <c r="UME84" s="1"/>
      <c r="UMF84" s="1"/>
      <c r="UMG84" s="1"/>
      <c r="UMH84" s="1"/>
      <c r="UMI84" s="1"/>
      <c r="UMJ84" s="1"/>
      <c r="UMK84" s="1"/>
      <c r="UML84" s="1"/>
      <c r="UMM84" s="1"/>
      <c r="UMN84" s="1"/>
      <c r="UMO84" s="1"/>
      <c r="UMP84" s="1"/>
      <c r="UMQ84" s="1"/>
      <c r="UMR84" s="1"/>
      <c r="UMS84" s="1"/>
      <c r="UMT84" s="1"/>
      <c r="UMU84" s="1"/>
      <c r="UMV84" s="1"/>
      <c r="UMW84" s="1"/>
      <c r="UMX84" s="1"/>
      <c r="UMY84" s="1"/>
      <c r="UMZ84" s="1"/>
      <c r="UNA84" s="1"/>
      <c r="UNB84" s="1"/>
      <c r="UNC84" s="1"/>
      <c r="UND84" s="1"/>
      <c r="UNE84" s="1"/>
      <c r="UNF84" s="1"/>
      <c r="UNG84" s="1"/>
      <c r="UNH84" s="1"/>
      <c r="UNI84" s="1"/>
      <c r="UNJ84" s="1"/>
      <c r="UNK84" s="1"/>
      <c r="UNL84" s="1"/>
      <c r="UNM84" s="1"/>
      <c r="UNN84" s="1"/>
      <c r="UNO84" s="1"/>
      <c r="UNP84" s="1"/>
      <c r="UNQ84" s="1"/>
      <c r="UNR84" s="1"/>
      <c r="UNS84" s="1"/>
      <c r="UNT84" s="1"/>
      <c r="UNU84" s="1"/>
      <c r="UNV84" s="1"/>
      <c r="UNW84" s="1"/>
      <c r="UNX84" s="1"/>
      <c r="UNY84" s="1"/>
      <c r="UNZ84" s="1"/>
      <c r="UOA84" s="1"/>
      <c r="UOB84" s="1"/>
      <c r="UOC84" s="1"/>
      <c r="UOD84" s="1"/>
      <c r="UOE84" s="1"/>
      <c r="UOF84" s="1"/>
      <c r="UOG84" s="1"/>
      <c r="UOH84" s="1"/>
      <c r="UOI84" s="1"/>
      <c r="UOJ84" s="1"/>
      <c r="UOK84" s="1"/>
      <c r="UOL84" s="1"/>
      <c r="UOM84" s="1"/>
      <c r="UON84" s="1"/>
      <c r="UOO84" s="1"/>
      <c r="UOP84" s="1"/>
      <c r="UOQ84" s="1"/>
      <c r="UOR84" s="1"/>
      <c r="UOS84" s="1"/>
      <c r="UOT84" s="1"/>
      <c r="UOU84" s="1"/>
      <c r="UOV84" s="1"/>
      <c r="UOW84" s="1"/>
      <c r="UOX84" s="1"/>
      <c r="UOY84" s="1"/>
      <c r="UOZ84" s="1"/>
      <c r="UPA84" s="1"/>
      <c r="UPB84" s="1"/>
      <c r="UPC84" s="1"/>
      <c r="UPD84" s="1"/>
      <c r="UPE84" s="1"/>
      <c r="UPF84" s="1"/>
      <c r="UPG84" s="1"/>
      <c r="UPH84" s="1"/>
      <c r="UPI84" s="1"/>
      <c r="UPJ84" s="1"/>
      <c r="UPK84" s="1"/>
      <c r="UPL84" s="1"/>
      <c r="UPM84" s="1"/>
      <c r="UPN84" s="1"/>
      <c r="UPO84" s="1"/>
      <c r="UPP84" s="1"/>
      <c r="UPQ84" s="1"/>
      <c r="UPR84" s="1"/>
      <c r="UPS84" s="1"/>
      <c r="UPT84" s="1"/>
      <c r="UPU84" s="1"/>
      <c r="UPV84" s="1"/>
      <c r="UPW84" s="1"/>
      <c r="UPX84" s="1"/>
      <c r="UPY84" s="1"/>
      <c r="UPZ84" s="1"/>
      <c r="UQA84" s="1"/>
      <c r="UQB84" s="1"/>
      <c r="UQC84" s="1"/>
      <c r="UQD84" s="1"/>
      <c r="UQE84" s="1"/>
      <c r="UQF84" s="1"/>
      <c r="UQG84" s="1"/>
      <c r="UQH84" s="1"/>
      <c r="UQI84" s="1"/>
      <c r="UQJ84" s="1"/>
      <c r="UQK84" s="1"/>
      <c r="UQL84" s="1"/>
      <c r="UQM84" s="1"/>
      <c r="UQN84" s="1"/>
      <c r="UQO84" s="1"/>
      <c r="UQP84" s="1"/>
      <c r="UQQ84" s="1"/>
      <c r="UQR84" s="1"/>
      <c r="UQS84" s="1"/>
      <c r="UQT84" s="1"/>
      <c r="UQU84" s="1"/>
      <c r="UQV84" s="1"/>
      <c r="UQW84" s="1"/>
      <c r="UQX84" s="1"/>
      <c r="UQY84" s="1"/>
      <c r="UQZ84" s="1"/>
      <c r="URA84" s="1"/>
      <c r="URB84" s="1"/>
      <c r="URC84" s="1"/>
      <c r="URD84" s="1"/>
      <c r="URE84" s="1"/>
      <c r="URF84" s="1"/>
      <c r="URG84" s="1"/>
      <c r="URH84" s="1"/>
      <c r="URI84" s="1"/>
      <c r="URJ84" s="1"/>
      <c r="URK84" s="1"/>
      <c r="URL84" s="1"/>
      <c r="URM84" s="1"/>
      <c r="URN84" s="1"/>
      <c r="URO84" s="1"/>
      <c r="URP84" s="1"/>
      <c r="URQ84" s="1"/>
      <c r="URR84" s="1"/>
      <c r="URS84" s="1"/>
      <c r="URT84" s="1"/>
      <c r="URU84" s="1"/>
      <c r="URV84" s="1"/>
      <c r="URW84" s="1"/>
      <c r="URX84" s="1"/>
      <c r="URY84" s="1"/>
      <c r="URZ84" s="1"/>
      <c r="USA84" s="1"/>
      <c r="USB84" s="1"/>
      <c r="USC84" s="1"/>
      <c r="USD84" s="1"/>
      <c r="USE84" s="1"/>
      <c r="USF84" s="1"/>
      <c r="USG84" s="1"/>
      <c r="USH84" s="1"/>
      <c r="USI84" s="1"/>
      <c r="USJ84" s="1"/>
      <c r="USK84" s="1"/>
      <c r="USL84" s="1"/>
      <c r="USM84" s="1"/>
      <c r="USN84" s="1"/>
      <c r="USO84" s="1"/>
      <c r="USP84" s="1"/>
      <c r="USQ84" s="1"/>
      <c r="USR84" s="1"/>
      <c r="USS84" s="1"/>
      <c r="UST84" s="1"/>
      <c r="USU84" s="1"/>
      <c r="USV84" s="1"/>
      <c r="USW84" s="1"/>
      <c r="USX84" s="1"/>
      <c r="USY84" s="1"/>
      <c r="USZ84" s="1"/>
      <c r="UTA84" s="1"/>
      <c r="UTB84" s="1"/>
      <c r="UTC84" s="1"/>
      <c r="UTD84" s="1"/>
      <c r="UTE84" s="1"/>
      <c r="UTF84" s="1"/>
      <c r="UTG84" s="1"/>
      <c r="UTH84" s="1"/>
      <c r="UTI84" s="1"/>
      <c r="UTJ84" s="1"/>
      <c r="UTK84" s="1"/>
      <c r="UTL84" s="1"/>
      <c r="UTM84" s="1"/>
      <c r="UTN84" s="1"/>
      <c r="UTO84" s="1"/>
      <c r="UTP84" s="1"/>
      <c r="UTQ84" s="1"/>
      <c r="UTR84" s="1"/>
      <c r="UTS84" s="1"/>
      <c r="UTT84" s="1"/>
      <c r="UTU84" s="1"/>
      <c r="UTV84" s="1"/>
      <c r="UTW84" s="1"/>
      <c r="UTX84" s="1"/>
      <c r="UTY84" s="1"/>
      <c r="UTZ84" s="1"/>
      <c r="UUA84" s="1"/>
      <c r="UUB84" s="1"/>
      <c r="UUC84" s="1"/>
      <c r="UUD84" s="1"/>
      <c r="UUE84" s="1"/>
      <c r="UUF84" s="1"/>
      <c r="UUG84" s="1"/>
      <c r="UUH84" s="1"/>
      <c r="UUI84" s="1"/>
      <c r="UUJ84" s="1"/>
      <c r="UUK84" s="1"/>
      <c r="UUL84" s="1"/>
      <c r="UUM84" s="1"/>
      <c r="UUN84" s="1"/>
      <c r="UUO84" s="1"/>
      <c r="UUP84" s="1"/>
      <c r="UUQ84" s="1"/>
      <c r="UUR84" s="1"/>
      <c r="UUS84" s="1"/>
      <c r="UUT84" s="1"/>
      <c r="UUU84" s="1"/>
      <c r="UUV84" s="1"/>
      <c r="UUW84" s="1"/>
      <c r="UUX84" s="1"/>
      <c r="UUY84" s="1"/>
      <c r="UUZ84" s="1"/>
      <c r="UVA84" s="1"/>
      <c r="UVB84" s="1"/>
      <c r="UVC84" s="1"/>
      <c r="UVD84" s="1"/>
      <c r="UVE84" s="1"/>
      <c r="UVF84" s="1"/>
      <c r="UVG84" s="1"/>
      <c r="UVH84" s="1"/>
      <c r="UVI84" s="1"/>
      <c r="UVJ84" s="1"/>
      <c r="UVK84" s="1"/>
      <c r="UVL84" s="1"/>
      <c r="UVM84" s="1"/>
      <c r="UVN84" s="1"/>
      <c r="UVO84" s="1"/>
      <c r="UVP84" s="1"/>
      <c r="UVQ84" s="1"/>
      <c r="UVR84" s="1"/>
      <c r="UVS84" s="1"/>
      <c r="UVT84" s="1"/>
      <c r="UVU84" s="1"/>
      <c r="UVV84" s="1"/>
      <c r="UVW84" s="1"/>
      <c r="UVX84" s="1"/>
      <c r="UVY84" s="1"/>
      <c r="UVZ84" s="1"/>
      <c r="UWA84" s="1"/>
      <c r="UWB84" s="1"/>
      <c r="UWC84" s="1"/>
      <c r="UWD84" s="1"/>
      <c r="UWE84" s="1"/>
      <c r="UWF84" s="1"/>
      <c r="UWG84" s="1"/>
      <c r="UWH84" s="1"/>
      <c r="UWI84" s="1"/>
      <c r="UWJ84" s="1"/>
      <c r="UWK84" s="1"/>
      <c r="UWL84" s="1"/>
      <c r="UWM84" s="1"/>
      <c r="UWN84" s="1"/>
      <c r="UWO84" s="1"/>
      <c r="UWP84" s="1"/>
      <c r="UWQ84" s="1"/>
      <c r="UWR84" s="1"/>
      <c r="UWS84" s="1"/>
      <c r="UWT84" s="1"/>
      <c r="UWU84" s="1"/>
      <c r="UWV84" s="1"/>
      <c r="UWW84" s="1"/>
      <c r="UWX84" s="1"/>
      <c r="UWY84" s="1"/>
      <c r="UWZ84" s="1"/>
      <c r="UXA84" s="1"/>
      <c r="UXB84" s="1"/>
      <c r="UXC84" s="1"/>
      <c r="UXD84" s="1"/>
      <c r="UXE84" s="1"/>
      <c r="UXF84" s="1"/>
      <c r="UXG84" s="1"/>
      <c r="UXH84" s="1"/>
      <c r="UXI84" s="1"/>
      <c r="UXJ84" s="1"/>
      <c r="UXK84" s="1"/>
      <c r="UXL84" s="1"/>
      <c r="UXM84" s="1"/>
      <c r="UXN84" s="1"/>
      <c r="UXO84" s="1"/>
      <c r="UXP84" s="1"/>
      <c r="UXQ84" s="1"/>
      <c r="UXR84" s="1"/>
      <c r="UXS84" s="1"/>
      <c r="UXT84" s="1"/>
      <c r="UXU84" s="1"/>
      <c r="UXV84" s="1"/>
      <c r="UXW84" s="1"/>
      <c r="UXX84" s="1"/>
      <c r="UXY84" s="1"/>
      <c r="UXZ84" s="1"/>
      <c r="UYA84" s="1"/>
      <c r="UYB84" s="1"/>
      <c r="UYC84" s="1"/>
      <c r="UYD84" s="1"/>
      <c r="UYE84" s="1"/>
      <c r="UYF84" s="1"/>
      <c r="UYG84" s="1"/>
      <c r="UYH84" s="1"/>
      <c r="UYI84" s="1"/>
      <c r="UYJ84" s="1"/>
      <c r="UYK84" s="1"/>
      <c r="UYL84" s="1"/>
      <c r="UYM84" s="1"/>
      <c r="UYN84" s="1"/>
      <c r="UYO84" s="1"/>
      <c r="UYP84" s="1"/>
      <c r="UYQ84" s="1"/>
      <c r="UYR84" s="1"/>
      <c r="UYS84" s="1"/>
      <c r="UYT84" s="1"/>
      <c r="UYU84" s="1"/>
      <c r="UYV84" s="1"/>
      <c r="UYW84" s="1"/>
      <c r="UYX84" s="1"/>
      <c r="UYY84" s="1"/>
      <c r="UYZ84" s="1"/>
      <c r="UZA84" s="1"/>
      <c r="UZB84" s="1"/>
      <c r="UZC84" s="1"/>
      <c r="UZD84" s="1"/>
      <c r="UZE84" s="1"/>
      <c r="UZF84" s="1"/>
      <c r="UZG84" s="1"/>
      <c r="UZH84" s="1"/>
      <c r="UZI84" s="1"/>
      <c r="UZJ84" s="1"/>
      <c r="UZK84" s="1"/>
      <c r="UZL84" s="1"/>
      <c r="UZM84" s="1"/>
      <c r="UZN84" s="1"/>
      <c r="UZO84" s="1"/>
      <c r="UZP84" s="1"/>
      <c r="UZQ84" s="1"/>
      <c r="UZR84" s="1"/>
      <c r="UZS84" s="1"/>
      <c r="UZT84" s="1"/>
      <c r="UZU84" s="1"/>
      <c r="UZV84" s="1"/>
      <c r="UZW84" s="1"/>
      <c r="UZX84" s="1"/>
      <c r="UZY84" s="1"/>
      <c r="UZZ84" s="1"/>
      <c r="VAA84" s="1"/>
      <c r="VAB84" s="1"/>
      <c r="VAC84" s="1"/>
      <c r="VAD84" s="1"/>
      <c r="VAE84" s="1"/>
      <c r="VAF84" s="1"/>
      <c r="VAG84" s="1"/>
      <c r="VAH84" s="1"/>
      <c r="VAI84" s="1"/>
      <c r="VAJ84" s="1"/>
      <c r="VAK84" s="1"/>
      <c r="VAL84" s="1"/>
      <c r="VAM84" s="1"/>
      <c r="VAN84" s="1"/>
      <c r="VAO84" s="1"/>
      <c r="VAP84" s="1"/>
      <c r="VAQ84" s="1"/>
      <c r="VAR84" s="1"/>
      <c r="VAS84" s="1"/>
      <c r="VAT84" s="1"/>
      <c r="VAU84" s="1"/>
      <c r="VAV84" s="1"/>
      <c r="VAW84" s="1"/>
      <c r="VAX84" s="1"/>
      <c r="VAY84" s="1"/>
      <c r="VAZ84" s="1"/>
      <c r="VBA84" s="1"/>
      <c r="VBB84" s="1"/>
      <c r="VBC84" s="1"/>
      <c r="VBD84" s="1"/>
      <c r="VBE84" s="1"/>
      <c r="VBF84" s="1"/>
      <c r="VBG84" s="1"/>
      <c r="VBH84" s="1"/>
      <c r="VBI84" s="1"/>
      <c r="VBJ84" s="1"/>
      <c r="VBK84" s="1"/>
      <c r="VBL84" s="1"/>
      <c r="VBM84" s="1"/>
      <c r="VBN84" s="1"/>
      <c r="VBO84" s="1"/>
      <c r="VBP84" s="1"/>
      <c r="VBQ84" s="1"/>
      <c r="VBR84" s="1"/>
      <c r="VBS84" s="1"/>
      <c r="VBT84" s="1"/>
      <c r="VBU84" s="1"/>
      <c r="VBV84" s="1"/>
      <c r="VBW84" s="1"/>
      <c r="VBX84" s="1"/>
      <c r="VBY84" s="1"/>
      <c r="VBZ84" s="1"/>
      <c r="VCA84" s="1"/>
      <c r="VCB84" s="1"/>
      <c r="VCC84" s="1"/>
      <c r="VCD84" s="1"/>
      <c r="VCE84" s="1"/>
      <c r="VCF84" s="1"/>
      <c r="VCG84" s="1"/>
      <c r="VCH84" s="1"/>
      <c r="VCI84" s="1"/>
      <c r="VCJ84" s="1"/>
      <c r="VCK84" s="1"/>
      <c r="VCL84" s="1"/>
      <c r="VCM84" s="1"/>
      <c r="VCN84" s="1"/>
      <c r="VCO84" s="1"/>
      <c r="VCP84" s="1"/>
      <c r="VCQ84" s="1"/>
      <c r="VCR84" s="1"/>
      <c r="VCS84" s="1"/>
      <c r="VCT84" s="1"/>
      <c r="VCU84" s="1"/>
      <c r="VCV84" s="1"/>
      <c r="VCW84" s="1"/>
      <c r="VCX84" s="1"/>
      <c r="VCY84" s="1"/>
      <c r="VCZ84" s="1"/>
      <c r="VDA84" s="1"/>
      <c r="VDB84" s="1"/>
      <c r="VDC84" s="1"/>
      <c r="VDD84" s="1"/>
      <c r="VDE84" s="1"/>
      <c r="VDF84" s="1"/>
      <c r="VDG84" s="1"/>
      <c r="VDH84" s="1"/>
      <c r="VDI84" s="1"/>
      <c r="VDJ84" s="1"/>
      <c r="VDK84" s="1"/>
      <c r="VDL84" s="1"/>
      <c r="VDM84" s="1"/>
      <c r="VDN84" s="1"/>
      <c r="VDO84" s="1"/>
      <c r="VDP84" s="1"/>
      <c r="VDQ84" s="1"/>
      <c r="VDR84" s="1"/>
      <c r="VDS84" s="1"/>
      <c r="VDT84" s="1"/>
      <c r="VDU84" s="1"/>
      <c r="VDV84" s="1"/>
      <c r="VDW84" s="1"/>
      <c r="VDX84" s="1"/>
      <c r="VDY84" s="1"/>
      <c r="VDZ84" s="1"/>
      <c r="VEA84" s="1"/>
      <c r="VEB84" s="1"/>
      <c r="VEC84" s="1"/>
      <c r="VED84" s="1"/>
      <c r="VEE84" s="1"/>
      <c r="VEF84" s="1"/>
      <c r="VEG84" s="1"/>
      <c r="VEH84" s="1"/>
      <c r="VEI84" s="1"/>
      <c r="VEJ84" s="1"/>
      <c r="VEK84" s="1"/>
      <c r="VEL84" s="1"/>
      <c r="VEM84" s="1"/>
      <c r="VEN84" s="1"/>
      <c r="VEO84" s="1"/>
      <c r="VEP84" s="1"/>
      <c r="VEQ84" s="1"/>
      <c r="VER84" s="1"/>
      <c r="VES84" s="1"/>
      <c r="VET84" s="1"/>
      <c r="VEU84" s="1"/>
      <c r="VEV84" s="1"/>
      <c r="VEW84" s="1"/>
      <c r="VEX84" s="1"/>
      <c r="VEY84" s="1"/>
      <c r="VEZ84" s="1"/>
      <c r="VFA84" s="1"/>
      <c r="VFB84" s="1"/>
      <c r="VFC84" s="1"/>
      <c r="VFD84" s="1"/>
      <c r="VFE84" s="1"/>
      <c r="VFF84" s="1"/>
      <c r="VFG84" s="1"/>
      <c r="VFH84" s="1"/>
      <c r="VFI84" s="1"/>
      <c r="VFJ84" s="1"/>
      <c r="VFK84" s="1"/>
      <c r="VFL84" s="1"/>
      <c r="VFM84" s="1"/>
      <c r="VFN84" s="1"/>
      <c r="VFO84" s="1"/>
      <c r="VFP84" s="1"/>
      <c r="VFQ84" s="1"/>
      <c r="VFR84" s="1"/>
      <c r="VFS84" s="1"/>
      <c r="VFT84" s="1"/>
      <c r="VFU84" s="1"/>
      <c r="VFV84" s="1"/>
      <c r="VFW84" s="1"/>
      <c r="VFX84" s="1"/>
      <c r="VFY84" s="1"/>
      <c r="VFZ84" s="1"/>
      <c r="VGA84" s="1"/>
      <c r="VGB84" s="1"/>
      <c r="VGC84" s="1"/>
      <c r="VGD84" s="1"/>
      <c r="VGE84" s="1"/>
      <c r="VGF84" s="1"/>
      <c r="VGG84" s="1"/>
      <c r="VGH84" s="1"/>
      <c r="VGI84" s="1"/>
      <c r="VGJ84" s="1"/>
      <c r="VGK84" s="1"/>
      <c r="VGL84" s="1"/>
      <c r="VGM84" s="1"/>
      <c r="VGN84" s="1"/>
      <c r="VGO84" s="1"/>
      <c r="VGP84" s="1"/>
      <c r="VGQ84" s="1"/>
      <c r="VGR84" s="1"/>
      <c r="VGS84" s="1"/>
      <c r="VGT84" s="1"/>
      <c r="VGU84" s="1"/>
      <c r="VGV84" s="1"/>
      <c r="VGW84" s="1"/>
      <c r="VGX84" s="1"/>
      <c r="VGY84" s="1"/>
      <c r="VGZ84" s="1"/>
      <c r="VHA84" s="1"/>
      <c r="VHB84" s="1"/>
      <c r="VHC84" s="1"/>
      <c r="VHD84" s="1"/>
      <c r="VHE84" s="1"/>
      <c r="VHF84" s="1"/>
      <c r="VHG84" s="1"/>
      <c r="VHH84" s="1"/>
      <c r="VHI84" s="1"/>
      <c r="VHJ84" s="1"/>
      <c r="VHK84" s="1"/>
      <c r="VHL84" s="1"/>
      <c r="VHM84" s="1"/>
      <c r="VHN84" s="1"/>
      <c r="VHO84" s="1"/>
      <c r="VHP84" s="1"/>
      <c r="VHQ84" s="1"/>
      <c r="VHR84" s="1"/>
      <c r="VHS84" s="1"/>
      <c r="VHT84" s="1"/>
      <c r="VHU84" s="1"/>
      <c r="VHV84" s="1"/>
      <c r="VHW84" s="1"/>
      <c r="VHX84" s="1"/>
      <c r="VHY84" s="1"/>
      <c r="VHZ84" s="1"/>
      <c r="VIA84" s="1"/>
      <c r="VIB84" s="1"/>
      <c r="VIC84" s="1"/>
      <c r="VID84" s="1"/>
      <c r="VIE84" s="1"/>
      <c r="VIF84" s="1"/>
      <c r="VIG84" s="1"/>
      <c r="VIH84" s="1"/>
      <c r="VII84" s="1"/>
      <c r="VIJ84" s="1"/>
      <c r="VIK84" s="1"/>
      <c r="VIL84" s="1"/>
      <c r="VIM84" s="1"/>
      <c r="VIN84" s="1"/>
      <c r="VIO84" s="1"/>
      <c r="VIP84" s="1"/>
      <c r="VIQ84" s="1"/>
      <c r="VIR84" s="1"/>
      <c r="VIS84" s="1"/>
      <c r="VIT84" s="1"/>
      <c r="VIU84" s="1"/>
      <c r="VIV84" s="1"/>
      <c r="VIW84" s="1"/>
      <c r="VIX84" s="1"/>
      <c r="VIY84" s="1"/>
      <c r="VIZ84" s="1"/>
      <c r="VJA84" s="1"/>
      <c r="VJB84" s="1"/>
      <c r="VJC84" s="1"/>
      <c r="VJD84" s="1"/>
      <c r="VJE84" s="1"/>
      <c r="VJF84" s="1"/>
      <c r="VJG84" s="1"/>
      <c r="VJH84" s="1"/>
      <c r="VJI84" s="1"/>
      <c r="VJJ84" s="1"/>
      <c r="VJK84" s="1"/>
      <c r="VJL84" s="1"/>
      <c r="VJM84" s="1"/>
      <c r="VJN84" s="1"/>
      <c r="VJO84" s="1"/>
      <c r="VJP84" s="1"/>
      <c r="VJQ84" s="1"/>
      <c r="VJR84" s="1"/>
      <c r="VJS84" s="1"/>
      <c r="VJT84" s="1"/>
      <c r="VJU84" s="1"/>
      <c r="VJV84" s="1"/>
      <c r="VJW84" s="1"/>
      <c r="VJX84" s="1"/>
      <c r="VJY84" s="1"/>
      <c r="VJZ84" s="1"/>
      <c r="VKA84" s="1"/>
      <c r="VKB84" s="1"/>
      <c r="VKC84" s="1"/>
      <c r="VKD84" s="1"/>
      <c r="VKE84" s="1"/>
      <c r="VKF84" s="1"/>
      <c r="VKG84" s="1"/>
      <c r="VKH84" s="1"/>
      <c r="VKI84" s="1"/>
      <c r="VKJ84" s="1"/>
      <c r="VKK84" s="1"/>
      <c r="VKL84" s="1"/>
      <c r="VKM84" s="1"/>
      <c r="VKN84" s="1"/>
      <c r="VKO84" s="1"/>
      <c r="VKP84" s="1"/>
      <c r="VKQ84" s="1"/>
      <c r="VKR84" s="1"/>
      <c r="VKS84" s="1"/>
      <c r="VKT84" s="1"/>
      <c r="VKU84" s="1"/>
      <c r="VKV84" s="1"/>
      <c r="VKW84" s="1"/>
      <c r="VKX84" s="1"/>
      <c r="VKY84" s="1"/>
      <c r="VKZ84" s="1"/>
      <c r="VLA84" s="1"/>
      <c r="VLB84" s="1"/>
      <c r="VLC84" s="1"/>
      <c r="VLD84" s="1"/>
      <c r="VLE84" s="1"/>
      <c r="VLF84" s="1"/>
      <c r="VLG84" s="1"/>
      <c r="VLH84" s="1"/>
      <c r="VLI84" s="1"/>
      <c r="VLJ84" s="1"/>
      <c r="VLK84" s="1"/>
      <c r="VLL84" s="1"/>
      <c r="VLM84" s="1"/>
      <c r="VLN84" s="1"/>
      <c r="VLO84" s="1"/>
      <c r="VLP84" s="1"/>
      <c r="VLQ84" s="1"/>
      <c r="VLR84" s="1"/>
      <c r="VLS84" s="1"/>
      <c r="VLT84" s="1"/>
      <c r="VLU84" s="1"/>
      <c r="VLV84" s="1"/>
      <c r="VLW84" s="1"/>
      <c r="VLX84" s="1"/>
      <c r="VLY84" s="1"/>
      <c r="VLZ84" s="1"/>
      <c r="VMA84" s="1"/>
      <c r="VMB84" s="1"/>
      <c r="VMC84" s="1"/>
      <c r="VMD84" s="1"/>
      <c r="VME84" s="1"/>
      <c r="VMF84" s="1"/>
      <c r="VMG84" s="1"/>
      <c r="VMH84" s="1"/>
      <c r="VMI84" s="1"/>
      <c r="VMJ84" s="1"/>
      <c r="VMK84" s="1"/>
      <c r="VML84" s="1"/>
      <c r="VMM84" s="1"/>
      <c r="VMN84" s="1"/>
      <c r="VMO84" s="1"/>
      <c r="VMP84" s="1"/>
      <c r="VMQ84" s="1"/>
      <c r="VMR84" s="1"/>
      <c r="VMS84" s="1"/>
      <c r="VMT84" s="1"/>
      <c r="VMU84" s="1"/>
      <c r="VMV84" s="1"/>
      <c r="VMW84" s="1"/>
      <c r="VMX84" s="1"/>
      <c r="VMY84" s="1"/>
      <c r="VMZ84" s="1"/>
      <c r="VNA84" s="1"/>
      <c r="VNB84" s="1"/>
      <c r="VNC84" s="1"/>
      <c r="VND84" s="1"/>
      <c r="VNE84" s="1"/>
      <c r="VNF84" s="1"/>
      <c r="VNG84" s="1"/>
      <c r="VNH84" s="1"/>
      <c r="VNI84" s="1"/>
      <c r="VNJ84" s="1"/>
      <c r="VNK84" s="1"/>
      <c r="VNL84" s="1"/>
      <c r="VNM84" s="1"/>
      <c r="VNN84" s="1"/>
      <c r="VNO84" s="1"/>
      <c r="VNP84" s="1"/>
      <c r="VNQ84" s="1"/>
      <c r="VNR84" s="1"/>
      <c r="VNS84" s="1"/>
      <c r="VNT84" s="1"/>
      <c r="VNU84" s="1"/>
      <c r="VNV84" s="1"/>
      <c r="VNW84" s="1"/>
      <c r="VNX84" s="1"/>
      <c r="VNY84" s="1"/>
      <c r="VNZ84" s="1"/>
      <c r="VOA84" s="1"/>
      <c r="VOB84" s="1"/>
      <c r="VOC84" s="1"/>
      <c r="VOD84" s="1"/>
      <c r="VOE84" s="1"/>
      <c r="VOF84" s="1"/>
      <c r="VOG84" s="1"/>
      <c r="VOH84" s="1"/>
      <c r="VOI84" s="1"/>
      <c r="VOJ84" s="1"/>
      <c r="VOK84" s="1"/>
      <c r="VOL84" s="1"/>
      <c r="VOM84" s="1"/>
      <c r="VON84" s="1"/>
      <c r="VOO84" s="1"/>
      <c r="VOP84" s="1"/>
      <c r="VOQ84" s="1"/>
      <c r="VOR84" s="1"/>
      <c r="VOS84" s="1"/>
      <c r="VOT84" s="1"/>
      <c r="VOU84" s="1"/>
      <c r="VOV84" s="1"/>
      <c r="VOW84" s="1"/>
      <c r="VOX84" s="1"/>
      <c r="VOY84" s="1"/>
      <c r="VOZ84" s="1"/>
      <c r="VPA84" s="1"/>
      <c r="VPB84" s="1"/>
      <c r="VPC84" s="1"/>
      <c r="VPD84" s="1"/>
      <c r="VPE84" s="1"/>
      <c r="VPF84" s="1"/>
      <c r="VPG84" s="1"/>
      <c r="VPH84" s="1"/>
      <c r="VPI84" s="1"/>
      <c r="VPJ84" s="1"/>
      <c r="VPK84" s="1"/>
      <c r="VPL84" s="1"/>
      <c r="VPM84" s="1"/>
      <c r="VPN84" s="1"/>
      <c r="VPO84" s="1"/>
      <c r="VPP84" s="1"/>
      <c r="VPQ84" s="1"/>
      <c r="VPR84" s="1"/>
      <c r="VPS84" s="1"/>
      <c r="VPT84" s="1"/>
      <c r="VPU84" s="1"/>
      <c r="VPV84" s="1"/>
      <c r="VPW84" s="1"/>
      <c r="VPX84" s="1"/>
      <c r="VPY84" s="1"/>
      <c r="VPZ84" s="1"/>
      <c r="VQA84" s="1"/>
      <c r="VQB84" s="1"/>
      <c r="VQC84" s="1"/>
      <c r="VQD84" s="1"/>
      <c r="VQE84" s="1"/>
      <c r="VQF84" s="1"/>
      <c r="VQG84" s="1"/>
      <c r="VQH84" s="1"/>
      <c r="VQI84" s="1"/>
      <c r="VQJ84" s="1"/>
      <c r="VQK84" s="1"/>
      <c r="VQL84" s="1"/>
      <c r="VQM84" s="1"/>
      <c r="VQN84" s="1"/>
      <c r="VQO84" s="1"/>
      <c r="VQP84" s="1"/>
      <c r="VQQ84" s="1"/>
      <c r="VQR84" s="1"/>
      <c r="VQS84" s="1"/>
      <c r="VQT84" s="1"/>
      <c r="VQU84" s="1"/>
      <c r="VQV84" s="1"/>
      <c r="VQW84" s="1"/>
      <c r="VQX84" s="1"/>
      <c r="VQY84" s="1"/>
      <c r="VQZ84" s="1"/>
      <c r="VRA84" s="1"/>
      <c r="VRB84" s="1"/>
      <c r="VRC84" s="1"/>
      <c r="VRD84" s="1"/>
      <c r="VRE84" s="1"/>
      <c r="VRF84" s="1"/>
      <c r="VRG84" s="1"/>
      <c r="VRH84" s="1"/>
      <c r="VRI84" s="1"/>
      <c r="VRJ84" s="1"/>
      <c r="VRK84" s="1"/>
      <c r="VRL84" s="1"/>
      <c r="VRM84" s="1"/>
      <c r="VRN84" s="1"/>
      <c r="VRO84" s="1"/>
      <c r="VRP84" s="1"/>
      <c r="VRQ84" s="1"/>
      <c r="VRR84" s="1"/>
      <c r="VRS84" s="1"/>
      <c r="VRT84" s="1"/>
      <c r="VRU84" s="1"/>
      <c r="VRV84" s="1"/>
      <c r="VRW84" s="1"/>
      <c r="VRX84" s="1"/>
      <c r="VRY84" s="1"/>
      <c r="VRZ84" s="1"/>
      <c r="VSA84" s="1"/>
      <c r="VSB84" s="1"/>
      <c r="VSC84" s="1"/>
      <c r="VSD84" s="1"/>
      <c r="VSE84" s="1"/>
      <c r="VSF84" s="1"/>
      <c r="VSG84" s="1"/>
      <c r="VSH84" s="1"/>
      <c r="VSI84" s="1"/>
      <c r="VSJ84" s="1"/>
      <c r="VSK84" s="1"/>
      <c r="VSL84" s="1"/>
      <c r="VSM84" s="1"/>
      <c r="VSN84" s="1"/>
      <c r="VSO84" s="1"/>
      <c r="VSP84" s="1"/>
      <c r="VSQ84" s="1"/>
      <c r="VSR84" s="1"/>
      <c r="VSS84" s="1"/>
      <c r="VST84" s="1"/>
      <c r="VSU84" s="1"/>
      <c r="VSV84" s="1"/>
      <c r="VSW84" s="1"/>
      <c r="VSX84" s="1"/>
      <c r="VSY84" s="1"/>
      <c r="VSZ84" s="1"/>
      <c r="VTA84" s="1"/>
      <c r="VTB84" s="1"/>
      <c r="VTC84" s="1"/>
      <c r="VTD84" s="1"/>
      <c r="VTE84" s="1"/>
      <c r="VTF84" s="1"/>
      <c r="VTG84" s="1"/>
      <c r="VTH84" s="1"/>
      <c r="VTI84" s="1"/>
      <c r="VTJ84" s="1"/>
      <c r="VTK84" s="1"/>
      <c r="VTL84" s="1"/>
      <c r="VTM84" s="1"/>
      <c r="VTN84" s="1"/>
      <c r="VTO84" s="1"/>
      <c r="VTP84" s="1"/>
      <c r="VTQ84" s="1"/>
      <c r="VTR84" s="1"/>
      <c r="VTS84" s="1"/>
      <c r="VTT84" s="1"/>
      <c r="VTU84" s="1"/>
      <c r="VTV84" s="1"/>
      <c r="VTW84" s="1"/>
      <c r="VTX84" s="1"/>
      <c r="VTY84" s="1"/>
      <c r="VTZ84" s="1"/>
      <c r="VUA84" s="1"/>
      <c r="VUB84" s="1"/>
      <c r="VUC84" s="1"/>
      <c r="VUD84" s="1"/>
      <c r="VUE84" s="1"/>
      <c r="VUF84" s="1"/>
      <c r="VUG84" s="1"/>
      <c r="VUH84" s="1"/>
      <c r="VUI84" s="1"/>
      <c r="VUJ84" s="1"/>
      <c r="VUK84" s="1"/>
      <c r="VUL84" s="1"/>
      <c r="VUM84" s="1"/>
      <c r="VUN84" s="1"/>
      <c r="VUO84" s="1"/>
      <c r="VUP84" s="1"/>
      <c r="VUQ84" s="1"/>
      <c r="VUR84" s="1"/>
      <c r="VUS84" s="1"/>
      <c r="VUT84" s="1"/>
      <c r="VUU84" s="1"/>
      <c r="VUV84" s="1"/>
      <c r="VUW84" s="1"/>
      <c r="VUX84" s="1"/>
      <c r="VUY84" s="1"/>
      <c r="VUZ84" s="1"/>
      <c r="VVA84" s="1"/>
      <c r="VVB84" s="1"/>
      <c r="VVC84" s="1"/>
      <c r="VVD84" s="1"/>
      <c r="VVE84" s="1"/>
      <c r="VVF84" s="1"/>
      <c r="VVG84" s="1"/>
      <c r="VVH84" s="1"/>
      <c r="VVI84" s="1"/>
      <c r="VVJ84" s="1"/>
      <c r="VVK84" s="1"/>
      <c r="VVL84" s="1"/>
      <c r="VVM84" s="1"/>
      <c r="VVN84" s="1"/>
      <c r="VVO84" s="1"/>
      <c r="VVP84" s="1"/>
      <c r="VVQ84" s="1"/>
      <c r="VVR84" s="1"/>
      <c r="VVS84" s="1"/>
      <c r="VVT84" s="1"/>
      <c r="VVU84" s="1"/>
      <c r="VVV84" s="1"/>
      <c r="VVW84" s="1"/>
      <c r="VVX84" s="1"/>
      <c r="VVY84" s="1"/>
      <c r="VVZ84" s="1"/>
      <c r="VWA84" s="1"/>
      <c r="VWB84" s="1"/>
      <c r="VWC84" s="1"/>
      <c r="VWD84" s="1"/>
      <c r="VWE84" s="1"/>
      <c r="VWF84" s="1"/>
      <c r="VWG84" s="1"/>
      <c r="VWH84" s="1"/>
      <c r="VWI84" s="1"/>
      <c r="VWJ84" s="1"/>
      <c r="VWK84" s="1"/>
      <c r="VWL84" s="1"/>
      <c r="VWM84" s="1"/>
      <c r="VWN84" s="1"/>
      <c r="VWO84" s="1"/>
      <c r="VWP84" s="1"/>
      <c r="VWQ84" s="1"/>
      <c r="VWR84" s="1"/>
      <c r="VWS84" s="1"/>
      <c r="VWT84" s="1"/>
      <c r="VWU84" s="1"/>
      <c r="VWV84" s="1"/>
      <c r="VWW84" s="1"/>
      <c r="VWX84" s="1"/>
      <c r="VWY84" s="1"/>
      <c r="VWZ84" s="1"/>
      <c r="VXA84" s="1"/>
      <c r="VXB84" s="1"/>
      <c r="VXC84" s="1"/>
      <c r="VXD84" s="1"/>
      <c r="VXE84" s="1"/>
      <c r="VXF84" s="1"/>
      <c r="VXG84" s="1"/>
      <c r="VXH84" s="1"/>
      <c r="VXI84" s="1"/>
      <c r="VXJ84" s="1"/>
      <c r="VXK84" s="1"/>
      <c r="VXL84" s="1"/>
      <c r="VXM84" s="1"/>
      <c r="VXN84" s="1"/>
      <c r="VXO84" s="1"/>
      <c r="VXP84" s="1"/>
      <c r="VXQ84" s="1"/>
      <c r="VXR84" s="1"/>
      <c r="VXS84" s="1"/>
      <c r="VXT84" s="1"/>
      <c r="VXU84" s="1"/>
      <c r="VXV84" s="1"/>
      <c r="VXW84" s="1"/>
      <c r="VXX84" s="1"/>
      <c r="VXY84" s="1"/>
      <c r="VXZ84" s="1"/>
      <c r="VYA84" s="1"/>
      <c r="VYB84" s="1"/>
      <c r="VYC84" s="1"/>
      <c r="VYD84" s="1"/>
      <c r="VYE84" s="1"/>
      <c r="VYF84" s="1"/>
      <c r="VYG84" s="1"/>
      <c r="VYH84" s="1"/>
      <c r="VYI84" s="1"/>
      <c r="VYJ84" s="1"/>
      <c r="VYK84" s="1"/>
      <c r="VYL84" s="1"/>
      <c r="VYM84" s="1"/>
      <c r="VYN84" s="1"/>
      <c r="VYO84" s="1"/>
      <c r="VYP84" s="1"/>
      <c r="VYQ84" s="1"/>
      <c r="VYR84" s="1"/>
      <c r="VYS84" s="1"/>
      <c r="VYT84" s="1"/>
      <c r="VYU84" s="1"/>
      <c r="VYV84" s="1"/>
      <c r="VYW84" s="1"/>
      <c r="VYX84" s="1"/>
      <c r="VYY84" s="1"/>
      <c r="VYZ84" s="1"/>
      <c r="VZA84" s="1"/>
      <c r="VZB84" s="1"/>
      <c r="VZC84" s="1"/>
      <c r="VZD84" s="1"/>
      <c r="VZE84" s="1"/>
      <c r="VZF84" s="1"/>
      <c r="VZG84" s="1"/>
      <c r="VZH84" s="1"/>
      <c r="VZI84" s="1"/>
      <c r="VZJ84" s="1"/>
      <c r="VZK84" s="1"/>
      <c r="VZL84" s="1"/>
      <c r="VZM84" s="1"/>
      <c r="VZN84" s="1"/>
      <c r="VZO84" s="1"/>
      <c r="VZP84" s="1"/>
      <c r="VZQ84" s="1"/>
      <c r="VZR84" s="1"/>
      <c r="VZS84" s="1"/>
      <c r="VZT84" s="1"/>
      <c r="VZU84" s="1"/>
      <c r="VZV84" s="1"/>
      <c r="VZW84" s="1"/>
      <c r="VZX84" s="1"/>
      <c r="VZY84" s="1"/>
      <c r="VZZ84" s="1"/>
      <c r="WAA84" s="1"/>
      <c r="WAB84" s="1"/>
      <c r="WAC84" s="1"/>
      <c r="WAD84" s="1"/>
      <c r="WAE84" s="1"/>
      <c r="WAF84" s="1"/>
      <c r="WAG84" s="1"/>
      <c r="WAH84" s="1"/>
      <c r="WAI84" s="1"/>
      <c r="WAJ84" s="1"/>
      <c r="WAK84" s="1"/>
      <c r="WAL84" s="1"/>
      <c r="WAM84" s="1"/>
      <c r="WAN84" s="1"/>
      <c r="WAO84" s="1"/>
      <c r="WAP84" s="1"/>
      <c r="WAQ84" s="1"/>
      <c r="WAR84" s="1"/>
      <c r="WAS84" s="1"/>
      <c r="WAT84" s="1"/>
      <c r="WAU84" s="1"/>
      <c r="WAV84" s="1"/>
      <c r="WAW84" s="1"/>
      <c r="WAX84" s="1"/>
      <c r="WAY84" s="1"/>
      <c r="WAZ84" s="1"/>
      <c r="WBA84" s="1"/>
      <c r="WBB84" s="1"/>
      <c r="WBC84" s="1"/>
      <c r="WBD84" s="1"/>
      <c r="WBE84" s="1"/>
      <c r="WBF84" s="1"/>
      <c r="WBG84" s="1"/>
      <c r="WBH84" s="1"/>
      <c r="WBI84" s="1"/>
      <c r="WBJ84" s="1"/>
      <c r="WBK84" s="1"/>
      <c r="WBL84" s="1"/>
      <c r="WBM84" s="1"/>
      <c r="WBN84" s="1"/>
      <c r="WBO84" s="1"/>
      <c r="WBP84" s="1"/>
      <c r="WBQ84" s="1"/>
      <c r="WBR84" s="1"/>
      <c r="WBS84" s="1"/>
      <c r="WBT84" s="1"/>
      <c r="WBU84" s="1"/>
      <c r="WBV84" s="1"/>
      <c r="WBW84" s="1"/>
      <c r="WBX84" s="1"/>
      <c r="WBY84" s="1"/>
      <c r="WBZ84" s="1"/>
      <c r="WCA84" s="1"/>
      <c r="WCB84" s="1"/>
      <c r="WCC84" s="1"/>
      <c r="WCD84" s="1"/>
      <c r="WCE84" s="1"/>
      <c r="WCF84" s="1"/>
      <c r="WCG84" s="1"/>
      <c r="WCH84" s="1"/>
      <c r="WCI84" s="1"/>
      <c r="WCJ84" s="1"/>
      <c r="WCK84" s="1"/>
      <c r="WCL84" s="1"/>
      <c r="WCM84" s="1"/>
      <c r="WCN84" s="1"/>
      <c r="WCO84" s="1"/>
      <c r="WCP84" s="1"/>
      <c r="WCQ84" s="1"/>
      <c r="WCR84" s="1"/>
      <c r="WCS84" s="1"/>
      <c r="WCT84" s="1"/>
      <c r="WCU84" s="1"/>
      <c r="WCV84" s="1"/>
      <c r="WCW84" s="1"/>
      <c r="WCX84" s="1"/>
      <c r="WCY84" s="1"/>
      <c r="WCZ84" s="1"/>
      <c r="WDA84" s="1"/>
      <c r="WDB84" s="1"/>
      <c r="WDC84" s="1"/>
      <c r="WDD84" s="1"/>
      <c r="WDE84" s="1"/>
      <c r="WDF84" s="1"/>
      <c r="WDG84" s="1"/>
      <c r="WDH84" s="1"/>
      <c r="WDI84" s="1"/>
      <c r="WDJ84" s="1"/>
      <c r="WDK84" s="1"/>
      <c r="WDL84" s="1"/>
      <c r="WDM84" s="1"/>
      <c r="WDN84" s="1"/>
      <c r="WDO84" s="1"/>
      <c r="WDP84" s="1"/>
      <c r="WDQ84" s="1"/>
      <c r="WDR84" s="1"/>
      <c r="WDS84" s="1"/>
      <c r="WDT84" s="1"/>
      <c r="WDU84" s="1"/>
      <c r="WDV84" s="1"/>
      <c r="WDW84" s="1"/>
      <c r="WDX84" s="1"/>
      <c r="WDY84" s="1"/>
      <c r="WDZ84" s="1"/>
      <c r="WEA84" s="1"/>
      <c r="WEB84" s="1"/>
      <c r="WEC84" s="1"/>
      <c r="WED84" s="1"/>
      <c r="WEE84" s="1"/>
      <c r="WEF84" s="1"/>
      <c r="WEG84" s="1"/>
      <c r="WEH84" s="1"/>
      <c r="WEI84" s="1"/>
      <c r="WEJ84" s="1"/>
      <c r="WEK84" s="1"/>
      <c r="WEL84" s="1"/>
      <c r="WEM84" s="1"/>
      <c r="WEN84" s="1"/>
      <c r="WEO84" s="1"/>
      <c r="WEP84" s="1"/>
      <c r="WEQ84" s="1"/>
      <c r="WER84" s="1"/>
      <c r="WES84" s="1"/>
      <c r="WET84" s="1"/>
      <c r="WEU84" s="1"/>
      <c r="WEV84" s="1"/>
      <c r="WEW84" s="1"/>
      <c r="WEX84" s="1"/>
      <c r="WEY84" s="1"/>
      <c r="WEZ84" s="1"/>
      <c r="WFA84" s="1"/>
      <c r="WFB84" s="1"/>
      <c r="WFC84" s="1"/>
      <c r="WFD84" s="1"/>
      <c r="WFE84" s="1"/>
      <c r="WFF84" s="1"/>
      <c r="WFG84" s="1"/>
      <c r="WFH84" s="1"/>
      <c r="WFI84" s="1"/>
      <c r="WFJ84" s="1"/>
      <c r="WFK84" s="1"/>
      <c r="WFL84" s="1"/>
      <c r="WFM84" s="1"/>
      <c r="WFN84" s="1"/>
      <c r="WFO84" s="1"/>
      <c r="WFP84" s="1"/>
      <c r="WFQ84" s="1"/>
      <c r="WFR84" s="1"/>
      <c r="WFS84" s="1"/>
      <c r="WFT84" s="1"/>
      <c r="WFU84" s="1"/>
      <c r="WFV84" s="1"/>
      <c r="WFW84" s="1"/>
      <c r="WFX84" s="1"/>
      <c r="WFY84" s="1"/>
      <c r="WFZ84" s="1"/>
      <c r="WGA84" s="1"/>
      <c r="WGB84" s="1"/>
      <c r="WGC84" s="1"/>
      <c r="WGD84" s="1"/>
      <c r="WGE84" s="1"/>
      <c r="WGF84" s="1"/>
      <c r="WGG84" s="1"/>
      <c r="WGH84" s="1"/>
      <c r="WGI84" s="1"/>
      <c r="WGJ84" s="1"/>
      <c r="WGK84" s="1"/>
      <c r="WGL84" s="1"/>
      <c r="WGM84" s="1"/>
      <c r="WGN84" s="1"/>
      <c r="WGO84" s="1"/>
      <c r="WGP84" s="1"/>
      <c r="WGQ84" s="1"/>
      <c r="WGR84" s="1"/>
      <c r="WGS84" s="1"/>
      <c r="WGT84" s="1"/>
      <c r="WGU84" s="1"/>
      <c r="WGV84" s="1"/>
      <c r="WGW84" s="1"/>
      <c r="WGX84" s="1"/>
      <c r="WGY84" s="1"/>
      <c r="WGZ84" s="1"/>
      <c r="WHA84" s="1"/>
      <c r="WHB84" s="1"/>
      <c r="WHC84" s="1"/>
      <c r="WHD84" s="1"/>
      <c r="WHE84" s="1"/>
      <c r="WHF84" s="1"/>
      <c r="WHG84" s="1"/>
      <c r="WHH84" s="1"/>
      <c r="WHI84" s="1"/>
      <c r="WHJ84" s="1"/>
      <c r="WHK84" s="1"/>
      <c r="WHL84" s="1"/>
      <c r="WHM84" s="1"/>
      <c r="WHN84" s="1"/>
      <c r="WHO84" s="1"/>
      <c r="WHP84" s="1"/>
      <c r="WHQ84" s="1"/>
      <c r="WHR84" s="1"/>
      <c r="WHS84" s="1"/>
      <c r="WHT84" s="1"/>
      <c r="WHU84" s="1"/>
      <c r="WHV84" s="1"/>
      <c r="WHW84" s="1"/>
      <c r="WHX84" s="1"/>
      <c r="WHY84" s="1"/>
      <c r="WHZ84" s="1"/>
      <c r="WIA84" s="1"/>
      <c r="WIB84" s="1"/>
      <c r="WIC84" s="1"/>
      <c r="WID84" s="1"/>
      <c r="WIE84" s="1"/>
      <c r="WIF84" s="1"/>
      <c r="WIG84" s="1"/>
      <c r="WIH84" s="1"/>
      <c r="WII84" s="1"/>
      <c r="WIJ84" s="1"/>
      <c r="WIK84" s="1"/>
      <c r="WIL84" s="1"/>
      <c r="WIM84" s="1"/>
      <c r="WIN84" s="1"/>
      <c r="WIO84" s="1"/>
      <c r="WIP84" s="1"/>
      <c r="WIQ84" s="1"/>
      <c r="WIR84" s="1"/>
      <c r="WIS84" s="1"/>
      <c r="WIT84" s="1"/>
      <c r="WIU84" s="1"/>
      <c r="WIV84" s="1"/>
      <c r="WIW84" s="1"/>
      <c r="WIX84" s="1"/>
      <c r="WIY84" s="1"/>
      <c r="WIZ84" s="1"/>
      <c r="WJA84" s="1"/>
      <c r="WJB84" s="1"/>
      <c r="WJC84" s="1"/>
      <c r="WJD84" s="1"/>
      <c r="WJE84" s="1"/>
      <c r="WJF84" s="1"/>
      <c r="WJG84" s="1"/>
      <c r="WJH84" s="1"/>
      <c r="WJI84" s="1"/>
      <c r="WJJ84" s="1"/>
      <c r="WJK84" s="1"/>
      <c r="WJL84" s="1"/>
      <c r="WJM84" s="1"/>
      <c r="WJN84" s="1"/>
      <c r="WJO84" s="1"/>
      <c r="WJP84" s="1"/>
      <c r="WJQ84" s="1"/>
      <c r="WJR84" s="1"/>
      <c r="WJS84" s="1"/>
      <c r="WJT84" s="1"/>
      <c r="WJU84" s="1"/>
      <c r="WJV84" s="1"/>
      <c r="WJW84" s="1"/>
      <c r="WJX84" s="1"/>
      <c r="WJY84" s="1"/>
      <c r="WJZ84" s="1"/>
      <c r="WKA84" s="1"/>
      <c r="WKB84" s="1"/>
      <c r="WKC84" s="1"/>
      <c r="WKD84" s="1"/>
      <c r="WKE84" s="1"/>
      <c r="WKF84" s="1"/>
      <c r="WKG84" s="1"/>
      <c r="WKH84" s="1"/>
      <c r="WKI84" s="1"/>
      <c r="WKJ84" s="1"/>
      <c r="WKK84" s="1"/>
      <c r="WKL84" s="1"/>
      <c r="WKM84" s="1"/>
      <c r="WKN84" s="1"/>
      <c r="WKO84" s="1"/>
      <c r="WKP84" s="1"/>
      <c r="WKQ84" s="1"/>
      <c r="WKR84" s="1"/>
      <c r="WKS84" s="1"/>
      <c r="WKT84" s="1"/>
      <c r="WKU84" s="1"/>
      <c r="WKV84" s="1"/>
      <c r="WKW84" s="1"/>
      <c r="WKX84" s="1"/>
      <c r="WKY84" s="1"/>
      <c r="WKZ84" s="1"/>
      <c r="WLA84" s="1"/>
      <c r="WLB84" s="1"/>
      <c r="WLC84" s="1"/>
      <c r="WLD84" s="1"/>
      <c r="WLE84" s="1"/>
      <c r="WLF84" s="1"/>
      <c r="WLG84" s="1"/>
      <c r="WLH84" s="1"/>
      <c r="WLI84" s="1"/>
      <c r="WLJ84" s="1"/>
      <c r="WLK84" s="1"/>
      <c r="WLL84" s="1"/>
      <c r="WLM84" s="1"/>
      <c r="WLN84" s="1"/>
      <c r="WLO84" s="1"/>
      <c r="WLP84" s="1"/>
      <c r="WLQ84" s="1"/>
      <c r="WLR84" s="1"/>
      <c r="WLS84" s="1"/>
      <c r="WLT84" s="1"/>
      <c r="WLU84" s="1"/>
      <c r="WLV84" s="1"/>
      <c r="WLW84" s="1"/>
      <c r="WLX84" s="1"/>
      <c r="WLY84" s="1"/>
      <c r="WLZ84" s="1"/>
      <c r="WMA84" s="1"/>
      <c r="WMB84" s="1"/>
      <c r="WMC84" s="1"/>
      <c r="WMD84" s="1"/>
      <c r="WME84" s="1"/>
      <c r="WMF84" s="1"/>
      <c r="WMG84" s="1"/>
      <c r="WMH84" s="1"/>
      <c r="WMI84" s="1"/>
      <c r="WMJ84" s="1"/>
      <c r="WMK84" s="1"/>
      <c r="WML84" s="1"/>
      <c r="WMM84" s="1"/>
      <c r="WMN84" s="1"/>
      <c r="WMO84" s="1"/>
      <c r="WMP84" s="1"/>
      <c r="WMQ84" s="1"/>
      <c r="WMR84" s="1"/>
      <c r="WMS84" s="1"/>
      <c r="WMT84" s="1"/>
      <c r="WMU84" s="1"/>
      <c r="WMV84" s="1"/>
      <c r="WMW84" s="1"/>
      <c r="WMX84" s="1"/>
      <c r="WMY84" s="1"/>
      <c r="WMZ84" s="1"/>
      <c r="WNA84" s="1"/>
      <c r="WNB84" s="1"/>
      <c r="WNC84" s="1"/>
      <c r="WND84" s="1"/>
      <c r="WNE84" s="1"/>
      <c r="WNF84" s="1"/>
      <c r="WNG84" s="1"/>
      <c r="WNH84" s="1"/>
      <c r="WNI84" s="1"/>
      <c r="WNJ84" s="1"/>
      <c r="WNK84" s="1"/>
      <c r="WNL84" s="1"/>
      <c r="WNM84" s="1"/>
      <c r="WNN84" s="1"/>
      <c r="WNO84" s="1"/>
      <c r="WNP84" s="1"/>
      <c r="WNQ84" s="1"/>
      <c r="WNR84" s="1"/>
      <c r="WNS84" s="1"/>
      <c r="WNT84" s="1"/>
      <c r="WNU84" s="1"/>
      <c r="WNV84" s="1"/>
      <c r="WNW84" s="1"/>
      <c r="WNX84" s="1"/>
      <c r="WNY84" s="1"/>
      <c r="WNZ84" s="1"/>
      <c r="WOA84" s="1"/>
      <c r="WOB84" s="1"/>
      <c r="WOC84" s="1"/>
      <c r="WOD84" s="1"/>
      <c r="WOE84" s="1"/>
      <c r="WOF84" s="1"/>
      <c r="WOG84" s="1"/>
      <c r="WOH84" s="1"/>
      <c r="WOI84" s="1"/>
      <c r="WOJ84" s="1"/>
      <c r="WOK84" s="1"/>
      <c r="WOL84" s="1"/>
      <c r="WOM84" s="1"/>
      <c r="WON84" s="1"/>
      <c r="WOO84" s="1"/>
      <c r="WOP84" s="1"/>
      <c r="WOQ84" s="1"/>
      <c r="WOR84" s="1"/>
      <c r="WOS84" s="1"/>
      <c r="WOT84" s="1"/>
      <c r="WOU84" s="1"/>
      <c r="WOV84" s="1"/>
      <c r="WOW84" s="1"/>
      <c r="WOX84" s="1"/>
      <c r="WOY84" s="1"/>
      <c r="WOZ84" s="1"/>
      <c r="WPA84" s="1"/>
      <c r="WPB84" s="1"/>
      <c r="WPC84" s="1"/>
      <c r="WPD84" s="1"/>
      <c r="WPE84" s="1"/>
      <c r="WPF84" s="1"/>
      <c r="WPG84" s="1"/>
      <c r="WPH84" s="1"/>
      <c r="WPI84" s="1"/>
      <c r="WPJ84" s="1"/>
      <c r="WPK84" s="1"/>
      <c r="WPL84" s="1"/>
      <c r="WPM84" s="1"/>
      <c r="WPN84" s="1"/>
      <c r="WPO84" s="1"/>
      <c r="WPP84" s="1"/>
      <c r="WPQ84" s="1"/>
      <c r="WPR84" s="1"/>
      <c r="WPS84" s="1"/>
      <c r="WPT84" s="1"/>
      <c r="WPU84" s="1"/>
      <c r="WPV84" s="1"/>
      <c r="WPW84" s="1"/>
      <c r="WPX84" s="1"/>
      <c r="WPY84" s="1"/>
      <c r="WPZ84" s="1"/>
      <c r="WQA84" s="1"/>
      <c r="WQB84" s="1"/>
      <c r="WQC84" s="1"/>
      <c r="WQD84" s="1"/>
      <c r="WQE84" s="1"/>
      <c r="WQF84" s="1"/>
      <c r="WQG84" s="1"/>
      <c r="WQH84" s="1"/>
      <c r="WQI84" s="1"/>
      <c r="WQJ84" s="1"/>
      <c r="WQK84" s="1"/>
      <c r="WQL84" s="1"/>
      <c r="WQM84" s="1"/>
      <c r="WQN84" s="1"/>
      <c r="WQO84" s="1"/>
      <c r="WQP84" s="1"/>
      <c r="WQQ84" s="1"/>
      <c r="WQR84" s="1"/>
      <c r="WQS84" s="1"/>
      <c r="WQT84" s="1"/>
      <c r="WQU84" s="1"/>
      <c r="WQV84" s="1"/>
      <c r="WQW84" s="1"/>
      <c r="WQX84" s="1"/>
      <c r="WQY84" s="1"/>
      <c r="WQZ84" s="1"/>
      <c r="WRA84" s="1"/>
      <c r="WRB84" s="1"/>
      <c r="WRC84" s="1"/>
      <c r="WRD84" s="1"/>
      <c r="WRE84" s="1"/>
      <c r="WRF84" s="1"/>
      <c r="WRG84" s="1"/>
      <c r="WRH84" s="1"/>
      <c r="WRI84" s="1"/>
      <c r="WRJ84" s="1"/>
      <c r="WRK84" s="1"/>
      <c r="WRL84" s="1"/>
      <c r="WRM84" s="1"/>
      <c r="WRN84" s="1"/>
      <c r="WRO84" s="1"/>
      <c r="WRP84" s="1"/>
      <c r="WRQ84" s="1"/>
      <c r="WRR84" s="1"/>
      <c r="WRS84" s="1"/>
      <c r="WRT84" s="1"/>
      <c r="WRU84" s="1"/>
      <c r="WRV84" s="1"/>
      <c r="WRW84" s="1"/>
      <c r="WRX84" s="1"/>
      <c r="WRY84" s="1"/>
      <c r="WRZ84" s="1"/>
      <c r="WSA84" s="1"/>
      <c r="WSB84" s="1"/>
      <c r="WSC84" s="1"/>
      <c r="WSD84" s="1"/>
      <c r="WSE84" s="1"/>
      <c r="WSF84" s="1"/>
      <c r="WSG84" s="1"/>
      <c r="WSH84" s="1"/>
      <c r="WSI84" s="1"/>
      <c r="WSJ84" s="1"/>
      <c r="WSK84" s="1"/>
      <c r="WSL84" s="1"/>
      <c r="WSM84" s="1"/>
      <c r="WSN84" s="1"/>
      <c r="WSO84" s="1"/>
      <c r="WSP84" s="1"/>
      <c r="WSQ84" s="1"/>
      <c r="WSR84" s="1"/>
      <c r="WSS84" s="1"/>
      <c r="WST84" s="1"/>
      <c r="WSU84" s="1"/>
      <c r="WSV84" s="1"/>
      <c r="WSW84" s="1"/>
      <c r="WSX84" s="1"/>
      <c r="WSY84" s="1"/>
      <c r="WSZ84" s="1"/>
      <c r="WTA84" s="1"/>
      <c r="WTB84" s="1"/>
      <c r="WTC84" s="1"/>
      <c r="WTD84" s="1"/>
      <c r="WTE84" s="1"/>
      <c r="WTF84" s="1"/>
      <c r="WTG84" s="1"/>
      <c r="WTH84" s="1"/>
      <c r="WTI84" s="1"/>
      <c r="WTJ84" s="1"/>
      <c r="WTK84" s="1"/>
      <c r="WTL84" s="1"/>
      <c r="WTM84" s="1"/>
      <c r="WTN84" s="1"/>
      <c r="WTO84" s="1"/>
      <c r="WTP84" s="1"/>
      <c r="WTQ84" s="1"/>
      <c r="WTR84" s="1"/>
      <c r="WTS84" s="1"/>
      <c r="WTT84" s="1"/>
      <c r="WTU84" s="1"/>
      <c r="WTV84" s="1"/>
      <c r="WTW84" s="1"/>
      <c r="WTX84" s="1"/>
      <c r="WTY84" s="1"/>
      <c r="WTZ84" s="1"/>
      <c r="WUA84" s="1"/>
      <c r="WUB84" s="1"/>
      <c r="WUC84" s="1"/>
      <c r="WUD84" s="1"/>
      <c r="WUE84" s="1"/>
      <c r="WUF84" s="1"/>
      <c r="WUG84" s="1"/>
      <c r="WUH84" s="1"/>
      <c r="WUI84" s="1"/>
      <c r="WUJ84" s="1"/>
      <c r="WUK84" s="1"/>
      <c r="WUL84" s="1"/>
      <c r="WUM84" s="1"/>
      <c r="WUN84" s="1"/>
      <c r="WUO84" s="1"/>
      <c r="WUP84" s="1"/>
      <c r="WUQ84" s="1"/>
      <c r="WUR84" s="1"/>
      <c r="WUS84" s="1"/>
      <c r="WUT84" s="1"/>
      <c r="WUU84" s="1"/>
      <c r="WUV84" s="1"/>
      <c r="WUW84" s="1"/>
      <c r="WUX84" s="1"/>
      <c r="WUY84" s="1"/>
      <c r="WUZ84" s="1"/>
      <c r="WVA84" s="1"/>
      <c r="WVB84" s="1"/>
      <c r="WVC84" s="1"/>
      <c r="WVD84" s="1"/>
      <c r="WVE84" s="1"/>
      <c r="WVF84" s="1"/>
      <c r="WVG84" s="1"/>
      <c r="WVH84" s="1"/>
      <c r="WVI84" s="1"/>
      <c r="WVJ84" s="1"/>
      <c r="WVK84" s="1"/>
      <c r="WVL84" s="1"/>
      <c r="WVM84" s="1"/>
      <c r="WVN84" s="1"/>
      <c r="WVO84" s="1"/>
      <c r="WVP84" s="1"/>
      <c r="WVQ84" s="1"/>
      <c r="WVR84" s="1"/>
      <c r="WVS84" s="1"/>
      <c r="WVT84" s="1"/>
      <c r="WVU84" s="1"/>
      <c r="WVV84" s="1"/>
      <c r="WVW84" s="1"/>
      <c r="WVX84" s="1"/>
      <c r="WVY84" s="1"/>
      <c r="WVZ84" s="1"/>
      <c r="WWA84" s="1"/>
      <c r="WWB84" s="1"/>
      <c r="WWC84" s="1"/>
      <c r="WWD84" s="1"/>
      <c r="WWE84" s="1"/>
      <c r="WWF84" s="1"/>
      <c r="WWG84" s="1"/>
      <c r="WWH84" s="1"/>
      <c r="WWI84" s="1"/>
      <c r="WWJ84" s="1"/>
      <c r="WWK84" s="1"/>
      <c r="WWL84" s="1"/>
      <c r="WWM84" s="1"/>
      <c r="WWN84" s="1"/>
      <c r="WWO84" s="1"/>
      <c r="WWP84" s="1"/>
      <c r="WWQ84" s="1"/>
      <c r="WWR84" s="1"/>
      <c r="WWS84" s="1"/>
      <c r="WWT84" s="1"/>
      <c r="WWU84" s="1"/>
      <c r="WWV84" s="1"/>
      <c r="WWW84" s="1"/>
      <c r="WWX84" s="1"/>
      <c r="WWY84" s="1"/>
      <c r="WWZ84" s="1"/>
      <c r="WXA84" s="1"/>
      <c r="WXB84" s="1"/>
      <c r="WXC84" s="1"/>
      <c r="WXD84" s="1"/>
      <c r="WXE84" s="1"/>
      <c r="WXF84" s="1"/>
      <c r="WXG84" s="1"/>
      <c r="WXH84" s="1"/>
      <c r="WXI84" s="1"/>
      <c r="WXJ84" s="1"/>
      <c r="WXK84" s="1"/>
      <c r="WXL84" s="1"/>
      <c r="WXM84" s="1"/>
      <c r="WXN84" s="1"/>
      <c r="WXO84" s="1"/>
      <c r="WXP84" s="1"/>
      <c r="WXQ84" s="1"/>
      <c r="WXR84" s="1"/>
      <c r="WXS84" s="1"/>
      <c r="WXT84" s="1"/>
      <c r="WXU84" s="1"/>
      <c r="WXV84" s="1"/>
      <c r="WXW84" s="1"/>
      <c r="WXX84" s="1"/>
      <c r="WXY84" s="1"/>
      <c r="WXZ84" s="1"/>
      <c r="WYA84" s="1"/>
      <c r="WYB84" s="1"/>
      <c r="WYC84" s="1"/>
      <c r="WYD84" s="1"/>
      <c r="WYE84" s="1"/>
      <c r="WYF84" s="1"/>
      <c r="WYG84" s="1"/>
      <c r="WYH84" s="1"/>
      <c r="WYI84" s="1"/>
      <c r="WYJ84" s="1"/>
      <c r="WYK84" s="1"/>
      <c r="WYL84" s="1"/>
      <c r="WYM84" s="1"/>
      <c r="WYN84" s="1"/>
      <c r="WYO84" s="1"/>
      <c r="WYP84" s="1"/>
      <c r="WYQ84" s="1"/>
      <c r="WYR84" s="1"/>
      <c r="WYS84" s="1"/>
      <c r="WYT84" s="1"/>
      <c r="WYU84" s="1"/>
      <c r="WYV84" s="1"/>
      <c r="WYW84" s="1"/>
      <c r="WYX84" s="1"/>
      <c r="WYY84" s="1"/>
      <c r="WYZ84" s="1"/>
      <c r="WZA84" s="1"/>
      <c r="WZB84" s="1"/>
      <c r="WZC84" s="1"/>
      <c r="WZD84" s="1"/>
      <c r="WZE84" s="1"/>
      <c r="WZF84" s="1"/>
      <c r="WZG84" s="1"/>
      <c r="WZH84" s="1"/>
      <c r="WZI84" s="1"/>
      <c r="WZJ84" s="1"/>
      <c r="WZK84" s="1"/>
      <c r="WZL84" s="1"/>
      <c r="WZM84" s="1"/>
      <c r="WZN84" s="1"/>
      <c r="WZO84" s="1"/>
      <c r="WZP84" s="1"/>
      <c r="WZQ84" s="1"/>
      <c r="WZR84" s="1"/>
      <c r="WZS84" s="1"/>
      <c r="WZT84" s="1"/>
      <c r="WZU84" s="1"/>
      <c r="WZV84" s="1"/>
      <c r="WZW84" s="1"/>
      <c r="WZX84" s="1"/>
      <c r="WZY84" s="1"/>
      <c r="WZZ84" s="1"/>
      <c r="XAA84" s="1"/>
      <c r="XAB84" s="1"/>
      <c r="XAC84" s="1"/>
      <c r="XAD84" s="1"/>
      <c r="XAE84" s="1"/>
      <c r="XAF84" s="1"/>
      <c r="XAG84" s="1"/>
      <c r="XAH84" s="1"/>
      <c r="XAI84" s="1"/>
      <c r="XAJ84" s="1"/>
      <c r="XAK84" s="1"/>
      <c r="XAL84" s="1"/>
      <c r="XAM84" s="1"/>
      <c r="XAN84" s="1"/>
      <c r="XAO84" s="1"/>
      <c r="XAP84" s="1"/>
      <c r="XAQ84" s="1"/>
      <c r="XAR84" s="1"/>
      <c r="XAS84" s="1"/>
      <c r="XAT84" s="1"/>
      <c r="XAU84" s="1"/>
      <c r="XAV84" s="1"/>
      <c r="XAW84" s="1"/>
      <c r="XAX84" s="1"/>
      <c r="XAY84" s="1"/>
      <c r="XAZ84" s="1"/>
      <c r="XBA84" s="1"/>
      <c r="XBB84" s="1"/>
      <c r="XBC84" s="1"/>
      <c r="XBD84" s="1"/>
      <c r="XBE84" s="1"/>
      <c r="XBF84" s="1"/>
      <c r="XBG84" s="1"/>
      <c r="XBH84" s="1"/>
      <c r="XBI84" s="1"/>
      <c r="XBJ84" s="1"/>
      <c r="XBK84" s="1"/>
      <c r="XBL84" s="1"/>
      <c r="XBM84" s="1"/>
      <c r="XBN84" s="1"/>
      <c r="XBO84" s="1"/>
      <c r="XBP84" s="1"/>
      <c r="XBQ84" s="1"/>
      <c r="XBR84" s="1"/>
      <c r="XBS84" s="1"/>
      <c r="XBT84" s="1"/>
      <c r="XBU84" s="1"/>
      <c r="XBV84" s="1"/>
      <c r="XBW84" s="1"/>
      <c r="XBX84" s="1"/>
      <c r="XBY84" s="1"/>
      <c r="XBZ84" s="1"/>
      <c r="XCA84" s="1"/>
      <c r="XCB84" s="1"/>
      <c r="XCC84" s="1"/>
      <c r="XCD84" s="1"/>
      <c r="XCE84" s="1"/>
      <c r="XCF84" s="1"/>
      <c r="XCG84" s="1"/>
      <c r="XCH84" s="1"/>
      <c r="XCI84" s="1"/>
      <c r="XCJ84" s="1"/>
      <c r="XCK84" s="1"/>
      <c r="XCL84" s="1"/>
      <c r="XCM84" s="1"/>
      <c r="XCN84" s="1"/>
      <c r="XCO84" s="1"/>
      <c r="XCP84" s="1"/>
      <c r="XCQ84" s="1"/>
      <c r="XCR84" s="1"/>
      <c r="XCS84" s="1"/>
      <c r="XCT84" s="1"/>
      <c r="XCU84" s="1"/>
      <c r="XCV84" s="1"/>
      <c r="XCW84" s="1"/>
      <c r="XCX84" s="1"/>
      <c r="XCY84" s="1"/>
      <c r="XCZ84" s="1"/>
      <c r="XDA84" s="1"/>
      <c r="XDB84" s="1"/>
      <c r="XDC84" s="1"/>
      <c r="XDD84" s="1"/>
      <c r="XDE84" s="1"/>
      <c r="XDF84" s="1"/>
      <c r="XDG84" s="1"/>
      <c r="XDH84" s="1"/>
      <c r="XDI84" s="1"/>
      <c r="XDJ84" s="1"/>
      <c r="XDK84" s="1"/>
      <c r="XDL84" s="1"/>
      <c r="XDM84" s="1"/>
      <c r="XDN84" s="1"/>
      <c r="XDO84" s="1"/>
      <c r="XDP84" s="1"/>
      <c r="XDQ84" s="1"/>
      <c r="XDR84" s="1"/>
      <c r="XDS84" s="1"/>
      <c r="XDT84" s="1"/>
      <c r="XDU84" s="1"/>
      <c r="XDV84" s="1"/>
      <c r="XDW84" s="1"/>
      <c r="XDX84" s="1"/>
      <c r="XDY84" s="1"/>
      <c r="XDZ84" s="1"/>
      <c r="XEA84" s="1"/>
      <c r="XEB84" s="1"/>
      <c r="XEC84" s="1"/>
      <c r="XED84" s="1"/>
      <c r="XEE84" s="1"/>
      <c r="XEF84" s="1"/>
      <c r="XEG84" s="1"/>
      <c r="XEH84" s="1"/>
      <c r="XEI84" s="1"/>
      <c r="XEJ84" s="1"/>
      <c r="XEK84" s="1"/>
      <c r="XEL84" s="1"/>
      <c r="XEM84" s="1"/>
      <c r="XEN84" s="1"/>
      <c r="XEO84" s="1"/>
      <c r="XEP84" s="1"/>
      <c r="XEQ84" s="1"/>
      <c r="XER84" s="1"/>
      <c r="XES84" s="1"/>
      <c r="XET84" s="1"/>
      <c r="XEU84" s="1"/>
      <c r="XEV84" s="1"/>
      <c r="XEW84" s="1"/>
      <c r="XEX84" s="1"/>
      <c r="XEY84" s="1"/>
      <c r="XEZ84" s="1"/>
      <c r="XFA84" s="1"/>
      <c r="XFB84" s="1"/>
      <c r="XFC84" s="1"/>
      <c r="XFD84" s="1"/>
    </row>
    <row r="85" spans="1:16384" s="138" customFormat="1" ht="14.25" customHeight="1" thickBot="1">
      <c r="A85" s="310"/>
      <c r="B85" s="311"/>
      <c r="C85" s="311"/>
      <c r="D85" s="305"/>
      <c r="E85" s="305"/>
      <c r="F85" s="305"/>
      <c r="G85" s="305"/>
      <c r="H85" s="311"/>
      <c r="I85" s="313"/>
      <c r="J85" s="311"/>
      <c r="K85" s="279"/>
      <c r="L85" s="279"/>
      <c r="M85" s="272"/>
      <c r="N85" s="279"/>
      <c r="O85" s="279"/>
      <c r="P85" s="4"/>
      <c r="Q85" s="4"/>
      <c r="R85" s="4"/>
      <c r="S85" s="4"/>
      <c r="T85" s="4"/>
      <c r="U85" s="136" t="s">
        <v>225</v>
      </c>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c r="AMK85" s="1"/>
      <c r="AML85" s="1"/>
      <c r="AMM85" s="1"/>
      <c r="AMN85" s="1"/>
      <c r="AMO85" s="1"/>
      <c r="AMP85" s="1"/>
      <c r="AMQ85" s="1"/>
      <c r="AMR85" s="1"/>
      <c r="AMS85" s="1"/>
      <c r="AMT85" s="1"/>
      <c r="AMU85" s="1"/>
      <c r="AMV85" s="1"/>
      <c r="AMW85" s="1"/>
      <c r="AMX85" s="1"/>
      <c r="AMY85" s="1"/>
      <c r="AMZ85" s="1"/>
      <c r="ANA85" s="1"/>
      <c r="ANB85" s="1"/>
      <c r="ANC85" s="1"/>
      <c r="AND85" s="1"/>
      <c r="ANE85" s="1"/>
      <c r="ANF85" s="1"/>
      <c r="ANG85" s="1"/>
      <c r="ANH85" s="1"/>
      <c r="ANI85" s="1"/>
      <c r="ANJ85" s="1"/>
      <c r="ANK85" s="1"/>
      <c r="ANL85" s="1"/>
      <c r="ANM85" s="1"/>
      <c r="ANN85" s="1"/>
      <c r="ANO85" s="1"/>
      <c r="ANP85" s="1"/>
      <c r="ANQ85" s="1"/>
      <c r="ANR85" s="1"/>
      <c r="ANS85" s="1"/>
      <c r="ANT85" s="1"/>
      <c r="ANU85" s="1"/>
      <c r="ANV85" s="1"/>
      <c r="ANW85" s="1"/>
      <c r="ANX85" s="1"/>
      <c r="ANY85" s="1"/>
      <c r="ANZ85" s="1"/>
      <c r="AOA85" s="1"/>
      <c r="AOB85" s="1"/>
      <c r="AOC85" s="1"/>
      <c r="AOD85" s="1"/>
      <c r="AOE85" s="1"/>
      <c r="AOF85" s="1"/>
      <c r="AOG85" s="1"/>
      <c r="AOH85" s="1"/>
      <c r="AOI85" s="1"/>
      <c r="AOJ85" s="1"/>
      <c r="AOK85" s="1"/>
      <c r="AOL85" s="1"/>
      <c r="AOM85" s="1"/>
      <c r="AON85" s="1"/>
      <c r="AOO85" s="1"/>
      <c r="AOP85" s="1"/>
      <c r="AOQ85" s="1"/>
      <c r="AOR85" s="1"/>
      <c r="AOS85" s="1"/>
      <c r="AOT85" s="1"/>
      <c r="AOU85" s="1"/>
      <c r="AOV85" s="1"/>
      <c r="AOW85" s="1"/>
      <c r="AOX85" s="1"/>
      <c r="AOY85" s="1"/>
      <c r="AOZ85" s="1"/>
      <c r="APA85" s="1"/>
      <c r="APB85" s="1"/>
      <c r="APC85" s="1"/>
      <c r="APD85" s="1"/>
      <c r="APE85" s="1"/>
      <c r="APF85" s="1"/>
      <c r="APG85" s="1"/>
      <c r="APH85" s="1"/>
      <c r="API85" s="1"/>
      <c r="APJ85" s="1"/>
      <c r="APK85" s="1"/>
      <c r="APL85" s="1"/>
      <c r="APM85" s="1"/>
      <c r="APN85" s="1"/>
      <c r="APO85" s="1"/>
      <c r="APP85" s="1"/>
      <c r="APQ85" s="1"/>
      <c r="APR85" s="1"/>
      <c r="APS85" s="1"/>
      <c r="APT85" s="1"/>
      <c r="APU85" s="1"/>
      <c r="APV85" s="1"/>
      <c r="APW85" s="1"/>
      <c r="APX85" s="1"/>
      <c r="APY85" s="1"/>
      <c r="APZ85" s="1"/>
      <c r="AQA85" s="1"/>
      <c r="AQB85" s="1"/>
      <c r="AQC85" s="1"/>
      <c r="AQD85" s="1"/>
      <c r="AQE85" s="1"/>
      <c r="AQF85" s="1"/>
      <c r="AQG85" s="1"/>
      <c r="AQH85" s="1"/>
      <c r="AQI85" s="1"/>
      <c r="AQJ85" s="1"/>
      <c r="AQK85" s="1"/>
      <c r="AQL85" s="1"/>
      <c r="AQM85" s="1"/>
      <c r="AQN85" s="1"/>
      <c r="AQO85" s="1"/>
      <c r="AQP85" s="1"/>
      <c r="AQQ85" s="1"/>
      <c r="AQR85" s="1"/>
      <c r="AQS85" s="1"/>
      <c r="AQT85" s="1"/>
      <c r="AQU85" s="1"/>
      <c r="AQV85" s="1"/>
      <c r="AQW85" s="1"/>
      <c r="AQX85" s="1"/>
      <c r="AQY85" s="1"/>
      <c r="AQZ85" s="1"/>
      <c r="ARA85" s="1"/>
      <c r="ARB85" s="1"/>
      <c r="ARC85" s="1"/>
      <c r="ARD85" s="1"/>
      <c r="ARE85" s="1"/>
      <c r="ARF85" s="1"/>
      <c r="ARG85" s="1"/>
      <c r="ARH85" s="1"/>
      <c r="ARI85" s="1"/>
      <c r="ARJ85" s="1"/>
      <c r="ARK85" s="1"/>
      <c r="ARL85" s="1"/>
      <c r="ARM85" s="1"/>
      <c r="ARN85" s="1"/>
      <c r="ARO85" s="1"/>
      <c r="ARP85" s="1"/>
      <c r="ARQ85" s="1"/>
      <c r="ARR85" s="1"/>
      <c r="ARS85" s="1"/>
      <c r="ART85" s="1"/>
      <c r="ARU85" s="1"/>
      <c r="ARV85" s="1"/>
      <c r="ARW85" s="1"/>
      <c r="ARX85" s="1"/>
      <c r="ARY85" s="1"/>
      <c r="ARZ85" s="1"/>
      <c r="ASA85" s="1"/>
      <c r="ASB85" s="1"/>
      <c r="ASC85" s="1"/>
      <c r="ASD85" s="1"/>
      <c r="ASE85" s="1"/>
      <c r="ASF85" s="1"/>
      <c r="ASG85" s="1"/>
      <c r="ASH85" s="1"/>
      <c r="ASI85" s="1"/>
      <c r="ASJ85" s="1"/>
      <c r="ASK85" s="1"/>
      <c r="ASL85" s="1"/>
      <c r="ASM85" s="1"/>
      <c r="ASN85" s="1"/>
      <c r="ASO85" s="1"/>
      <c r="ASP85" s="1"/>
      <c r="ASQ85" s="1"/>
      <c r="ASR85" s="1"/>
      <c r="ASS85" s="1"/>
      <c r="AST85" s="1"/>
      <c r="ASU85" s="1"/>
      <c r="ASV85" s="1"/>
      <c r="ASW85" s="1"/>
      <c r="ASX85" s="1"/>
      <c r="ASY85" s="1"/>
      <c r="ASZ85" s="1"/>
      <c r="ATA85" s="1"/>
      <c r="ATB85" s="1"/>
      <c r="ATC85" s="1"/>
      <c r="ATD85" s="1"/>
      <c r="ATE85" s="1"/>
      <c r="ATF85" s="1"/>
      <c r="ATG85" s="1"/>
      <c r="ATH85" s="1"/>
      <c r="ATI85" s="1"/>
      <c r="ATJ85" s="1"/>
      <c r="ATK85" s="1"/>
      <c r="ATL85" s="1"/>
      <c r="ATM85" s="1"/>
      <c r="ATN85" s="1"/>
      <c r="ATO85" s="1"/>
      <c r="ATP85" s="1"/>
      <c r="ATQ85" s="1"/>
      <c r="ATR85" s="1"/>
      <c r="ATS85" s="1"/>
      <c r="ATT85" s="1"/>
      <c r="ATU85" s="1"/>
      <c r="ATV85" s="1"/>
      <c r="ATW85" s="1"/>
      <c r="ATX85" s="1"/>
      <c r="ATY85" s="1"/>
      <c r="ATZ85" s="1"/>
      <c r="AUA85" s="1"/>
      <c r="AUB85" s="1"/>
      <c r="AUC85" s="1"/>
      <c r="AUD85" s="1"/>
      <c r="AUE85" s="1"/>
      <c r="AUF85" s="1"/>
      <c r="AUG85" s="1"/>
      <c r="AUH85" s="1"/>
      <c r="AUI85" s="1"/>
      <c r="AUJ85" s="1"/>
      <c r="AUK85" s="1"/>
      <c r="AUL85" s="1"/>
      <c r="AUM85" s="1"/>
      <c r="AUN85" s="1"/>
      <c r="AUO85" s="1"/>
      <c r="AUP85" s="1"/>
      <c r="AUQ85" s="1"/>
      <c r="AUR85" s="1"/>
      <c r="AUS85" s="1"/>
      <c r="AUT85" s="1"/>
      <c r="AUU85" s="1"/>
      <c r="AUV85" s="1"/>
      <c r="AUW85" s="1"/>
      <c r="AUX85" s="1"/>
      <c r="AUY85" s="1"/>
      <c r="AUZ85" s="1"/>
      <c r="AVA85" s="1"/>
      <c r="AVB85" s="1"/>
      <c r="AVC85" s="1"/>
      <c r="AVD85" s="1"/>
      <c r="AVE85" s="1"/>
      <c r="AVF85" s="1"/>
      <c r="AVG85" s="1"/>
      <c r="AVH85" s="1"/>
      <c r="AVI85" s="1"/>
      <c r="AVJ85" s="1"/>
      <c r="AVK85" s="1"/>
      <c r="AVL85" s="1"/>
      <c r="AVM85" s="1"/>
      <c r="AVN85" s="1"/>
      <c r="AVO85" s="1"/>
      <c r="AVP85" s="1"/>
      <c r="AVQ85" s="1"/>
      <c r="AVR85" s="1"/>
      <c r="AVS85" s="1"/>
      <c r="AVT85" s="1"/>
      <c r="AVU85" s="1"/>
      <c r="AVV85" s="1"/>
      <c r="AVW85" s="1"/>
      <c r="AVX85" s="1"/>
      <c r="AVY85" s="1"/>
      <c r="AVZ85" s="1"/>
      <c r="AWA85" s="1"/>
      <c r="AWB85" s="1"/>
      <c r="AWC85" s="1"/>
      <c r="AWD85" s="1"/>
      <c r="AWE85" s="1"/>
      <c r="AWF85" s="1"/>
      <c r="AWG85" s="1"/>
      <c r="AWH85" s="1"/>
      <c r="AWI85" s="1"/>
      <c r="AWJ85" s="1"/>
      <c r="AWK85" s="1"/>
      <c r="AWL85" s="1"/>
      <c r="AWM85" s="1"/>
      <c r="AWN85" s="1"/>
      <c r="AWO85" s="1"/>
      <c r="AWP85" s="1"/>
      <c r="AWQ85" s="1"/>
      <c r="AWR85" s="1"/>
      <c r="AWS85" s="1"/>
      <c r="AWT85" s="1"/>
      <c r="AWU85" s="1"/>
      <c r="AWV85" s="1"/>
      <c r="AWW85" s="1"/>
      <c r="AWX85" s="1"/>
      <c r="AWY85" s="1"/>
      <c r="AWZ85" s="1"/>
      <c r="AXA85" s="1"/>
      <c r="AXB85" s="1"/>
      <c r="AXC85" s="1"/>
      <c r="AXD85" s="1"/>
      <c r="AXE85" s="1"/>
      <c r="AXF85" s="1"/>
      <c r="AXG85" s="1"/>
      <c r="AXH85" s="1"/>
      <c r="AXI85" s="1"/>
      <c r="AXJ85" s="1"/>
      <c r="AXK85" s="1"/>
      <c r="AXL85" s="1"/>
      <c r="AXM85" s="1"/>
      <c r="AXN85" s="1"/>
      <c r="AXO85" s="1"/>
      <c r="AXP85" s="1"/>
      <c r="AXQ85" s="1"/>
      <c r="AXR85" s="1"/>
      <c r="AXS85" s="1"/>
      <c r="AXT85" s="1"/>
      <c r="AXU85" s="1"/>
      <c r="AXV85" s="1"/>
      <c r="AXW85" s="1"/>
      <c r="AXX85" s="1"/>
      <c r="AXY85" s="1"/>
      <c r="AXZ85" s="1"/>
      <c r="AYA85" s="1"/>
      <c r="AYB85" s="1"/>
      <c r="AYC85" s="1"/>
      <c r="AYD85" s="1"/>
      <c r="AYE85" s="1"/>
      <c r="AYF85" s="1"/>
      <c r="AYG85" s="1"/>
      <c r="AYH85" s="1"/>
      <c r="AYI85" s="1"/>
      <c r="AYJ85" s="1"/>
      <c r="AYK85" s="1"/>
      <c r="AYL85" s="1"/>
      <c r="AYM85" s="1"/>
      <c r="AYN85" s="1"/>
      <c r="AYO85" s="1"/>
      <c r="AYP85" s="1"/>
      <c r="AYQ85" s="1"/>
      <c r="AYR85" s="1"/>
      <c r="AYS85" s="1"/>
      <c r="AYT85" s="1"/>
      <c r="AYU85" s="1"/>
      <c r="AYV85" s="1"/>
      <c r="AYW85" s="1"/>
      <c r="AYX85" s="1"/>
      <c r="AYY85" s="1"/>
      <c r="AYZ85" s="1"/>
      <c r="AZA85" s="1"/>
      <c r="AZB85" s="1"/>
      <c r="AZC85" s="1"/>
      <c r="AZD85" s="1"/>
      <c r="AZE85" s="1"/>
      <c r="AZF85" s="1"/>
      <c r="AZG85" s="1"/>
      <c r="AZH85" s="1"/>
      <c r="AZI85" s="1"/>
      <c r="AZJ85" s="1"/>
      <c r="AZK85" s="1"/>
      <c r="AZL85" s="1"/>
      <c r="AZM85" s="1"/>
      <c r="AZN85" s="1"/>
      <c r="AZO85" s="1"/>
      <c r="AZP85" s="1"/>
      <c r="AZQ85" s="1"/>
      <c r="AZR85" s="1"/>
      <c r="AZS85" s="1"/>
      <c r="AZT85" s="1"/>
      <c r="AZU85" s="1"/>
      <c r="AZV85" s="1"/>
      <c r="AZW85" s="1"/>
      <c r="AZX85" s="1"/>
      <c r="AZY85" s="1"/>
      <c r="AZZ85" s="1"/>
      <c r="BAA85" s="1"/>
      <c r="BAB85" s="1"/>
      <c r="BAC85" s="1"/>
      <c r="BAD85" s="1"/>
      <c r="BAE85" s="1"/>
      <c r="BAF85" s="1"/>
      <c r="BAG85" s="1"/>
      <c r="BAH85" s="1"/>
      <c r="BAI85" s="1"/>
      <c r="BAJ85" s="1"/>
      <c r="BAK85" s="1"/>
      <c r="BAL85" s="1"/>
      <c r="BAM85" s="1"/>
      <c r="BAN85" s="1"/>
      <c r="BAO85" s="1"/>
      <c r="BAP85" s="1"/>
      <c r="BAQ85" s="1"/>
      <c r="BAR85" s="1"/>
      <c r="BAS85" s="1"/>
      <c r="BAT85" s="1"/>
      <c r="BAU85" s="1"/>
      <c r="BAV85" s="1"/>
      <c r="BAW85" s="1"/>
      <c r="BAX85" s="1"/>
      <c r="BAY85" s="1"/>
      <c r="BAZ85" s="1"/>
      <c r="BBA85" s="1"/>
      <c r="BBB85" s="1"/>
      <c r="BBC85" s="1"/>
      <c r="BBD85" s="1"/>
      <c r="BBE85" s="1"/>
      <c r="BBF85" s="1"/>
      <c r="BBG85" s="1"/>
      <c r="BBH85" s="1"/>
      <c r="BBI85" s="1"/>
      <c r="BBJ85" s="1"/>
      <c r="BBK85" s="1"/>
      <c r="BBL85" s="1"/>
      <c r="BBM85" s="1"/>
      <c r="BBN85" s="1"/>
      <c r="BBO85" s="1"/>
      <c r="BBP85" s="1"/>
      <c r="BBQ85" s="1"/>
      <c r="BBR85" s="1"/>
      <c r="BBS85" s="1"/>
      <c r="BBT85" s="1"/>
      <c r="BBU85" s="1"/>
      <c r="BBV85" s="1"/>
      <c r="BBW85" s="1"/>
      <c r="BBX85" s="1"/>
      <c r="BBY85" s="1"/>
      <c r="BBZ85" s="1"/>
      <c r="BCA85" s="1"/>
      <c r="BCB85" s="1"/>
      <c r="BCC85" s="1"/>
      <c r="BCD85" s="1"/>
      <c r="BCE85" s="1"/>
      <c r="BCF85" s="1"/>
      <c r="BCG85" s="1"/>
      <c r="BCH85" s="1"/>
      <c r="BCI85" s="1"/>
      <c r="BCJ85" s="1"/>
      <c r="BCK85" s="1"/>
      <c r="BCL85" s="1"/>
      <c r="BCM85" s="1"/>
      <c r="BCN85" s="1"/>
      <c r="BCO85" s="1"/>
      <c r="BCP85" s="1"/>
      <c r="BCQ85" s="1"/>
      <c r="BCR85" s="1"/>
      <c r="BCS85" s="1"/>
      <c r="BCT85" s="1"/>
      <c r="BCU85" s="1"/>
      <c r="BCV85" s="1"/>
      <c r="BCW85" s="1"/>
      <c r="BCX85" s="1"/>
      <c r="BCY85" s="1"/>
      <c r="BCZ85" s="1"/>
      <c r="BDA85" s="1"/>
      <c r="BDB85" s="1"/>
      <c r="BDC85" s="1"/>
      <c r="BDD85" s="1"/>
      <c r="BDE85" s="1"/>
      <c r="BDF85" s="1"/>
      <c r="BDG85" s="1"/>
      <c r="BDH85" s="1"/>
      <c r="BDI85" s="1"/>
      <c r="BDJ85" s="1"/>
      <c r="BDK85" s="1"/>
      <c r="BDL85" s="1"/>
      <c r="BDM85" s="1"/>
      <c r="BDN85" s="1"/>
      <c r="BDO85" s="1"/>
      <c r="BDP85" s="1"/>
      <c r="BDQ85" s="1"/>
      <c r="BDR85" s="1"/>
      <c r="BDS85" s="1"/>
      <c r="BDT85" s="1"/>
      <c r="BDU85" s="1"/>
      <c r="BDV85" s="1"/>
      <c r="BDW85" s="1"/>
      <c r="BDX85" s="1"/>
      <c r="BDY85" s="1"/>
      <c r="BDZ85" s="1"/>
      <c r="BEA85" s="1"/>
      <c r="BEB85" s="1"/>
      <c r="BEC85" s="1"/>
      <c r="BED85" s="1"/>
      <c r="BEE85" s="1"/>
      <c r="BEF85" s="1"/>
      <c r="BEG85" s="1"/>
      <c r="BEH85" s="1"/>
      <c r="BEI85" s="1"/>
      <c r="BEJ85" s="1"/>
      <c r="BEK85" s="1"/>
      <c r="BEL85" s="1"/>
      <c r="BEM85" s="1"/>
      <c r="BEN85" s="1"/>
      <c r="BEO85" s="1"/>
      <c r="BEP85" s="1"/>
      <c r="BEQ85" s="1"/>
      <c r="BER85" s="1"/>
      <c r="BES85" s="1"/>
      <c r="BET85" s="1"/>
      <c r="BEU85" s="1"/>
      <c r="BEV85" s="1"/>
      <c r="BEW85" s="1"/>
      <c r="BEX85" s="1"/>
      <c r="BEY85" s="1"/>
      <c r="BEZ85" s="1"/>
      <c r="BFA85" s="1"/>
      <c r="BFB85" s="1"/>
      <c r="BFC85" s="1"/>
      <c r="BFD85" s="1"/>
      <c r="BFE85" s="1"/>
      <c r="BFF85" s="1"/>
      <c r="BFG85" s="1"/>
      <c r="BFH85" s="1"/>
      <c r="BFI85" s="1"/>
      <c r="BFJ85" s="1"/>
      <c r="BFK85" s="1"/>
      <c r="BFL85" s="1"/>
      <c r="BFM85" s="1"/>
      <c r="BFN85" s="1"/>
      <c r="BFO85" s="1"/>
      <c r="BFP85" s="1"/>
      <c r="BFQ85" s="1"/>
      <c r="BFR85" s="1"/>
      <c r="BFS85" s="1"/>
      <c r="BFT85" s="1"/>
      <c r="BFU85" s="1"/>
      <c r="BFV85" s="1"/>
      <c r="BFW85" s="1"/>
      <c r="BFX85" s="1"/>
      <c r="BFY85" s="1"/>
      <c r="BFZ85" s="1"/>
      <c r="BGA85" s="1"/>
      <c r="BGB85" s="1"/>
      <c r="BGC85" s="1"/>
      <c r="BGD85" s="1"/>
      <c r="BGE85" s="1"/>
      <c r="BGF85" s="1"/>
      <c r="BGG85" s="1"/>
      <c r="BGH85" s="1"/>
      <c r="BGI85" s="1"/>
      <c r="BGJ85" s="1"/>
      <c r="BGK85" s="1"/>
      <c r="BGL85" s="1"/>
      <c r="BGM85" s="1"/>
      <c r="BGN85" s="1"/>
      <c r="BGO85" s="1"/>
      <c r="BGP85" s="1"/>
      <c r="BGQ85" s="1"/>
      <c r="BGR85" s="1"/>
      <c r="BGS85" s="1"/>
      <c r="BGT85" s="1"/>
      <c r="BGU85" s="1"/>
      <c r="BGV85" s="1"/>
      <c r="BGW85" s="1"/>
      <c r="BGX85" s="1"/>
      <c r="BGY85" s="1"/>
      <c r="BGZ85" s="1"/>
      <c r="BHA85" s="1"/>
      <c r="BHB85" s="1"/>
      <c r="BHC85" s="1"/>
      <c r="BHD85" s="1"/>
      <c r="BHE85" s="1"/>
      <c r="BHF85" s="1"/>
      <c r="BHG85" s="1"/>
      <c r="BHH85" s="1"/>
      <c r="BHI85" s="1"/>
      <c r="BHJ85" s="1"/>
      <c r="BHK85" s="1"/>
      <c r="BHL85" s="1"/>
      <c r="BHM85" s="1"/>
      <c r="BHN85" s="1"/>
      <c r="BHO85" s="1"/>
      <c r="BHP85" s="1"/>
      <c r="BHQ85" s="1"/>
      <c r="BHR85" s="1"/>
      <c r="BHS85" s="1"/>
      <c r="BHT85" s="1"/>
      <c r="BHU85" s="1"/>
      <c r="BHV85" s="1"/>
      <c r="BHW85" s="1"/>
      <c r="BHX85" s="1"/>
      <c r="BHY85" s="1"/>
      <c r="BHZ85" s="1"/>
      <c r="BIA85" s="1"/>
      <c r="BIB85" s="1"/>
      <c r="BIC85" s="1"/>
      <c r="BID85" s="1"/>
      <c r="BIE85" s="1"/>
      <c r="BIF85" s="1"/>
      <c r="BIG85" s="1"/>
      <c r="BIH85" s="1"/>
      <c r="BII85" s="1"/>
      <c r="BIJ85" s="1"/>
      <c r="BIK85" s="1"/>
      <c r="BIL85" s="1"/>
      <c r="BIM85" s="1"/>
      <c r="BIN85" s="1"/>
      <c r="BIO85" s="1"/>
      <c r="BIP85" s="1"/>
      <c r="BIQ85" s="1"/>
      <c r="BIR85" s="1"/>
      <c r="BIS85" s="1"/>
      <c r="BIT85" s="1"/>
      <c r="BIU85" s="1"/>
      <c r="BIV85" s="1"/>
      <c r="BIW85" s="1"/>
      <c r="BIX85" s="1"/>
      <c r="BIY85" s="1"/>
      <c r="BIZ85" s="1"/>
      <c r="BJA85" s="1"/>
      <c r="BJB85" s="1"/>
      <c r="BJC85" s="1"/>
      <c r="BJD85" s="1"/>
      <c r="BJE85" s="1"/>
      <c r="BJF85" s="1"/>
      <c r="BJG85" s="1"/>
      <c r="BJH85" s="1"/>
      <c r="BJI85" s="1"/>
      <c r="BJJ85" s="1"/>
      <c r="BJK85" s="1"/>
      <c r="BJL85" s="1"/>
      <c r="BJM85" s="1"/>
      <c r="BJN85" s="1"/>
      <c r="BJO85" s="1"/>
      <c r="BJP85" s="1"/>
      <c r="BJQ85" s="1"/>
      <c r="BJR85" s="1"/>
      <c r="BJS85" s="1"/>
      <c r="BJT85" s="1"/>
      <c r="BJU85" s="1"/>
      <c r="BJV85" s="1"/>
      <c r="BJW85" s="1"/>
      <c r="BJX85" s="1"/>
      <c r="BJY85" s="1"/>
      <c r="BJZ85" s="1"/>
      <c r="BKA85" s="1"/>
      <c r="BKB85" s="1"/>
      <c r="BKC85" s="1"/>
      <c r="BKD85" s="1"/>
      <c r="BKE85" s="1"/>
      <c r="BKF85" s="1"/>
      <c r="BKG85" s="1"/>
      <c r="BKH85" s="1"/>
      <c r="BKI85" s="1"/>
      <c r="BKJ85" s="1"/>
      <c r="BKK85" s="1"/>
      <c r="BKL85" s="1"/>
      <c r="BKM85" s="1"/>
      <c r="BKN85" s="1"/>
      <c r="BKO85" s="1"/>
      <c r="BKP85" s="1"/>
      <c r="BKQ85" s="1"/>
      <c r="BKR85" s="1"/>
      <c r="BKS85" s="1"/>
      <c r="BKT85" s="1"/>
      <c r="BKU85" s="1"/>
      <c r="BKV85" s="1"/>
      <c r="BKW85" s="1"/>
      <c r="BKX85" s="1"/>
      <c r="BKY85" s="1"/>
      <c r="BKZ85" s="1"/>
      <c r="BLA85" s="1"/>
      <c r="BLB85" s="1"/>
      <c r="BLC85" s="1"/>
      <c r="BLD85" s="1"/>
      <c r="BLE85" s="1"/>
      <c r="BLF85" s="1"/>
      <c r="BLG85" s="1"/>
      <c r="BLH85" s="1"/>
      <c r="BLI85" s="1"/>
      <c r="BLJ85" s="1"/>
      <c r="BLK85" s="1"/>
      <c r="BLL85" s="1"/>
      <c r="BLM85" s="1"/>
      <c r="BLN85" s="1"/>
      <c r="BLO85" s="1"/>
      <c r="BLP85" s="1"/>
      <c r="BLQ85" s="1"/>
      <c r="BLR85" s="1"/>
      <c r="BLS85" s="1"/>
      <c r="BLT85" s="1"/>
      <c r="BLU85" s="1"/>
      <c r="BLV85" s="1"/>
      <c r="BLW85" s="1"/>
      <c r="BLX85" s="1"/>
      <c r="BLY85" s="1"/>
      <c r="BLZ85" s="1"/>
      <c r="BMA85" s="1"/>
      <c r="BMB85" s="1"/>
      <c r="BMC85" s="1"/>
      <c r="BMD85" s="1"/>
      <c r="BME85" s="1"/>
      <c r="BMF85" s="1"/>
      <c r="BMG85" s="1"/>
      <c r="BMH85" s="1"/>
      <c r="BMI85" s="1"/>
      <c r="BMJ85" s="1"/>
      <c r="BMK85" s="1"/>
      <c r="BML85" s="1"/>
      <c r="BMM85" s="1"/>
      <c r="BMN85" s="1"/>
      <c r="BMO85" s="1"/>
      <c r="BMP85" s="1"/>
      <c r="BMQ85" s="1"/>
      <c r="BMR85" s="1"/>
      <c r="BMS85" s="1"/>
      <c r="BMT85" s="1"/>
      <c r="BMU85" s="1"/>
      <c r="BMV85" s="1"/>
      <c r="BMW85" s="1"/>
      <c r="BMX85" s="1"/>
      <c r="BMY85" s="1"/>
      <c r="BMZ85" s="1"/>
      <c r="BNA85" s="1"/>
      <c r="BNB85" s="1"/>
      <c r="BNC85" s="1"/>
      <c r="BND85" s="1"/>
      <c r="BNE85" s="1"/>
      <c r="BNF85" s="1"/>
      <c r="BNG85" s="1"/>
      <c r="BNH85" s="1"/>
      <c r="BNI85" s="1"/>
      <c r="BNJ85" s="1"/>
      <c r="BNK85" s="1"/>
      <c r="BNL85" s="1"/>
      <c r="BNM85" s="1"/>
      <c r="BNN85" s="1"/>
      <c r="BNO85" s="1"/>
      <c r="BNP85" s="1"/>
      <c r="BNQ85" s="1"/>
      <c r="BNR85" s="1"/>
      <c r="BNS85" s="1"/>
      <c r="BNT85" s="1"/>
      <c r="BNU85" s="1"/>
      <c r="BNV85" s="1"/>
      <c r="BNW85" s="1"/>
      <c r="BNX85" s="1"/>
      <c r="BNY85" s="1"/>
      <c r="BNZ85" s="1"/>
      <c r="BOA85" s="1"/>
      <c r="BOB85" s="1"/>
      <c r="BOC85" s="1"/>
      <c r="BOD85" s="1"/>
      <c r="BOE85" s="1"/>
      <c r="BOF85" s="1"/>
      <c r="BOG85" s="1"/>
      <c r="BOH85" s="1"/>
      <c r="BOI85" s="1"/>
      <c r="BOJ85" s="1"/>
      <c r="BOK85" s="1"/>
      <c r="BOL85" s="1"/>
      <c r="BOM85" s="1"/>
      <c r="BON85" s="1"/>
      <c r="BOO85" s="1"/>
      <c r="BOP85" s="1"/>
      <c r="BOQ85" s="1"/>
      <c r="BOR85" s="1"/>
      <c r="BOS85" s="1"/>
      <c r="BOT85" s="1"/>
      <c r="BOU85" s="1"/>
      <c r="BOV85" s="1"/>
      <c r="BOW85" s="1"/>
      <c r="BOX85" s="1"/>
      <c r="BOY85" s="1"/>
      <c r="BOZ85" s="1"/>
      <c r="BPA85" s="1"/>
      <c r="BPB85" s="1"/>
      <c r="BPC85" s="1"/>
      <c r="BPD85" s="1"/>
      <c r="BPE85" s="1"/>
      <c r="BPF85" s="1"/>
      <c r="BPG85" s="1"/>
      <c r="BPH85" s="1"/>
      <c r="BPI85" s="1"/>
      <c r="BPJ85" s="1"/>
      <c r="BPK85" s="1"/>
      <c r="BPL85" s="1"/>
      <c r="BPM85" s="1"/>
      <c r="BPN85" s="1"/>
      <c r="BPO85" s="1"/>
      <c r="BPP85" s="1"/>
      <c r="BPQ85" s="1"/>
      <c r="BPR85" s="1"/>
      <c r="BPS85" s="1"/>
      <c r="BPT85" s="1"/>
      <c r="BPU85" s="1"/>
      <c r="BPV85" s="1"/>
      <c r="BPW85" s="1"/>
      <c r="BPX85" s="1"/>
      <c r="BPY85" s="1"/>
      <c r="BPZ85" s="1"/>
      <c r="BQA85" s="1"/>
      <c r="BQB85" s="1"/>
      <c r="BQC85" s="1"/>
      <c r="BQD85" s="1"/>
      <c r="BQE85" s="1"/>
      <c r="BQF85" s="1"/>
      <c r="BQG85" s="1"/>
      <c r="BQH85" s="1"/>
      <c r="BQI85" s="1"/>
      <c r="BQJ85" s="1"/>
      <c r="BQK85" s="1"/>
      <c r="BQL85" s="1"/>
      <c r="BQM85" s="1"/>
      <c r="BQN85" s="1"/>
      <c r="BQO85" s="1"/>
      <c r="BQP85" s="1"/>
      <c r="BQQ85" s="1"/>
      <c r="BQR85" s="1"/>
      <c r="BQS85" s="1"/>
      <c r="BQT85" s="1"/>
      <c r="BQU85" s="1"/>
      <c r="BQV85" s="1"/>
      <c r="BQW85" s="1"/>
      <c r="BQX85" s="1"/>
      <c r="BQY85" s="1"/>
      <c r="BQZ85" s="1"/>
      <c r="BRA85" s="1"/>
      <c r="BRB85" s="1"/>
      <c r="BRC85" s="1"/>
      <c r="BRD85" s="1"/>
      <c r="BRE85" s="1"/>
      <c r="BRF85" s="1"/>
      <c r="BRG85" s="1"/>
      <c r="BRH85" s="1"/>
      <c r="BRI85" s="1"/>
      <c r="BRJ85" s="1"/>
      <c r="BRK85" s="1"/>
      <c r="BRL85" s="1"/>
      <c r="BRM85" s="1"/>
      <c r="BRN85" s="1"/>
      <c r="BRO85" s="1"/>
      <c r="BRP85" s="1"/>
      <c r="BRQ85" s="1"/>
      <c r="BRR85" s="1"/>
      <c r="BRS85" s="1"/>
      <c r="BRT85" s="1"/>
      <c r="BRU85" s="1"/>
      <c r="BRV85" s="1"/>
      <c r="BRW85" s="1"/>
      <c r="BRX85" s="1"/>
      <c r="BRY85" s="1"/>
      <c r="BRZ85" s="1"/>
      <c r="BSA85" s="1"/>
      <c r="BSB85" s="1"/>
      <c r="BSC85" s="1"/>
      <c r="BSD85" s="1"/>
      <c r="BSE85" s="1"/>
      <c r="BSF85" s="1"/>
      <c r="BSG85" s="1"/>
      <c r="BSH85" s="1"/>
      <c r="BSI85" s="1"/>
      <c r="BSJ85" s="1"/>
      <c r="BSK85" s="1"/>
      <c r="BSL85" s="1"/>
      <c r="BSM85" s="1"/>
      <c r="BSN85" s="1"/>
      <c r="BSO85" s="1"/>
      <c r="BSP85" s="1"/>
      <c r="BSQ85" s="1"/>
      <c r="BSR85" s="1"/>
      <c r="BSS85" s="1"/>
      <c r="BST85" s="1"/>
      <c r="BSU85" s="1"/>
      <c r="BSV85" s="1"/>
      <c r="BSW85" s="1"/>
      <c r="BSX85" s="1"/>
      <c r="BSY85" s="1"/>
      <c r="BSZ85" s="1"/>
      <c r="BTA85" s="1"/>
      <c r="BTB85" s="1"/>
      <c r="BTC85" s="1"/>
      <c r="BTD85" s="1"/>
      <c r="BTE85" s="1"/>
      <c r="BTF85" s="1"/>
      <c r="BTG85" s="1"/>
      <c r="BTH85" s="1"/>
      <c r="BTI85" s="1"/>
      <c r="BTJ85" s="1"/>
      <c r="BTK85" s="1"/>
      <c r="BTL85" s="1"/>
      <c r="BTM85" s="1"/>
      <c r="BTN85" s="1"/>
      <c r="BTO85" s="1"/>
      <c r="BTP85" s="1"/>
      <c r="BTQ85" s="1"/>
      <c r="BTR85" s="1"/>
      <c r="BTS85" s="1"/>
      <c r="BTT85" s="1"/>
      <c r="BTU85" s="1"/>
      <c r="BTV85" s="1"/>
      <c r="BTW85" s="1"/>
      <c r="BTX85" s="1"/>
      <c r="BTY85" s="1"/>
      <c r="BTZ85" s="1"/>
      <c r="BUA85" s="1"/>
      <c r="BUB85" s="1"/>
      <c r="BUC85" s="1"/>
      <c r="BUD85" s="1"/>
      <c r="BUE85" s="1"/>
      <c r="BUF85" s="1"/>
      <c r="BUG85" s="1"/>
      <c r="BUH85" s="1"/>
      <c r="BUI85" s="1"/>
      <c r="BUJ85" s="1"/>
      <c r="BUK85" s="1"/>
      <c r="BUL85" s="1"/>
      <c r="BUM85" s="1"/>
      <c r="BUN85" s="1"/>
      <c r="BUO85" s="1"/>
      <c r="BUP85" s="1"/>
      <c r="BUQ85" s="1"/>
      <c r="BUR85" s="1"/>
      <c r="BUS85" s="1"/>
      <c r="BUT85" s="1"/>
      <c r="BUU85" s="1"/>
      <c r="BUV85" s="1"/>
      <c r="BUW85" s="1"/>
      <c r="BUX85" s="1"/>
      <c r="BUY85" s="1"/>
      <c r="BUZ85" s="1"/>
      <c r="BVA85" s="1"/>
      <c r="BVB85" s="1"/>
      <c r="BVC85" s="1"/>
      <c r="BVD85" s="1"/>
      <c r="BVE85" s="1"/>
      <c r="BVF85" s="1"/>
      <c r="BVG85" s="1"/>
      <c r="BVH85" s="1"/>
      <c r="BVI85" s="1"/>
      <c r="BVJ85" s="1"/>
      <c r="BVK85" s="1"/>
      <c r="BVL85" s="1"/>
      <c r="BVM85" s="1"/>
      <c r="BVN85" s="1"/>
      <c r="BVO85" s="1"/>
      <c r="BVP85" s="1"/>
      <c r="BVQ85" s="1"/>
      <c r="BVR85" s="1"/>
      <c r="BVS85" s="1"/>
      <c r="BVT85" s="1"/>
      <c r="BVU85" s="1"/>
      <c r="BVV85" s="1"/>
      <c r="BVW85" s="1"/>
      <c r="BVX85" s="1"/>
      <c r="BVY85" s="1"/>
      <c r="BVZ85" s="1"/>
      <c r="BWA85" s="1"/>
      <c r="BWB85" s="1"/>
      <c r="BWC85" s="1"/>
      <c r="BWD85" s="1"/>
      <c r="BWE85" s="1"/>
      <c r="BWF85" s="1"/>
      <c r="BWG85" s="1"/>
      <c r="BWH85" s="1"/>
      <c r="BWI85" s="1"/>
      <c r="BWJ85" s="1"/>
      <c r="BWK85" s="1"/>
      <c r="BWL85" s="1"/>
      <c r="BWM85" s="1"/>
      <c r="BWN85" s="1"/>
      <c r="BWO85" s="1"/>
      <c r="BWP85" s="1"/>
      <c r="BWQ85" s="1"/>
      <c r="BWR85" s="1"/>
      <c r="BWS85" s="1"/>
      <c r="BWT85" s="1"/>
      <c r="BWU85" s="1"/>
      <c r="BWV85" s="1"/>
      <c r="BWW85" s="1"/>
      <c r="BWX85" s="1"/>
      <c r="BWY85" s="1"/>
      <c r="BWZ85" s="1"/>
      <c r="BXA85" s="1"/>
      <c r="BXB85" s="1"/>
      <c r="BXC85" s="1"/>
      <c r="BXD85" s="1"/>
      <c r="BXE85" s="1"/>
      <c r="BXF85" s="1"/>
      <c r="BXG85" s="1"/>
      <c r="BXH85" s="1"/>
      <c r="BXI85" s="1"/>
      <c r="BXJ85" s="1"/>
      <c r="BXK85" s="1"/>
      <c r="BXL85" s="1"/>
      <c r="BXM85" s="1"/>
      <c r="BXN85" s="1"/>
      <c r="BXO85" s="1"/>
      <c r="BXP85" s="1"/>
      <c r="BXQ85" s="1"/>
      <c r="BXR85" s="1"/>
      <c r="BXS85" s="1"/>
      <c r="BXT85" s="1"/>
      <c r="BXU85" s="1"/>
      <c r="BXV85" s="1"/>
      <c r="BXW85" s="1"/>
      <c r="BXX85" s="1"/>
      <c r="BXY85" s="1"/>
      <c r="BXZ85" s="1"/>
      <c r="BYA85" s="1"/>
      <c r="BYB85" s="1"/>
      <c r="BYC85" s="1"/>
      <c r="BYD85" s="1"/>
      <c r="BYE85" s="1"/>
      <c r="BYF85" s="1"/>
      <c r="BYG85" s="1"/>
      <c r="BYH85" s="1"/>
      <c r="BYI85" s="1"/>
      <c r="BYJ85" s="1"/>
      <c r="BYK85" s="1"/>
      <c r="BYL85" s="1"/>
      <c r="BYM85" s="1"/>
      <c r="BYN85" s="1"/>
      <c r="BYO85" s="1"/>
      <c r="BYP85" s="1"/>
      <c r="BYQ85" s="1"/>
      <c r="BYR85" s="1"/>
      <c r="BYS85" s="1"/>
      <c r="BYT85" s="1"/>
      <c r="BYU85" s="1"/>
      <c r="BYV85" s="1"/>
      <c r="BYW85" s="1"/>
      <c r="BYX85" s="1"/>
      <c r="BYY85" s="1"/>
      <c r="BYZ85" s="1"/>
      <c r="BZA85" s="1"/>
      <c r="BZB85" s="1"/>
      <c r="BZC85" s="1"/>
      <c r="BZD85" s="1"/>
      <c r="BZE85" s="1"/>
      <c r="BZF85" s="1"/>
      <c r="BZG85" s="1"/>
      <c r="BZH85" s="1"/>
      <c r="BZI85" s="1"/>
      <c r="BZJ85" s="1"/>
      <c r="BZK85" s="1"/>
      <c r="BZL85" s="1"/>
      <c r="BZM85" s="1"/>
      <c r="BZN85" s="1"/>
      <c r="BZO85" s="1"/>
      <c r="BZP85" s="1"/>
      <c r="BZQ85" s="1"/>
      <c r="BZR85" s="1"/>
      <c r="BZS85" s="1"/>
      <c r="BZT85" s="1"/>
      <c r="BZU85" s="1"/>
      <c r="BZV85" s="1"/>
      <c r="BZW85" s="1"/>
      <c r="BZX85" s="1"/>
      <c r="BZY85" s="1"/>
      <c r="BZZ85" s="1"/>
      <c r="CAA85" s="1"/>
      <c r="CAB85" s="1"/>
      <c r="CAC85" s="1"/>
      <c r="CAD85" s="1"/>
      <c r="CAE85" s="1"/>
      <c r="CAF85" s="1"/>
      <c r="CAG85" s="1"/>
      <c r="CAH85" s="1"/>
      <c r="CAI85" s="1"/>
      <c r="CAJ85" s="1"/>
      <c r="CAK85" s="1"/>
      <c r="CAL85" s="1"/>
      <c r="CAM85" s="1"/>
      <c r="CAN85" s="1"/>
      <c r="CAO85" s="1"/>
      <c r="CAP85" s="1"/>
      <c r="CAQ85" s="1"/>
      <c r="CAR85" s="1"/>
      <c r="CAS85" s="1"/>
      <c r="CAT85" s="1"/>
      <c r="CAU85" s="1"/>
      <c r="CAV85" s="1"/>
      <c r="CAW85" s="1"/>
      <c r="CAX85" s="1"/>
      <c r="CAY85" s="1"/>
      <c r="CAZ85" s="1"/>
      <c r="CBA85" s="1"/>
      <c r="CBB85" s="1"/>
      <c r="CBC85" s="1"/>
      <c r="CBD85" s="1"/>
      <c r="CBE85" s="1"/>
      <c r="CBF85" s="1"/>
      <c r="CBG85" s="1"/>
      <c r="CBH85" s="1"/>
      <c r="CBI85" s="1"/>
      <c r="CBJ85" s="1"/>
      <c r="CBK85" s="1"/>
      <c r="CBL85" s="1"/>
      <c r="CBM85" s="1"/>
      <c r="CBN85" s="1"/>
      <c r="CBO85" s="1"/>
      <c r="CBP85" s="1"/>
      <c r="CBQ85" s="1"/>
      <c r="CBR85" s="1"/>
      <c r="CBS85" s="1"/>
      <c r="CBT85" s="1"/>
      <c r="CBU85" s="1"/>
      <c r="CBV85" s="1"/>
      <c r="CBW85" s="1"/>
      <c r="CBX85" s="1"/>
      <c r="CBY85" s="1"/>
      <c r="CBZ85" s="1"/>
      <c r="CCA85" s="1"/>
      <c r="CCB85" s="1"/>
      <c r="CCC85" s="1"/>
      <c r="CCD85" s="1"/>
      <c r="CCE85" s="1"/>
      <c r="CCF85" s="1"/>
      <c r="CCG85" s="1"/>
      <c r="CCH85" s="1"/>
      <c r="CCI85" s="1"/>
      <c r="CCJ85" s="1"/>
      <c r="CCK85" s="1"/>
      <c r="CCL85" s="1"/>
      <c r="CCM85" s="1"/>
      <c r="CCN85" s="1"/>
      <c r="CCO85" s="1"/>
      <c r="CCP85" s="1"/>
      <c r="CCQ85" s="1"/>
      <c r="CCR85" s="1"/>
      <c r="CCS85" s="1"/>
      <c r="CCT85" s="1"/>
      <c r="CCU85" s="1"/>
      <c r="CCV85" s="1"/>
      <c r="CCW85" s="1"/>
      <c r="CCX85" s="1"/>
      <c r="CCY85" s="1"/>
      <c r="CCZ85" s="1"/>
      <c r="CDA85" s="1"/>
      <c r="CDB85" s="1"/>
      <c r="CDC85" s="1"/>
      <c r="CDD85" s="1"/>
      <c r="CDE85" s="1"/>
      <c r="CDF85" s="1"/>
      <c r="CDG85" s="1"/>
      <c r="CDH85" s="1"/>
      <c r="CDI85" s="1"/>
      <c r="CDJ85" s="1"/>
      <c r="CDK85" s="1"/>
      <c r="CDL85" s="1"/>
      <c r="CDM85" s="1"/>
      <c r="CDN85" s="1"/>
      <c r="CDO85" s="1"/>
      <c r="CDP85" s="1"/>
      <c r="CDQ85" s="1"/>
      <c r="CDR85" s="1"/>
      <c r="CDS85" s="1"/>
      <c r="CDT85" s="1"/>
      <c r="CDU85" s="1"/>
      <c r="CDV85" s="1"/>
      <c r="CDW85" s="1"/>
      <c r="CDX85" s="1"/>
      <c r="CDY85" s="1"/>
      <c r="CDZ85" s="1"/>
      <c r="CEA85" s="1"/>
      <c r="CEB85" s="1"/>
      <c r="CEC85" s="1"/>
      <c r="CED85" s="1"/>
      <c r="CEE85" s="1"/>
      <c r="CEF85" s="1"/>
      <c r="CEG85" s="1"/>
      <c r="CEH85" s="1"/>
      <c r="CEI85" s="1"/>
      <c r="CEJ85" s="1"/>
      <c r="CEK85" s="1"/>
      <c r="CEL85" s="1"/>
      <c r="CEM85" s="1"/>
      <c r="CEN85" s="1"/>
      <c r="CEO85" s="1"/>
      <c r="CEP85" s="1"/>
      <c r="CEQ85" s="1"/>
      <c r="CER85" s="1"/>
      <c r="CES85" s="1"/>
      <c r="CET85" s="1"/>
      <c r="CEU85" s="1"/>
      <c r="CEV85" s="1"/>
      <c r="CEW85" s="1"/>
      <c r="CEX85" s="1"/>
      <c r="CEY85" s="1"/>
      <c r="CEZ85" s="1"/>
      <c r="CFA85" s="1"/>
      <c r="CFB85" s="1"/>
      <c r="CFC85" s="1"/>
      <c r="CFD85" s="1"/>
      <c r="CFE85" s="1"/>
      <c r="CFF85" s="1"/>
      <c r="CFG85" s="1"/>
      <c r="CFH85" s="1"/>
      <c r="CFI85" s="1"/>
      <c r="CFJ85" s="1"/>
      <c r="CFK85" s="1"/>
      <c r="CFL85" s="1"/>
      <c r="CFM85" s="1"/>
      <c r="CFN85" s="1"/>
      <c r="CFO85" s="1"/>
      <c r="CFP85" s="1"/>
      <c r="CFQ85" s="1"/>
      <c r="CFR85" s="1"/>
      <c r="CFS85" s="1"/>
      <c r="CFT85" s="1"/>
      <c r="CFU85" s="1"/>
      <c r="CFV85" s="1"/>
      <c r="CFW85" s="1"/>
      <c r="CFX85" s="1"/>
      <c r="CFY85" s="1"/>
      <c r="CFZ85" s="1"/>
      <c r="CGA85" s="1"/>
      <c r="CGB85" s="1"/>
      <c r="CGC85" s="1"/>
      <c r="CGD85" s="1"/>
      <c r="CGE85" s="1"/>
      <c r="CGF85" s="1"/>
      <c r="CGG85" s="1"/>
      <c r="CGH85" s="1"/>
      <c r="CGI85" s="1"/>
      <c r="CGJ85" s="1"/>
      <c r="CGK85" s="1"/>
      <c r="CGL85" s="1"/>
      <c r="CGM85" s="1"/>
      <c r="CGN85" s="1"/>
      <c r="CGO85" s="1"/>
      <c r="CGP85" s="1"/>
      <c r="CGQ85" s="1"/>
      <c r="CGR85" s="1"/>
      <c r="CGS85" s="1"/>
      <c r="CGT85" s="1"/>
      <c r="CGU85" s="1"/>
      <c r="CGV85" s="1"/>
      <c r="CGW85" s="1"/>
      <c r="CGX85" s="1"/>
      <c r="CGY85" s="1"/>
      <c r="CGZ85" s="1"/>
      <c r="CHA85" s="1"/>
      <c r="CHB85" s="1"/>
      <c r="CHC85" s="1"/>
      <c r="CHD85" s="1"/>
      <c r="CHE85" s="1"/>
      <c r="CHF85" s="1"/>
      <c r="CHG85" s="1"/>
      <c r="CHH85" s="1"/>
      <c r="CHI85" s="1"/>
      <c r="CHJ85" s="1"/>
      <c r="CHK85" s="1"/>
      <c r="CHL85" s="1"/>
      <c r="CHM85" s="1"/>
      <c r="CHN85" s="1"/>
      <c r="CHO85" s="1"/>
      <c r="CHP85" s="1"/>
      <c r="CHQ85" s="1"/>
      <c r="CHR85" s="1"/>
      <c r="CHS85" s="1"/>
      <c r="CHT85" s="1"/>
      <c r="CHU85" s="1"/>
      <c r="CHV85" s="1"/>
      <c r="CHW85" s="1"/>
      <c r="CHX85" s="1"/>
      <c r="CHY85" s="1"/>
      <c r="CHZ85" s="1"/>
      <c r="CIA85" s="1"/>
      <c r="CIB85" s="1"/>
      <c r="CIC85" s="1"/>
      <c r="CID85" s="1"/>
      <c r="CIE85" s="1"/>
      <c r="CIF85" s="1"/>
      <c r="CIG85" s="1"/>
      <c r="CIH85" s="1"/>
      <c r="CII85" s="1"/>
      <c r="CIJ85" s="1"/>
      <c r="CIK85" s="1"/>
      <c r="CIL85" s="1"/>
      <c r="CIM85" s="1"/>
      <c r="CIN85" s="1"/>
      <c r="CIO85" s="1"/>
      <c r="CIP85" s="1"/>
      <c r="CIQ85" s="1"/>
      <c r="CIR85" s="1"/>
      <c r="CIS85" s="1"/>
      <c r="CIT85" s="1"/>
      <c r="CIU85" s="1"/>
      <c r="CIV85" s="1"/>
      <c r="CIW85" s="1"/>
      <c r="CIX85" s="1"/>
      <c r="CIY85" s="1"/>
      <c r="CIZ85" s="1"/>
      <c r="CJA85" s="1"/>
      <c r="CJB85" s="1"/>
      <c r="CJC85" s="1"/>
      <c r="CJD85" s="1"/>
      <c r="CJE85" s="1"/>
      <c r="CJF85" s="1"/>
      <c r="CJG85" s="1"/>
      <c r="CJH85" s="1"/>
      <c r="CJI85" s="1"/>
      <c r="CJJ85" s="1"/>
      <c r="CJK85" s="1"/>
      <c r="CJL85" s="1"/>
      <c r="CJM85" s="1"/>
      <c r="CJN85" s="1"/>
      <c r="CJO85" s="1"/>
      <c r="CJP85" s="1"/>
      <c r="CJQ85" s="1"/>
      <c r="CJR85" s="1"/>
      <c r="CJS85" s="1"/>
      <c r="CJT85" s="1"/>
      <c r="CJU85" s="1"/>
      <c r="CJV85" s="1"/>
      <c r="CJW85" s="1"/>
      <c r="CJX85" s="1"/>
      <c r="CJY85" s="1"/>
      <c r="CJZ85" s="1"/>
      <c r="CKA85" s="1"/>
      <c r="CKB85" s="1"/>
      <c r="CKC85" s="1"/>
      <c r="CKD85" s="1"/>
      <c r="CKE85" s="1"/>
      <c r="CKF85" s="1"/>
      <c r="CKG85" s="1"/>
      <c r="CKH85" s="1"/>
      <c r="CKI85" s="1"/>
      <c r="CKJ85" s="1"/>
      <c r="CKK85" s="1"/>
      <c r="CKL85" s="1"/>
      <c r="CKM85" s="1"/>
      <c r="CKN85" s="1"/>
      <c r="CKO85" s="1"/>
      <c r="CKP85" s="1"/>
      <c r="CKQ85" s="1"/>
      <c r="CKR85" s="1"/>
      <c r="CKS85" s="1"/>
      <c r="CKT85" s="1"/>
      <c r="CKU85" s="1"/>
      <c r="CKV85" s="1"/>
      <c r="CKW85" s="1"/>
      <c r="CKX85" s="1"/>
      <c r="CKY85" s="1"/>
      <c r="CKZ85" s="1"/>
      <c r="CLA85" s="1"/>
      <c r="CLB85" s="1"/>
      <c r="CLC85" s="1"/>
      <c r="CLD85" s="1"/>
      <c r="CLE85" s="1"/>
      <c r="CLF85" s="1"/>
      <c r="CLG85" s="1"/>
      <c r="CLH85" s="1"/>
      <c r="CLI85" s="1"/>
      <c r="CLJ85" s="1"/>
      <c r="CLK85" s="1"/>
      <c r="CLL85" s="1"/>
      <c r="CLM85" s="1"/>
      <c r="CLN85" s="1"/>
      <c r="CLO85" s="1"/>
      <c r="CLP85" s="1"/>
      <c r="CLQ85" s="1"/>
      <c r="CLR85" s="1"/>
      <c r="CLS85" s="1"/>
      <c r="CLT85" s="1"/>
      <c r="CLU85" s="1"/>
      <c r="CLV85" s="1"/>
      <c r="CLW85" s="1"/>
      <c r="CLX85" s="1"/>
      <c r="CLY85" s="1"/>
      <c r="CLZ85" s="1"/>
      <c r="CMA85" s="1"/>
      <c r="CMB85" s="1"/>
      <c r="CMC85" s="1"/>
      <c r="CMD85" s="1"/>
      <c r="CME85" s="1"/>
      <c r="CMF85" s="1"/>
      <c r="CMG85" s="1"/>
      <c r="CMH85" s="1"/>
      <c r="CMI85" s="1"/>
      <c r="CMJ85" s="1"/>
      <c r="CMK85" s="1"/>
      <c r="CML85" s="1"/>
      <c r="CMM85" s="1"/>
      <c r="CMN85" s="1"/>
      <c r="CMO85" s="1"/>
      <c r="CMP85" s="1"/>
      <c r="CMQ85" s="1"/>
      <c r="CMR85" s="1"/>
      <c r="CMS85" s="1"/>
      <c r="CMT85" s="1"/>
      <c r="CMU85" s="1"/>
      <c r="CMV85" s="1"/>
      <c r="CMW85" s="1"/>
      <c r="CMX85" s="1"/>
      <c r="CMY85" s="1"/>
      <c r="CMZ85" s="1"/>
      <c r="CNA85" s="1"/>
      <c r="CNB85" s="1"/>
      <c r="CNC85" s="1"/>
      <c r="CND85" s="1"/>
      <c r="CNE85" s="1"/>
      <c r="CNF85" s="1"/>
      <c r="CNG85" s="1"/>
      <c r="CNH85" s="1"/>
      <c r="CNI85" s="1"/>
      <c r="CNJ85" s="1"/>
      <c r="CNK85" s="1"/>
      <c r="CNL85" s="1"/>
      <c r="CNM85" s="1"/>
      <c r="CNN85" s="1"/>
      <c r="CNO85" s="1"/>
      <c r="CNP85" s="1"/>
      <c r="CNQ85" s="1"/>
      <c r="CNR85" s="1"/>
      <c r="CNS85" s="1"/>
      <c r="CNT85" s="1"/>
      <c r="CNU85" s="1"/>
      <c r="CNV85" s="1"/>
      <c r="CNW85" s="1"/>
      <c r="CNX85" s="1"/>
      <c r="CNY85" s="1"/>
      <c r="CNZ85" s="1"/>
      <c r="COA85" s="1"/>
      <c r="COB85" s="1"/>
      <c r="COC85" s="1"/>
      <c r="COD85" s="1"/>
      <c r="COE85" s="1"/>
      <c r="COF85" s="1"/>
      <c r="COG85" s="1"/>
      <c r="COH85" s="1"/>
      <c r="COI85" s="1"/>
      <c r="COJ85" s="1"/>
      <c r="COK85" s="1"/>
      <c r="COL85" s="1"/>
      <c r="COM85" s="1"/>
      <c r="CON85" s="1"/>
      <c r="COO85" s="1"/>
      <c r="COP85" s="1"/>
      <c r="COQ85" s="1"/>
      <c r="COR85" s="1"/>
      <c r="COS85" s="1"/>
      <c r="COT85" s="1"/>
      <c r="COU85" s="1"/>
      <c r="COV85" s="1"/>
      <c r="COW85" s="1"/>
      <c r="COX85" s="1"/>
      <c r="COY85" s="1"/>
      <c r="COZ85" s="1"/>
      <c r="CPA85" s="1"/>
      <c r="CPB85" s="1"/>
      <c r="CPC85" s="1"/>
      <c r="CPD85" s="1"/>
      <c r="CPE85" s="1"/>
      <c r="CPF85" s="1"/>
      <c r="CPG85" s="1"/>
      <c r="CPH85" s="1"/>
      <c r="CPI85" s="1"/>
      <c r="CPJ85" s="1"/>
      <c r="CPK85" s="1"/>
      <c r="CPL85" s="1"/>
      <c r="CPM85" s="1"/>
      <c r="CPN85" s="1"/>
      <c r="CPO85" s="1"/>
      <c r="CPP85" s="1"/>
      <c r="CPQ85" s="1"/>
      <c r="CPR85" s="1"/>
      <c r="CPS85" s="1"/>
      <c r="CPT85" s="1"/>
      <c r="CPU85" s="1"/>
      <c r="CPV85" s="1"/>
      <c r="CPW85" s="1"/>
      <c r="CPX85" s="1"/>
      <c r="CPY85" s="1"/>
      <c r="CPZ85" s="1"/>
      <c r="CQA85" s="1"/>
      <c r="CQB85" s="1"/>
      <c r="CQC85" s="1"/>
      <c r="CQD85" s="1"/>
      <c r="CQE85" s="1"/>
      <c r="CQF85" s="1"/>
      <c r="CQG85" s="1"/>
      <c r="CQH85" s="1"/>
      <c r="CQI85" s="1"/>
      <c r="CQJ85" s="1"/>
      <c r="CQK85" s="1"/>
      <c r="CQL85" s="1"/>
      <c r="CQM85" s="1"/>
      <c r="CQN85" s="1"/>
      <c r="CQO85" s="1"/>
      <c r="CQP85" s="1"/>
      <c r="CQQ85" s="1"/>
      <c r="CQR85" s="1"/>
      <c r="CQS85" s="1"/>
      <c r="CQT85" s="1"/>
      <c r="CQU85" s="1"/>
      <c r="CQV85" s="1"/>
      <c r="CQW85" s="1"/>
      <c r="CQX85" s="1"/>
      <c r="CQY85" s="1"/>
      <c r="CQZ85" s="1"/>
      <c r="CRA85" s="1"/>
      <c r="CRB85" s="1"/>
      <c r="CRC85" s="1"/>
      <c r="CRD85" s="1"/>
      <c r="CRE85" s="1"/>
      <c r="CRF85" s="1"/>
      <c r="CRG85" s="1"/>
      <c r="CRH85" s="1"/>
      <c r="CRI85" s="1"/>
      <c r="CRJ85" s="1"/>
      <c r="CRK85" s="1"/>
      <c r="CRL85" s="1"/>
      <c r="CRM85" s="1"/>
      <c r="CRN85" s="1"/>
      <c r="CRO85" s="1"/>
      <c r="CRP85" s="1"/>
      <c r="CRQ85" s="1"/>
      <c r="CRR85" s="1"/>
      <c r="CRS85" s="1"/>
      <c r="CRT85" s="1"/>
      <c r="CRU85" s="1"/>
      <c r="CRV85" s="1"/>
      <c r="CRW85" s="1"/>
      <c r="CRX85" s="1"/>
      <c r="CRY85" s="1"/>
      <c r="CRZ85" s="1"/>
      <c r="CSA85" s="1"/>
      <c r="CSB85" s="1"/>
      <c r="CSC85" s="1"/>
      <c r="CSD85" s="1"/>
      <c r="CSE85" s="1"/>
      <c r="CSF85" s="1"/>
      <c r="CSG85" s="1"/>
      <c r="CSH85" s="1"/>
      <c r="CSI85" s="1"/>
      <c r="CSJ85" s="1"/>
      <c r="CSK85" s="1"/>
      <c r="CSL85" s="1"/>
      <c r="CSM85" s="1"/>
      <c r="CSN85" s="1"/>
      <c r="CSO85" s="1"/>
      <c r="CSP85" s="1"/>
      <c r="CSQ85" s="1"/>
      <c r="CSR85" s="1"/>
      <c r="CSS85" s="1"/>
      <c r="CST85" s="1"/>
      <c r="CSU85" s="1"/>
      <c r="CSV85" s="1"/>
      <c r="CSW85" s="1"/>
      <c r="CSX85" s="1"/>
      <c r="CSY85" s="1"/>
      <c r="CSZ85" s="1"/>
      <c r="CTA85" s="1"/>
      <c r="CTB85" s="1"/>
      <c r="CTC85" s="1"/>
      <c r="CTD85" s="1"/>
      <c r="CTE85" s="1"/>
      <c r="CTF85" s="1"/>
      <c r="CTG85" s="1"/>
      <c r="CTH85" s="1"/>
      <c r="CTI85" s="1"/>
      <c r="CTJ85" s="1"/>
      <c r="CTK85" s="1"/>
      <c r="CTL85" s="1"/>
      <c r="CTM85" s="1"/>
      <c r="CTN85" s="1"/>
      <c r="CTO85" s="1"/>
      <c r="CTP85" s="1"/>
      <c r="CTQ85" s="1"/>
      <c r="CTR85" s="1"/>
      <c r="CTS85" s="1"/>
      <c r="CTT85" s="1"/>
      <c r="CTU85" s="1"/>
      <c r="CTV85" s="1"/>
      <c r="CTW85" s="1"/>
      <c r="CTX85" s="1"/>
      <c r="CTY85" s="1"/>
      <c r="CTZ85" s="1"/>
      <c r="CUA85" s="1"/>
      <c r="CUB85" s="1"/>
      <c r="CUC85" s="1"/>
      <c r="CUD85" s="1"/>
      <c r="CUE85" s="1"/>
      <c r="CUF85" s="1"/>
      <c r="CUG85" s="1"/>
      <c r="CUH85" s="1"/>
      <c r="CUI85" s="1"/>
      <c r="CUJ85" s="1"/>
      <c r="CUK85" s="1"/>
      <c r="CUL85" s="1"/>
      <c r="CUM85" s="1"/>
      <c r="CUN85" s="1"/>
      <c r="CUO85" s="1"/>
      <c r="CUP85" s="1"/>
      <c r="CUQ85" s="1"/>
      <c r="CUR85" s="1"/>
      <c r="CUS85" s="1"/>
      <c r="CUT85" s="1"/>
      <c r="CUU85" s="1"/>
      <c r="CUV85" s="1"/>
      <c r="CUW85" s="1"/>
      <c r="CUX85" s="1"/>
      <c r="CUY85" s="1"/>
      <c r="CUZ85" s="1"/>
      <c r="CVA85" s="1"/>
      <c r="CVB85" s="1"/>
      <c r="CVC85" s="1"/>
      <c r="CVD85" s="1"/>
      <c r="CVE85" s="1"/>
      <c r="CVF85" s="1"/>
      <c r="CVG85" s="1"/>
      <c r="CVH85" s="1"/>
      <c r="CVI85" s="1"/>
      <c r="CVJ85" s="1"/>
      <c r="CVK85" s="1"/>
      <c r="CVL85" s="1"/>
      <c r="CVM85" s="1"/>
      <c r="CVN85" s="1"/>
      <c r="CVO85" s="1"/>
      <c r="CVP85" s="1"/>
      <c r="CVQ85" s="1"/>
      <c r="CVR85" s="1"/>
      <c r="CVS85" s="1"/>
      <c r="CVT85" s="1"/>
      <c r="CVU85" s="1"/>
      <c r="CVV85" s="1"/>
      <c r="CVW85" s="1"/>
      <c r="CVX85" s="1"/>
      <c r="CVY85" s="1"/>
      <c r="CVZ85" s="1"/>
      <c r="CWA85" s="1"/>
      <c r="CWB85" s="1"/>
      <c r="CWC85" s="1"/>
      <c r="CWD85" s="1"/>
      <c r="CWE85" s="1"/>
      <c r="CWF85" s="1"/>
      <c r="CWG85" s="1"/>
      <c r="CWH85" s="1"/>
      <c r="CWI85" s="1"/>
      <c r="CWJ85" s="1"/>
      <c r="CWK85" s="1"/>
      <c r="CWL85" s="1"/>
      <c r="CWM85" s="1"/>
      <c r="CWN85" s="1"/>
      <c r="CWO85" s="1"/>
      <c r="CWP85" s="1"/>
      <c r="CWQ85" s="1"/>
      <c r="CWR85" s="1"/>
      <c r="CWS85" s="1"/>
      <c r="CWT85" s="1"/>
      <c r="CWU85" s="1"/>
      <c r="CWV85" s="1"/>
      <c r="CWW85" s="1"/>
      <c r="CWX85" s="1"/>
      <c r="CWY85" s="1"/>
      <c r="CWZ85" s="1"/>
      <c r="CXA85" s="1"/>
      <c r="CXB85" s="1"/>
      <c r="CXC85" s="1"/>
      <c r="CXD85" s="1"/>
      <c r="CXE85" s="1"/>
      <c r="CXF85" s="1"/>
      <c r="CXG85" s="1"/>
      <c r="CXH85" s="1"/>
      <c r="CXI85" s="1"/>
      <c r="CXJ85" s="1"/>
      <c r="CXK85" s="1"/>
      <c r="CXL85" s="1"/>
      <c r="CXM85" s="1"/>
      <c r="CXN85" s="1"/>
      <c r="CXO85" s="1"/>
      <c r="CXP85" s="1"/>
      <c r="CXQ85" s="1"/>
      <c r="CXR85" s="1"/>
      <c r="CXS85" s="1"/>
      <c r="CXT85" s="1"/>
      <c r="CXU85" s="1"/>
      <c r="CXV85" s="1"/>
      <c r="CXW85" s="1"/>
      <c r="CXX85" s="1"/>
      <c r="CXY85" s="1"/>
      <c r="CXZ85" s="1"/>
      <c r="CYA85" s="1"/>
      <c r="CYB85" s="1"/>
      <c r="CYC85" s="1"/>
      <c r="CYD85" s="1"/>
      <c r="CYE85" s="1"/>
      <c r="CYF85" s="1"/>
      <c r="CYG85" s="1"/>
      <c r="CYH85" s="1"/>
      <c r="CYI85" s="1"/>
      <c r="CYJ85" s="1"/>
      <c r="CYK85" s="1"/>
      <c r="CYL85" s="1"/>
      <c r="CYM85" s="1"/>
      <c r="CYN85" s="1"/>
      <c r="CYO85" s="1"/>
      <c r="CYP85" s="1"/>
      <c r="CYQ85" s="1"/>
      <c r="CYR85" s="1"/>
      <c r="CYS85" s="1"/>
      <c r="CYT85" s="1"/>
      <c r="CYU85" s="1"/>
      <c r="CYV85" s="1"/>
      <c r="CYW85" s="1"/>
      <c r="CYX85" s="1"/>
      <c r="CYY85" s="1"/>
      <c r="CYZ85" s="1"/>
      <c r="CZA85" s="1"/>
      <c r="CZB85" s="1"/>
      <c r="CZC85" s="1"/>
      <c r="CZD85" s="1"/>
      <c r="CZE85" s="1"/>
      <c r="CZF85" s="1"/>
      <c r="CZG85" s="1"/>
      <c r="CZH85" s="1"/>
      <c r="CZI85" s="1"/>
      <c r="CZJ85" s="1"/>
      <c r="CZK85" s="1"/>
      <c r="CZL85" s="1"/>
      <c r="CZM85" s="1"/>
      <c r="CZN85" s="1"/>
      <c r="CZO85" s="1"/>
      <c r="CZP85" s="1"/>
      <c r="CZQ85" s="1"/>
      <c r="CZR85" s="1"/>
      <c r="CZS85" s="1"/>
      <c r="CZT85" s="1"/>
      <c r="CZU85" s="1"/>
      <c r="CZV85" s="1"/>
      <c r="CZW85" s="1"/>
      <c r="CZX85" s="1"/>
      <c r="CZY85" s="1"/>
      <c r="CZZ85" s="1"/>
      <c r="DAA85" s="1"/>
      <c r="DAB85" s="1"/>
      <c r="DAC85" s="1"/>
      <c r="DAD85" s="1"/>
      <c r="DAE85" s="1"/>
      <c r="DAF85" s="1"/>
      <c r="DAG85" s="1"/>
      <c r="DAH85" s="1"/>
      <c r="DAI85" s="1"/>
      <c r="DAJ85" s="1"/>
      <c r="DAK85" s="1"/>
      <c r="DAL85" s="1"/>
      <c r="DAM85" s="1"/>
      <c r="DAN85" s="1"/>
      <c r="DAO85" s="1"/>
      <c r="DAP85" s="1"/>
      <c r="DAQ85" s="1"/>
      <c r="DAR85" s="1"/>
      <c r="DAS85" s="1"/>
      <c r="DAT85" s="1"/>
      <c r="DAU85" s="1"/>
      <c r="DAV85" s="1"/>
      <c r="DAW85" s="1"/>
      <c r="DAX85" s="1"/>
      <c r="DAY85" s="1"/>
      <c r="DAZ85" s="1"/>
      <c r="DBA85" s="1"/>
      <c r="DBB85" s="1"/>
      <c r="DBC85" s="1"/>
      <c r="DBD85" s="1"/>
      <c r="DBE85" s="1"/>
      <c r="DBF85" s="1"/>
      <c r="DBG85" s="1"/>
      <c r="DBH85" s="1"/>
      <c r="DBI85" s="1"/>
      <c r="DBJ85" s="1"/>
      <c r="DBK85" s="1"/>
      <c r="DBL85" s="1"/>
      <c r="DBM85" s="1"/>
      <c r="DBN85" s="1"/>
      <c r="DBO85" s="1"/>
      <c r="DBP85" s="1"/>
      <c r="DBQ85" s="1"/>
      <c r="DBR85" s="1"/>
      <c r="DBS85" s="1"/>
      <c r="DBT85" s="1"/>
      <c r="DBU85" s="1"/>
      <c r="DBV85" s="1"/>
      <c r="DBW85" s="1"/>
      <c r="DBX85" s="1"/>
      <c r="DBY85" s="1"/>
      <c r="DBZ85" s="1"/>
      <c r="DCA85" s="1"/>
      <c r="DCB85" s="1"/>
      <c r="DCC85" s="1"/>
      <c r="DCD85" s="1"/>
      <c r="DCE85" s="1"/>
      <c r="DCF85" s="1"/>
      <c r="DCG85" s="1"/>
      <c r="DCH85" s="1"/>
      <c r="DCI85" s="1"/>
      <c r="DCJ85" s="1"/>
      <c r="DCK85" s="1"/>
      <c r="DCL85" s="1"/>
      <c r="DCM85" s="1"/>
      <c r="DCN85" s="1"/>
      <c r="DCO85" s="1"/>
      <c r="DCP85" s="1"/>
      <c r="DCQ85" s="1"/>
      <c r="DCR85" s="1"/>
      <c r="DCS85" s="1"/>
      <c r="DCT85" s="1"/>
      <c r="DCU85" s="1"/>
      <c r="DCV85" s="1"/>
      <c r="DCW85" s="1"/>
      <c r="DCX85" s="1"/>
      <c r="DCY85" s="1"/>
      <c r="DCZ85" s="1"/>
      <c r="DDA85" s="1"/>
      <c r="DDB85" s="1"/>
      <c r="DDC85" s="1"/>
      <c r="DDD85" s="1"/>
      <c r="DDE85" s="1"/>
      <c r="DDF85" s="1"/>
      <c r="DDG85" s="1"/>
      <c r="DDH85" s="1"/>
      <c r="DDI85" s="1"/>
      <c r="DDJ85" s="1"/>
      <c r="DDK85" s="1"/>
      <c r="DDL85" s="1"/>
      <c r="DDM85" s="1"/>
      <c r="DDN85" s="1"/>
      <c r="DDO85" s="1"/>
      <c r="DDP85" s="1"/>
      <c r="DDQ85" s="1"/>
      <c r="DDR85" s="1"/>
      <c r="DDS85" s="1"/>
      <c r="DDT85" s="1"/>
      <c r="DDU85" s="1"/>
      <c r="DDV85" s="1"/>
      <c r="DDW85" s="1"/>
      <c r="DDX85" s="1"/>
      <c r="DDY85" s="1"/>
      <c r="DDZ85" s="1"/>
      <c r="DEA85" s="1"/>
      <c r="DEB85" s="1"/>
      <c r="DEC85" s="1"/>
      <c r="DED85" s="1"/>
      <c r="DEE85" s="1"/>
      <c r="DEF85" s="1"/>
      <c r="DEG85" s="1"/>
      <c r="DEH85" s="1"/>
      <c r="DEI85" s="1"/>
      <c r="DEJ85" s="1"/>
      <c r="DEK85" s="1"/>
      <c r="DEL85" s="1"/>
      <c r="DEM85" s="1"/>
      <c r="DEN85" s="1"/>
      <c r="DEO85" s="1"/>
      <c r="DEP85" s="1"/>
      <c r="DEQ85" s="1"/>
      <c r="DER85" s="1"/>
      <c r="DES85" s="1"/>
      <c r="DET85" s="1"/>
      <c r="DEU85" s="1"/>
      <c r="DEV85" s="1"/>
      <c r="DEW85" s="1"/>
      <c r="DEX85" s="1"/>
      <c r="DEY85" s="1"/>
      <c r="DEZ85" s="1"/>
      <c r="DFA85" s="1"/>
      <c r="DFB85" s="1"/>
      <c r="DFC85" s="1"/>
      <c r="DFD85" s="1"/>
      <c r="DFE85" s="1"/>
      <c r="DFF85" s="1"/>
      <c r="DFG85" s="1"/>
      <c r="DFH85" s="1"/>
      <c r="DFI85" s="1"/>
      <c r="DFJ85" s="1"/>
      <c r="DFK85" s="1"/>
      <c r="DFL85" s="1"/>
      <c r="DFM85" s="1"/>
      <c r="DFN85" s="1"/>
      <c r="DFO85" s="1"/>
      <c r="DFP85" s="1"/>
      <c r="DFQ85" s="1"/>
      <c r="DFR85" s="1"/>
      <c r="DFS85" s="1"/>
      <c r="DFT85" s="1"/>
      <c r="DFU85" s="1"/>
      <c r="DFV85" s="1"/>
      <c r="DFW85" s="1"/>
      <c r="DFX85" s="1"/>
      <c r="DFY85" s="1"/>
      <c r="DFZ85" s="1"/>
      <c r="DGA85" s="1"/>
      <c r="DGB85" s="1"/>
      <c r="DGC85" s="1"/>
      <c r="DGD85" s="1"/>
      <c r="DGE85" s="1"/>
      <c r="DGF85" s="1"/>
      <c r="DGG85" s="1"/>
      <c r="DGH85" s="1"/>
      <c r="DGI85" s="1"/>
      <c r="DGJ85" s="1"/>
      <c r="DGK85" s="1"/>
      <c r="DGL85" s="1"/>
      <c r="DGM85" s="1"/>
      <c r="DGN85" s="1"/>
      <c r="DGO85" s="1"/>
      <c r="DGP85" s="1"/>
      <c r="DGQ85" s="1"/>
      <c r="DGR85" s="1"/>
      <c r="DGS85" s="1"/>
      <c r="DGT85" s="1"/>
      <c r="DGU85" s="1"/>
      <c r="DGV85" s="1"/>
      <c r="DGW85" s="1"/>
      <c r="DGX85" s="1"/>
      <c r="DGY85" s="1"/>
      <c r="DGZ85" s="1"/>
      <c r="DHA85" s="1"/>
      <c r="DHB85" s="1"/>
      <c r="DHC85" s="1"/>
      <c r="DHD85" s="1"/>
      <c r="DHE85" s="1"/>
      <c r="DHF85" s="1"/>
      <c r="DHG85" s="1"/>
      <c r="DHH85" s="1"/>
      <c r="DHI85" s="1"/>
      <c r="DHJ85" s="1"/>
      <c r="DHK85" s="1"/>
      <c r="DHL85" s="1"/>
      <c r="DHM85" s="1"/>
      <c r="DHN85" s="1"/>
      <c r="DHO85" s="1"/>
      <c r="DHP85" s="1"/>
      <c r="DHQ85" s="1"/>
      <c r="DHR85" s="1"/>
      <c r="DHS85" s="1"/>
      <c r="DHT85" s="1"/>
      <c r="DHU85" s="1"/>
      <c r="DHV85" s="1"/>
      <c r="DHW85" s="1"/>
      <c r="DHX85" s="1"/>
      <c r="DHY85" s="1"/>
      <c r="DHZ85" s="1"/>
      <c r="DIA85" s="1"/>
      <c r="DIB85" s="1"/>
      <c r="DIC85" s="1"/>
      <c r="DID85" s="1"/>
      <c r="DIE85" s="1"/>
      <c r="DIF85" s="1"/>
      <c r="DIG85" s="1"/>
      <c r="DIH85" s="1"/>
      <c r="DII85" s="1"/>
      <c r="DIJ85" s="1"/>
      <c r="DIK85" s="1"/>
      <c r="DIL85" s="1"/>
      <c r="DIM85" s="1"/>
      <c r="DIN85" s="1"/>
      <c r="DIO85" s="1"/>
      <c r="DIP85" s="1"/>
      <c r="DIQ85" s="1"/>
      <c r="DIR85" s="1"/>
      <c r="DIS85" s="1"/>
      <c r="DIT85" s="1"/>
      <c r="DIU85" s="1"/>
      <c r="DIV85" s="1"/>
      <c r="DIW85" s="1"/>
      <c r="DIX85" s="1"/>
      <c r="DIY85" s="1"/>
      <c r="DIZ85" s="1"/>
      <c r="DJA85" s="1"/>
      <c r="DJB85" s="1"/>
      <c r="DJC85" s="1"/>
      <c r="DJD85" s="1"/>
      <c r="DJE85" s="1"/>
      <c r="DJF85" s="1"/>
      <c r="DJG85" s="1"/>
      <c r="DJH85" s="1"/>
      <c r="DJI85" s="1"/>
      <c r="DJJ85" s="1"/>
      <c r="DJK85" s="1"/>
      <c r="DJL85" s="1"/>
      <c r="DJM85" s="1"/>
      <c r="DJN85" s="1"/>
      <c r="DJO85" s="1"/>
      <c r="DJP85" s="1"/>
      <c r="DJQ85" s="1"/>
      <c r="DJR85" s="1"/>
      <c r="DJS85" s="1"/>
      <c r="DJT85" s="1"/>
      <c r="DJU85" s="1"/>
      <c r="DJV85" s="1"/>
      <c r="DJW85" s="1"/>
      <c r="DJX85" s="1"/>
      <c r="DJY85" s="1"/>
      <c r="DJZ85" s="1"/>
      <c r="DKA85" s="1"/>
      <c r="DKB85" s="1"/>
      <c r="DKC85" s="1"/>
      <c r="DKD85" s="1"/>
      <c r="DKE85" s="1"/>
      <c r="DKF85" s="1"/>
      <c r="DKG85" s="1"/>
      <c r="DKH85" s="1"/>
      <c r="DKI85" s="1"/>
      <c r="DKJ85" s="1"/>
      <c r="DKK85" s="1"/>
      <c r="DKL85" s="1"/>
      <c r="DKM85" s="1"/>
      <c r="DKN85" s="1"/>
      <c r="DKO85" s="1"/>
      <c r="DKP85" s="1"/>
      <c r="DKQ85" s="1"/>
      <c r="DKR85" s="1"/>
      <c r="DKS85" s="1"/>
      <c r="DKT85" s="1"/>
      <c r="DKU85" s="1"/>
      <c r="DKV85" s="1"/>
      <c r="DKW85" s="1"/>
      <c r="DKX85" s="1"/>
      <c r="DKY85" s="1"/>
      <c r="DKZ85" s="1"/>
      <c r="DLA85" s="1"/>
      <c r="DLB85" s="1"/>
      <c r="DLC85" s="1"/>
      <c r="DLD85" s="1"/>
      <c r="DLE85" s="1"/>
      <c r="DLF85" s="1"/>
      <c r="DLG85" s="1"/>
      <c r="DLH85" s="1"/>
      <c r="DLI85" s="1"/>
      <c r="DLJ85" s="1"/>
      <c r="DLK85" s="1"/>
      <c r="DLL85" s="1"/>
      <c r="DLM85" s="1"/>
      <c r="DLN85" s="1"/>
      <c r="DLO85" s="1"/>
      <c r="DLP85" s="1"/>
      <c r="DLQ85" s="1"/>
      <c r="DLR85" s="1"/>
      <c r="DLS85" s="1"/>
      <c r="DLT85" s="1"/>
      <c r="DLU85" s="1"/>
      <c r="DLV85" s="1"/>
      <c r="DLW85" s="1"/>
      <c r="DLX85" s="1"/>
      <c r="DLY85" s="1"/>
      <c r="DLZ85" s="1"/>
      <c r="DMA85" s="1"/>
      <c r="DMB85" s="1"/>
      <c r="DMC85" s="1"/>
      <c r="DMD85" s="1"/>
      <c r="DME85" s="1"/>
      <c r="DMF85" s="1"/>
      <c r="DMG85" s="1"/>
      <c r="DMH85" s="1"/>
      <c r="DMI85" s="1"/>
      <c r="DMJ85" s="1"/>
      <c r="DMK85" s="1"/>
      <c r="DML85" s="1"/>
      <c r="DMM85" s="1"/>
      <c r="DMN85" s="1"/>
      <c r="DMO85" s="1"/>
      <c r="DMP85" s="1"/>
      <c r="DMQ85" s="1"/>
      <c r="DMR85" s="1"/>
      <c r="DMS85" s="1"/>
      <c r="DMT85" s="1"/>
      <c r="DMU85" s="1"/>
      <c r="DMV85" s="1"/>
      <c r="DMW85" s="1"/>
      <c r="DMX85" s="1"/>
      <c r="DMY85" s="1"/>
      <c r="DMZ85" s="1"/>
      <c r="DNA85" s="1"/>
      <c r="DNB85" s="1"/>
      <c r="DNC85" s="1"/>
      <c r="DND85" s="1"/>
      <c r="DNE85" s="1"/>
      <c r="DNF85" s="1"/>
      <c r="DNG85" s="1"/>
      <c r="DNH85" s="1"/>
      <c r="DNI85" s="1"/>
      <c r="DNJ85" s="1"/>
      <c r="DNK85" s="1"/>
      <c r="DNL85" s="1"/>
      <c r="DNM85" s="1"/>
      <c r="DNN85" s="1"/>
      <c r="DNO85" s="1"/>
      <c r="DNP85" s="1"/>
      <c r="DNQ85" s="1"/>
      <c r="DNR85" s="1"/>
      <c r="DNS85" s="1"/>
      <c r="DNT85" s="1"/>
      <c r="DNU85" s="1"/>
      <c r="DNV85" s="1"/>
      <c r="DNW85" s="1"/>
      <c r="DNX85" s="1"/>
      <c r="DNY85" s="1"/>
      <c r="DNZ85" s="1"/>
      <c r="DOA85" s="1"/>
      <c r="DOB85" s="1"/>
      <c r="DOC85" s="1"/>
      <c r="DOD85" s="1"/>
      <c r="DOE85" s="1"/>
      <c r="DOF85" s="1"/>
      <c r="DOG85" s="1"/>
      <c r="DOH85" s="1"/>
      <c r="DOI85" s="1"/>
      <c r="DOJ85" s="1"/>
      <c r="DOK85" s="1"/>
      <c r="DOL85" s="1"/>
      <c r="DOM85" s="1"/>
      <c r="DON85" s="1"/>
      <c r="DOO85" s="1"/>
      <c r="DOP85" s="1"/>
      <c r="DOQ85" s="1"/>
      <c r="DOR85" s="1"/>
      <c r="DOS85" s="1"/>
      <c r="DOT85" s="1"/>
      <c r="DOU85" s="1"/>
      <c r="DOV85" s="1"/>
      <c r="DOW85" s="1"/>
      <c r="DOX85" s="1"/>
      <c r="DOY85" s="1"/>
      <c r="DOZ85" s="1"/>
      <c r="DPA85" s="1"/>
      <c r="DPB85" s="1"/>
      <c r="DPC85" s="1"/>
      <c r="DPD85" s="1"/>
      <c r="DPE85" s="1"/>
      <c r="DPF85" s="1"/>
      <c r="DPG85" s="1"/>
      <c r="DPH85" s="1"/>
      <c r="DPI85" s="1"/>
      <c r="DPJ85" s="1"/>
      <c r="DPK85" s="1"/>
      <c r="DPL85" s="1"/>
      <c r="DPM85" s="1"/>
      <c r="DPN85" s="1"/>
      <c r="DPO85" s="1"/>
      <c r="DPP85" s="1"/>
      <c r="DPQ85" s="1"/>
      <c r="DPR85" s="1"/>
      <c r="DPS85" s="1"/>
      <c r="DPT85" s="1"/>
      <c r="DPU85" s="1"/>
      <c r="DPV85" s="1"/>
      <c r="DPW85" s="1"/>
      <c r="DPX85" s="1"/>
      <c r="DPY85" s="1"/>
      <c r="DPZ85" s="1"/>
      <c r="DQA85" s="1"/>
      <c r="DQB85" s="1"/>
      <c r="DQC85" s="1"/>
      <c r="DQD85" s="1"/>
      <c r="DQE85" s="1"/>
      <c r="DQF85" s="1"/>
      <c r="DQG85" s="1"/>
      <c r="DQH85" s="1"/>
      <c r="DQI85" s="1"/>
      <c r="DQJ85" s="1"/>
      <c r="DQK85" s="1"/>
      <c r="DQL85" s="1"/>
      <c r="DQM85" s="1"/>
      <c r="DQN85" s="1"/>
      <c r="DQO85" s="1"/>
      <c r="DQP85" s="1"/>
      <c r="DQQ85" s="1"/>
      <c r="DQR85" s="1"/>
      <c r="DQS85" s="1"/>
      <c r="DQT85" s="1"/>
      <c r="DQU85" s="1"/>
      <c r="DQV85" s="1"/>
      <c r="DQW85" s="1"/>
      <c r="DQX85" s="1"/>
      <c r="DQY85" s="1"/>
      <c r="DQZ85" s="1"/>
      <c r="DRA85" s="1"/>
      <c r="DRB85" s="1"/>
      <c r="DRC85" s="1"/>
      <c r="DRD85" s="1"/>
      <c r="DRE85" s="1"/>
      <c r="DRF85" s="1"/>
      <c r="DRG85" s="1"/>
      <c r="DRH85" s="1"/>
      <c r="DRI85" s="1"/>
      <c r="DRJ85" s="1"/>
      <c r="DRK85" s="1"/>
      <c r="DRL85" s="1"/>
      <c r="DRM85" s="1"/>
      <c r="DRN85" s="1"/>
      <c r="DRO85" s="1"/>
      <c r="DRP85" s="1"/>
      <c r="DRQ85" s="1"/>
      <c r="DRR85" s="1"/>
      <c r="DRS85" s="1"/>
      <c r="DRT85" s="1"/>
      <c r="DRU85" s="1"/>
      <c r="DRV85" s="1"/>
      <c r="DRW85" s="1"/>
      <c r="DRX85" s="1"/>
      <c r="DRY85" s="1"/>
      <c r="DRZ85" s="1"/>
      <c r="DSA85" s="1"/>
      <c r="DSB85" s="1"/>
      <c r="DSC85" s="1"/>
      <c r="DSD85" s="1"/>
      <c r="DSE85" s="1"/>
      <c r="DSF85" s="1"/>
      <c r="DSG85" s="1"/>
      <c r="DSH85" s="1"/>
      <c r="DSI85" s="1"/>
      <c r="DSJ85" s="1"/>
      <c r="DSK85" s="1"/>
      <c r="DSL85" s="1"/>
      <c r="DSM85" s="1"/>
      <c r="DSN85" s="1"/>
      <c r="DSO85" s="1"/>
      <c r="DSP85" s="1"/>
      <c r="DSQ85" s="1"/>
      <c r="DSR85" s="1"/>
      <c r="DSS85" s="1"/>
      <c r="DST85" s="1"/>
      <c r="DSU85" s="1"/>
      <c r="DSV85" s="1"/>
      <c r="DSW85" s="1"/>
      <c r="DSX85" s="1"/>
      <c r="DSY85" s="1"/>
      <c r="DSZ85" s="1"/>
      <c r="DTA85" s="1"/>
      <c r="DTB85" s="1"/>
      <c r="DTC85" s="1"/>
      <c r="DTD85" s="1"/>
      <c r="DTE85" s="1"/>
      <c r="DTF85" s="1"/>
      <c r="DTG85" s="1"/>
      <c r="DTH85" s="1"/>
      <c r="DTI85" s="1"/>
      <c r="DTJ85" s="1"/>
      <c r="DTK85" s="1"/>
      <c r="DTL85" s="1"/>
      <c r="DTM85" s="1"/>
      <c r="DTN85" s="1"/>
      <c r="DTO85" s="1"/>
      <c r="DTP85" s="1"/>
      <c r="DTQ85" s="1"/>
      <c r="DTR85" s="1"/>
      <c r="DTS85" s="1"/>
      <c r="DTT85" s="1"/>
      <c r="DTU85" s="1"/>
      <c r="DTV85" s="1"/>
      <c r="DTW85" s="1"/>
      <c r="DTX85" s="1"/>
      <c r="DTY85" s="1"/>
      <c r="DTZ85" s="1"/>
      <c r="DUA85" s="1"/>
      <c r="DUB85" s="1"/>
      <c r="DUC85" s="1"/>
      <c r="DUD85" s="1"/>
      <c r="DUE85" s="1"/>
      <c r="DUF85" s="1"/>
      <c r="DUG85" s="1"/>
      <c r="DUH85" s="1"/>
      <c r="DUI85" s="1"/>
      <c r="DUJ85" s="1"/>
      <c r="DUK85" s="1"/>
      <c r="DUL85" s="1"/>
      <c r="DUM85" s="1"/>
      <c r="DUN85" s="1"/>
      <c r="DUO85" s="1"/>
      <c r="DUP85" s="1"/>
      <c r="DUQ85" s="1"/>
      <c r="DUR85" s="1"/>
      <c r="DUS85" s="1"/>
      <c r="DUT85" s="1"/>
      <c r="DUU85" s="1"/>
      <c r="DUV85" s="1"/>
      <c r="DUW85" s="1"/>
      <c r="DUX85" s="1"/>
      <c r="DUY85" s="1"/>
      <c r="DUZ85" s="1"/>
      <c r="DVA85" s="1"/>
      <c r="DVB85" s="1"/>
      <c r="DVC85" s="1"/>
      <c r="DVD85" s="1"/>
      <c r="DVE85" s="1"/>
      <c r="DVF85" s="1"/>
      <c r="DVG85" s="1"/>
      <c r="DVH85" s="1"/>
      <c r="DVI85" s="1"/>
      <c r="DVJ85" s="1"/>
      <c r="DVK85" s="1"/>
      <c r="DVL85" s="1"/>
      <c r="DVM85" s="1"/>
      <c r="DVN85" s="1"/>
      <c r="DVO85" s="1"/>
      <c r="DVP85" s="1"/>
      <c r="DVQ85" s="1"/>
      <c r="DVR85" s="1"/>
      <c r="DVS85" s="1"/>
      <c r="DVT85" s="1"/>
      <c r="DVU85" s="1"/>
      <c r="DVV85" s="1"/>
      <c r="DVW85" s="1"/>
      <c r="DVX85" s="1"/>
      <c r="DVY85" s="1"/>
      <c r="DVZ85" s="1"/>
      <c r="DWA85" s="1"/>
      <c r="DWB85" s="1"/>
      <c r="DWC85" s="1"/>
      <c r="DWD85" s="1"/>
      <c r="DWE85" s="1"/>
      <c r="DWF85" s="1"/>
      <c r="DWG85" s="1"/>
      <c r="DWH85" s="1"/>
      <c r="DWI85" s="1"/>
      <c r="DWJ85" s="1"/>
      <c r="DWK85" s="1"/>
      <c r="DWL85" s="1"/>
      <c r="DWM85" s="1"/>
      <c r="DWN85" s="1"/>
      <c r="DWO85" s="1"/>
      <c r="DWP85" s="1"/>
      <c r="DWQ85" s="1"/>
      <c r="DWR85" s="1"/>
      <c r="DWS85" s="1"/>
      <c r="DWT85" s="1"/>
      <c r="DWU85" s="1"/>
      <c r="DWV85" s="1"/>
      <c r="DWW85" s="1"/>
      <c r="DWX85" s="1"/>
      <c r="DWY85" s="1"/>
      <c r="DWZ85" s="1"/>
      <c r="DXA85" s="1"/>
      <c r="DXB85" s="1"/>
      <c r="DXC85" s="1"/>
      <c r="DXD85" s="1"/>
      <c r="DXE85" s="1"/>
      <c r="DXF85" s="1"/>
      <c r="DXG85" s="1"/>
      <c r="DXH85" s="1"/>
      <c r="DXI85" s="1"/>
      <c r="DXJ85" s="1"/>
      <c r="DXK85" s="1"/>
      <c r="DXL85" s="1"/>
      <c r="DXM85" s="1"/>
      <c r="DXN85" s="1"/>
      <c r="DXO85" s="1"/>
      <c r="DXP85" s="1"/>
      <c r="DXQ85" s="1"/>
      <c r="DXR85" s="1"/>
      <c r="DXS85" s="1"/>
      <c r="DXT85" s="1"/>
      <c r="DXU85" s="1"/>
      <c r="DXV85" s="1"/>
      <c r="DXW85" s="1"/>
      <c r="DXX85" s="1"/>
      <c r="DXY85" s="1"/>
      <c r="DXZ85" s="1"/>
      <c r="DYA85" s="1"/>
      <c r="DYB85" s="1"/>
      <c r="DYC85" s="1"/>
      <c r="DYD85" s="1"/>
      <c r="DYE85" s="1"/>
      <c r="DYF85" s="1"/>
      <c r="DYG85" s="1"/>
      <c r="DYH85" s="1"/>
      <c r="DYI85" s="1"/>
      <c r="DYJ85" s="1"/>
      <c r="DYK85" s="1"/>
      <c r="DYL85" s="1"/>
      <c r="DYM85" s="1"/>
      <c r="DYN85" s="1"/>
      <c r="DYO85" s="1"/>
      <c r="DYP85" s="1"/>
      <c r="DYQ85" s="1"/>
      <c r="DYR85" s="1"/>
      <c r="DYS85" s="1"/>
      <c r="DYT85" s="1"/>
      <c r="DYU85" s="1"/>
      <c r="DYV85" s="1"/>
      <c r="DYW85" s="1"/>
      <c r="DYX85" s="1"/>
      <c r="DYY85" s="1"/>
      <c r="DYZ85" s="1"/>
      <c r="DZA85" s="1"/>
      <c r="DZB85" s="1"/>
      <c r="DZC85" s="1"/>
      <c r="DZD85" s="1"/>
      <c r="DZE85" s="1"/>
      <c r="DZF85" s="1"/>
      <c r="DZG85" s="1"/>
      <c r="DZH85" s="1"/>
      <c r="DZI85" s="1"/>
      <c r="DZJ85" s="1"/>
      <c r="DZK85" s="1"/>
      <c r="DZL85" s="1"/>
      <c r="DZM85" s="1"/>
      <c r="DZN85" s="1"/>
      <c r="DZO85" s="1"/>
      <c r="DZP85" s="1"/>
      <c r="DZQ85" s="1"/>
      <c r="DZR85" s="1"/>
      <c r="DZS85" s="1"/>
      <c r="DZT85" s="1"/>
      <c r="DZU85" s="1"/>
      <c r="DZV85" s="1"/>
      <c r="DZW85" s="1"/>
      <c r="DZX85" s="1"/>
      <c r="DZY85" s="1"/>
      <c r="DZZ85" s="1"/>
      <c r="EAA85" s="1"/>
      <c r="EAB85" s="1"/>
      <c r="EAC85" s="1"/>
      <c r="EAD85" s="1"/>
      <c r="EAE85" s="1"/>
      <c r="EAF85" s="1"/>
      <c r="EAG85" s="1"/>
      <c r="EAH85" s="1"/>
      <c r="EAI85" s="1"/>
      <c r="EAJ85" s="1"/>
      <c r="EAK85" s="1"/>
      <c r="EAL85" s="1"/>
      <c r="EAM85" s="1"/>
      <c r="EAN85" s="1"/>
      <c r="EAO85" s="1"/>
      <c r="EAP85" s="1"/>
      <c r="EAQ85" s="1"/>
      <c r="EAR85" s="1"/>
      <c r="EAS85" s="1"/>
      <c r="EAT85" s="1"/>
      <c r="EAU85" s="1"/>
      <c r="EAV85" s="1"/>
      <c r="EAW85" s="1"/>
      <c r="EAX85" s="1"/>
      <c r="EAY85" s="1"/>
      <c r="EAZ85" s="1"/>
      <c r="EBA85" s="1"/>
      <c r="EBB85" s="1"/>
      <c r="EBC85" s="1"/>
      <c r="EBD85" s="1"/>
      <c r="EBE85" s="1"/>
      <c r="EBF85" s="1"/>
      <c r="EBG85" s="1"/>
      <c r="EBH85" s="1"/>
      <c r="EBI85" s="1"/>
      <c r="EBJ85" s="1"/>
      <c r="EBK85" s="1"/>
      <c r="EBL85" s="1"/>
      <c r="EBM85" s="1"/>
      <c r="EBN85" s="1"/>
      <c r="EBO85" s="1"/>
      <c r="EBP85" s="1"/>
      <c r="EBQ85" s="1"/>
      <c r="EBR85" s="1"/>
      <c r="EBS85" s="1"/>
      <c r="EBT85" s="1"/>
      <c r="EBU85" s="1"/>
      <c r="EBV85" s="1"/>
      <c r="EBW85" s="1"/>
      <c r="EBX85" s="1"/>
      <c r="EBY85" s="1"/>
      <c r="EBZ85" s="1"/>
      <c r="ECA85" s="1"/>
      <c r="ECB85" s="1"/>
      <c r="ECC85" s="1"/>
      <c r="ECD85" s="1"/>
      <c r="ECE85" s="1"/>
      <c r="ECF85" s="1"/>
      <c r="ECG85" s="1"/>
      <c r="ECH85" s="1"/>
      <c r="ECI85" s="1"/>
      <c r="ECJ85" s="1"/>
      <c r="ECK85" s="1"/>
      <c r="ECL85" s="1"/>
      <c r="ECM85" s="1"/>
      <c r="ECN85" s="1"/>
      <c r="ECO85" s="1"/>
      <c r="ECP85" s="1"/>
      <c r="ECQ85" s="1"/>
      <c r="ECR85" s="1"/>
      <c r="ECS85" s="1"/>
      <c r="ECT85" s="1"/>
      <c r="ECU85" s="1"/>
      <c r="ECV85" s="1"/>
      <c r="ECW85" s="1"/>
      <c r="ECX85" s="1"/>
      <c r="ECY85" s="1"/>
      <c r="ECZ85" s="1"/>
      <c r="EDA85" s="1"/>
      <c r="EDB85" s="1"/>
      <c r="EDC85" s="1"/>
      <c r="EDD85" s="1"/>
      <c r="EDE85" s="1"/>
      <c r="EDF85" s="1"/>
      <c r="EDG85" s="1"/>
      <c r="EDH85" s="1"/>
      <c r="EDI85" s="1"/>
      <c r="EDJ85" s="1"/>
      <c r="EDK85" s="1"/>
      <c r="EDL85" s="1"/>
      <c r="EDM85" s="1"/>
      <c r="EDN85" s="1"/>
      <c r="EDO85" s="1"/>
      <c r="EDP85" s="1"/>
      <c r="EDQ85" s="1"/>
      <c r="EDR85" s="1"/>
      <c r="EDS85" s="1"/>
      <c r="EDT85" s="1"/>
      <c r="EDU85" s="1"/>
      <c r="EDV85" s="1"/>
      <c r="EDW85" s="1"/>
      <c r="EDX85" s="1"/>
      <c r="EDY85" s="1"/>
      <c r="EDZ85" s="1"/>
      <c r="EEA85" s="1"/>
      <c r="EEB85" s="1"/>
      <c r="EEC85" s="1"/>
      <c r="EED85" s="1"/>
      <c r="EEE85" s="1"/>
      <c r="EEF85" s="1"/>
      <c r="EEG85" s="1"/>
      <c r="EEH85" s="1"/>
      <c r="EEI85" s="1"/>
      <c r="EEJ85" s="1"/>
      <c r="EEK85" s="1"/>
      <c r="EEL85" s="1"/>
      <c r="EEM85" s="1"/>
      <c r="EEN85" s="1"/>
      <c r="EEO85" s="1"/>
      <c r="EEP85" s="1"/>
      <c r="EEQ85" s="1"/>
      <c r="EER85" s="1"/>
      <c r="EES85" s="1"/>
      <c r="EET85" s="1"/>
      <c r="EEU85" s="1"/>
      <c r="EEV85" s="1"/>
      <c r="EEW85" s="1"/>
      <c r="EEX85" s="1"/>
      <c r="EEY85" s="1"/>
      <c r="EEZ85" s="1"/>
      <c r="EFA85" s="1"/>
      <c r="EFB85" s="1"/>
      <c r="EFC85" s="1"/>
      <c r="EFD85" s="1"/>
      <c r="EFE85" s="1"/>
      <c r="EFF85" s="1"/>
      <c r="EFG85" s="1"/>
      <c r="EFH85" s="1"/>
      <c r="EFI85" s="1"/>
      <c r="EFJ85" s="1"/>
      <c r="EFK85" s="1"/>
      <c r="EFL85" s="1"/>
      <c r="EFM85" s="1"/>
      <c r="EFN85" s="1"/>
      <c r="EFO85" s="1"/>
      <c r="EFP85" s="1"/>
      <c r="EFQ85" s="1"/>
      <c r="EFR85" s="1"/>
      <c r="EFS85" s="1"/>
      <c r="EFT85" s="1"/>
      <c r="EFU85" s="1"/>
      <c r="EFV85" s="1"/>
      <c r="EFW85" s="1"/>
      <c r="EFX85" s="1"/>
      <c r="EFY85" s="1"/>
      <c r="EFZ85" s="1"/>
      <c r="EGA85" s="1"/>
      <c r="EGB85" s="1"/>
      <c r="EGC85" s="1"/>
      <c r="EGD85" s="1"/>
      <c r="EGE85" s="1"/>
      <c r="EGF85" s="1"/>
      <c r="EGG85" s="1"/>
      <c r="EGH85" s="1"/>
      <c r="EGI85" s="1"/>
      <c r="EGJ85" s="1"/>
      <c r="EGK85" s="1"/>
      <c r="EGL85" s="1"/>
      <c r="EGM85" s="1"/>
      <c r="EGN85" s="1"/>
      <c r="EGO85" s="1"/>
      <c r="EGP85" s="1"/>
      <c r="EGQ85" s="1"/>
      <c r="EGR85" s="1"/>
      <c r="EGS85" s="1"/>
      <c r="EGT85" s="1"/>
      <c r="EGU85" s="1"/>
      <c r="EGV85" s="1"/>
      <c r="EGW85" s="1"/>
      <c r="EGX85" s="1"/>
      <c r="EGY85" s="1"/>
      <c r="EGZ85" s="1"/>
      <c r="EHA85" s="1"/>
      <c r="EHB85" s="1"/>
      <c r="EHC85" s="1"/>
      <c r="EHD85" s="1"/>
      <c r="EHE85" s="1"/>
      <c r="EHF85" s="1"/>
      <c r="EHG85" s="1"/>
      <c r="EHH85" s="1"/>
      <c r="EHI85" s="1"/>
      <c r="EHJ85" s="1"/>
      <c r="EHK85" s="1"/>
      <c r="EHL85" s="1"/>
      <c r="EHM85" s="1"/>
      <c r="EHN85" s="1"/>
      <c r="EHO85" s="1"/>
      <c r="EHP85" s="1"/>
      <c r="EHQ85" s="1"/>
      <c r="EHR85" s="1"/>
      <c r="EHS85" s="1"/>
      <c r="EHT85" s="1"/>
      <c r="EHU85" s="1"/>
      <c r="EHV85" s="1"/>
      <c r="EHW85" s="1"/>
      <c r="EHX85" s="1"/>
      <c r="EHY85" s="1"/>
      <c r="EHZ85" s="1"/>
      <c r="EIA85" s="1"/>
      <c r="EIB85" s="1"/>
      <c r="EIC85" s="1"/>
      <c r="EID85" s="1"/>
      <c r="EIE85" s="1"/>
      <c r="EIF85" s="1"/>
      <c r="EIG85" s="1"/>
      <c r="EIH85" s="1"/>
      <c r="EII85" s="1"/>
      <c r="EIJ85" s="1"/>
      <c r="EIK85" s="1"/>
      <c r="EIL85" s="1"/>
      <c r="EIM85" s="1"/>
      <c r="EIN85" s="1"/>
      <c r="EIO85" s="1"/>
      <c r="EIP85" s="1"/>
      <c r="EIQ85" s="1"/>
      <c r="EIR85" s="1"/>
      <c r="EIS85" s="1"/>
      <c r="EIT85" s="1"/>
      <c r="EIU85" s="1"/>
      <c r="EIV85" s="1"/>
      <c r="EIW85" s="1"/>
      <c r="EIX85" s="1"/>
      <c r="EIY85" s="1"/>
      <c r="EIZ85" s="1"/>
      <c r="EJA85" s="1"/>
      <c r="EJB85" s="1"/>
      <c r="EJC85" s="1"/>
      <c r="EJD85" s="1"/>
      <c r="EJE85" s="1"/>
      <c r="EJF85" s="1"/>
      <c r="EJG85" s="1"/>
      <c r="EJH85" s="1"/>
      <c r="EJI85" s="1"/>
      <c r="EJJ85" s="1"/>
      <c r="EJK85" s="1"/>
      <c r="EJL85" s="1"/>
      <c r="EJM85" s="1"/>
      <c r="EJN85" s="1"/>
      <c r="EJO85" s="1"/>
      <c r="EJP85" s="1"/>
      <c r="EJQ85" s="1"/>
      <c r="EJR85" s="1"/>
      <c r="EJS85" s="1"/>
      <c r="EJT85" s="1"/>
      <c r="EJU85" s="1"/>
      <c r="EJV85" s="1"/>
      <c r="EJW85" s="1"/>
      <c r="EJX85" s="1"/>
      <c r="EJY85" s="1"/>
      <c r="EJZ85" s="1"/>
      <c r="EKA85" s="1"/>
      <c r="EKB85" s="1"/>
      <c r="EKC85" s="1"/>
      <c r="EKD85" s="1"/>
      <c r="EKE85" s="1"/>
      <c r="EKF85" s="1"/>
      <c r="EKG85" s="1"/>
      <c r="EKH85" s="1"/>
      <c r="EKI85" s="1"/>
      <c r="EKJ85" s="1"/>
      <c r="EKK85" s="1"/>
      <c r="EKL85" s="1"/>
      <c r="EKM85" s="1"/>
      <c r="EKN85" s="1"/>
      <c r="EKO85" s="1"/>
      <c r="EKP85" s="1"/>
      <c r="EKQ85" s="1"/>
      <c r="EKR85" s="1"/>
      <c r="EKS85" s="1"/>
      <c r="EKT85" s="1"/>
      <c r="EKU85" s="1"/>
      <c r="EKV85" s="1"/>
      <c r="EKW85" s="1"/>
      <c r="EKX85" s="1"/>
      <c r="EKY85" s="1"/>
      <c r="EKZ85" s="1"/>
      <c r="ELA85" s="1"/>
      <c r="ELB85" s="1"/>
      <c r="ELC85" s="1"/>
      <c r="ELD85" s="1"/>
      <c r="ELE85" s="1"/>
      <c r="ELF85" s="1"/>
      <c r="ELG85" s="1"/>
      <c r="ELH85" s="1"/>
      <c r="ELI85" s="1"/>
      <c r="ELJ85" s="1"/>
      <c r="ELK85" s="1"/>
      <c r="ELL85" s="1"/>
      <c r="ELM85" s="1"/>
      <c r="ELN85" s="1"/>
      <c r="ELO85" s="1"/>
      <c r="ELP85" s="1"/>
      <c r="ELQ85" s="1"/>
      <c r="ELR85" s="1"/>
      <c r="ELS85" s="1"/>
      <c r="ELT85" s="1"/>
      <c r="ELU85" s="1"/>
      <c r="ELV85" s="1"/>
      <c r="ELW85" s="1"/>
      <c r="ELX85" s="1"/>
      <c r="ELY85" s="1"/>
      <c r="ELZ85" s="1"/>
      <c r="EMA85" s="1"/>
      <c r="EMB85" s="1"/>
      <c r="EMC85" s="1"/>
      <c r="EMD85" s="1"/>
      <c r="EME85" s="1"/>
      <c r="EMF85" s="1"/>
      <c r="EMG85" s="1"/>
      <c r="EMH85" s="1"/>
      <c r="EMI85" s="1"/>
      <c r="EMJ85" s="1"/>
      <c r="EMK85" s="1"/>
      <c r="EML85" s="1"/>
      <c r="EMM85" s="1"/>
      <c r="EMN85" s="1"/>
      <c r="EMO85" s="1"/>
      <c r="EMP85" s="1"/>
      <c r="EMQ85" s="1"/>
      <c r="EMR85" s="1"/>
      <c r="EMS85" s="1"/>
      <c r="EMT85" s="1"/>
      <c r="EMU85" s="1"/>
      <c r="EMV85" s="1"/>
      <c r="EMW85" s="1"/>
      <c r="EMX85" s="1"/>
      <c r="EMY85" s="1"/>
      <c r="EMZ85" s="1"/>
      <c r="ENA85" s="1"/>
      <c r="ENB85" s="1"/>
      <c r="ENC85" s="1"/>
      <c r="END85" s="1"/>
      <c r="ENE85" s="1"/>
      <c r="ENF85" s="1"/>
      <c r="ENG85" s="1"/>
      <c r="ENH85" s="1"/>
      <c r="ENI85" s="1"/>
      <c r="ENJ85" s="1"/>
      <c r="ENK85" s="1"/>
      <c r="ENL85" s="1"/>
      <c r="ENM85" s="1"/>
      <c r="ENN85" s="1"/>
      <c r="ENO85" s="1"/>
      <c r="ENP85" s="1"/>
      <c r="ENQ85" s="1"/>
      <c r="ENR85" s="1"/>
      <c r="ENS85" s="1"/>
      <c r="ENT85" s="1"/>
      <c r="ENU85" s="1"/>
      <c r="ENV85" s="1"/>
      <c r="ENW85" s="1"/>
      <c r="ENX85" s="1"/>
      <c r="ENY85" s="1"/>
      <c r="ENZ85" s="1"/>
      <c r="EOA85" s="1"/>
      <c r="EOB85" s="1"/>
      <c r="EOC85" s="1"/>
      <c r="EOD85" s="1"/>
      <c r="EOE85" s="1"/>
      <c r="EOF85" s="1"/>
      <c r="EOG85" s="1"/>
      <c r="EOH85" s="1"/>
      <c r="EOI85" s="1"/>
      <c r="EOJ85" s="1"/>
      <c r="EOK85" s="1"/>
      <c r="EOL85" s="1"/>
      <c r="EOM85" s="1"/>
      <c r="EON85" s="1"/>
      <c r="EOO85" s="1"/>
      <c r="EOP85" s="1"/>
      <c r="EOQ85" s="1"/>
      <c r="EOR85" s="1"/>
      <c r="EOS85" s="1"/>
      <c r="EOT85" s="1"/>
      <c r="EOU85" s="1"/>
      <c r="EOV85" s="1"/>
      <c r="EOW85" s="1"/>
      <c r="EOX85" s="1"/>
      <c r="EOY85" s="1"/>
      <c r="EOZ85" s="1"/>
      <c r="EPA85" s="1"/>
      <c r="EPB85" s="1"/>
      <c r="EPC85" s="1"/>
      <c r="EPD85" s="1"/>
      <c r="EPE85" s="1"/>
      <c r="EPF85" s="1"/>
      <c r="EPG85" s="1"/>
      <c r="EPH85" s="1"/>
      <c r="EPI85" s="1"/>
      <c r="EPJ85" s="1"/>
      <c r="EPK85" s="1"/>
      <c r="EPL85" s="1"/>
      <c r="EPM85" s="1"/>
      <c r="EPN85" s="1"/>
      <c r="EPO85" s="1"/>
      <c r="EPP85" s="1"/>
      <c r="EPQ85" s="1"/>
      <c r="EPR85" s="1"/>
      <c r="EPS85" s="1"/>
      <c r="EPT85" s="1"/>
      <c r="EPU85" s="1"/>
      <c r="EPV85" s="1"/>
      <c r="EPW85" s="1"/>
      <c r="EPX85" s="1"/>
      <c r="EPY85" s="1"/>
      <c r="EPZ85" s="1"/>
      <c r="EQA85" s="1"/>
      <c r="EQB85" s="1"/>
      <c r="EQC85" s="1"/>
      <c r="EQD85" s="1"/>
      <c r="EQE85" s="1"/>
      <c r="EQF85" s="1"/>
      <c r="EQG85" s="1"/>
      <c r="EQH85" s="1"/>
      <c r="EQI85" s="1"/>
      <c r="EQJ85" s="1"/>
      <c r="EQK85" s="1"/>
      <c r="EQL85" s="1"/>
      <c r="EQM85" s="1"/>
      <c r="EQN85" s="1"/>
      <c r="EQO85" s="1"/>
      <c r="EQP85" s="1"/>
      <c r="EQQ85" s="1"/>
      <c r="EQR85" s="1"/>
      <c r="EQS85" s="1"/>
      <c r="EQT85" s="1"/>
      <c r="EQU85" s="1"/>
      <c r="EQV85" s="1"/>
      <c r="EQW85" s="1"/>
      <c r="EQX85" s="1"/>
      <c r="EQY85" s="1"/>
      <c r="EQZ85" s="1"/>
      <c r="ERA85" s="1"/>
      <c r="ERB85" s="1"/>
      <c r="ERC85" s="1"/>
      <c r="ERD85" s="1"/>
      <c r="ERE85" s="1"/>
      <c r="ERF85" s="1"/>
      <c r="ERG85" s="1"/>
      <c r="ERH85" s="1"/>
      <c r="ERI85" s="1"/>
      <c r="ERJ85" s="1"/>
      <c r="ERK85" s="1"/>
      <c r="ERL85" s="1"/>
      <c r="ERM85" s="1"/>
      <c r="ERN85" s="1"/>
      <c r="ERO85" s="1"/>
      <c r="ERP85" s="1"/>
      <c r="ERQ85" s="1"/>
      <c r="ERR85" s="1"/>
      <c r="ERS85" s="1"/>
      <c r="ERT85" s="1"/>
      <c r="ERU85" s="1"/>
      <c r="ERV85" s="1"/>
      <c r="ERW85" s="1"/>
      <c r="ERX85" s="1"/>
      <c r="ERY85" s="1"/>
      <c r="ERZ85" s="1"/>
      <c r="ESA85" s="1"/>
      <c r="ESB85" s="1"/>
      <c r="ESC85" s="1"/>
      <c r="ESD85" s="1"/>
      <c r="ESE85" s="1"/>
      <c r="ESF85" s="1"/>
      <c r="ESG85" s="1"/>
      <c r="ESH85" s="1"/>
      <c r="ESI85" s="1"/>
      <c r="ESJ85" s="1"/>
      <c r="ESK85" s="1"/>
      <c r="ESL85" s="1"/>
      <c r="ESM85" s="1"/>
      <c r="ESN85" s="1"/>
      <c r="ESO85" s="1"/>
      <c r="ESP85" s="1"/>
      <c r="ESQ85" s="1"/>
      <c r="ESR85" s="1"/>
      <c r="ESS85" s="1"/>
      <c r="EST85" s="1"/>
      <c r="ESU85" s="1"/>
      <c r="ESV85" s="1"/>
      <c r="ESW85" s="1"/>
      <c r="ESX85" s="1"/>
      <c r="ESY85" s="1"/>
      <c r="ESZ85" s="1"/>
      <c r="ETA85" s="1"/>
      <c r="ETB85" s="1"/>
      <c r="ETC85" s="1"/>
      <c r="ETD85" s="1"/>
      <c r="ETE85" s="1"/>
      <c r="ETF85" s="1"/>
      <c r="ETG85" s="1"/>
      <c r="ETH85" s="1"/>
      <c r="ETI85" s="1"/>
      <c r="ETJ85" s="1"/>
      <c r="ETK85" s="1"/>
      <c r="ETL85" s="1"/>
      <c r="ETM85" s="1"/>
      <c r="ETN85" s="1"/>
      <c r="ETO85" s="1"/>
      <c r="ETP85" s="1"/>
      <c r="ETQ85" s="1"/>
      <c r="ETR85" s="1"/>
      <c r="ETS85" s="1"/>
      <c r="ETT85" s="1"/>
      <c r="ETU85" s="1"/>
      <c r="ETV85" s="1"/>
      <c r="ETW85" s="1"/>
      <c r="ETX85" s="1"/>
      <c r="ETY85" s="1"/>
      <c r="ETZ85" s="1"/>
      <c r="EUA85" s="1"/>
      <c r="EUB85" s="1"/>
      <c r="EUC85" s="1"/>
      <c r="EUD85" s="1"/>
      <c r="EUE85" s="1"/>
      <c r="EUF85" s="1"/>
      <c r="EUG85" s="1"/>
      <c r="EUH85" s="1"/>
      <c r="EUI85" s="1"/>
      <c r="EUJ85" s="1"/>
      <c r="EUK85" s="1"/>
      <c r="EUL85" s="1"/>
      <c r="EUM85" s="1"/>
      <c r="EUN85" s="1"/>
      <c r="EUO85" s="1"/>
      <c r="EUP85" s="1"/>
      <c r="EUQ85" s="1"/>
      <c r="EUR85" s="1"/>
      <c r="EUS85" s="1"/>
      <c r="EUT85" s="1"/>
      <c r="EUU85" s="1"/>
      <c r="EUV85" s="1"/>
      <c r="EUW85" s="1"/>
      <c r="EUX85" s="1"/>
      <c r="EUY85" s="1"/>
      <c r="EUZ85" s="1"/>
      <c r="EVA85" s="1"/>
      <c r="EVB85" s="1"/>
      <c r="EVC85" s="1"/>
      <c r="EVD85" s="1"/>
      <c r="EVE85" s="1"/>
      <c r="EVF85" s="1"/>
      <c r="EVG85" s="1"/>
      <c r="EVH85" s="1"/>
      <c r="EVI85" s="1"/>
      <c r="EVJ85" s="1"/>
      <c r="EVK85" s="1"/>
      <c r="EVL85" s="1"/>
      <c r="EVM85" s="1"/>
      <c r="EVN85" s="1"/>
      <c r="EVO85" s="1"/>
      <c r="EVP85" s="1"/>
      <c r="EVQ85" s="1"/>
      <c r="EVR85" s="1"/>
      <c r="EVS85" s="1"/>
      <c r="EVT85" s="1"/>
      <c r="EVU85" s="1"/>
      <c r="EVV85" s="1"/>
      <c r="EVW85" s="1"/>
      <c r="EVX85" s="1"/>
      <c r="EVY85" s="1"/>
      <c r="EVZ85" s="1"/>
      <c r="EWA85" s="1"/>
      <c r="EWB85" s="1"/>
      <c r="EWC85" s="1"/>
      <c r="EWD85" s="1"/>
      <c r="EWE85" s="1"/>
      <c r="EWF85" s="1"/>
      <c r="EWG85" s="1"/>
      <c r="EWH85" s="1"/>
      <c r="EWI85" s="1"/>
      <c r="EWJ85" s="1"/>
      <c r="EWK85" s="1"/>
      <c r="EWL85" s="1"/>
      <c r="EWM85" s="1"/>
      <c r="EWN85" s="1"/>
      <c r="EWO85" s="1"/>
      <c r="EWP85" s="1"/>
      <c r="EWQ85" s="1"/>
      <c r="EWR85" s="1"/>
      <c r="EWS85" s="1"/>
      <c r="EWT85" s="1"/>
      <c r="EWU85" s="1"/>
      <c r="EWV85" s="1"/>
      <c r="EWW85" s="1"/>
      <c r="EWX85" s="1"/>
      <c r="EWY85" s="1"/>
      <c r="EWZ85" s="1"/>
      <c r="EXA85" s="1"/>
      <c r="EXB85" s="1"/>
      <c r="EXC85" s="1"/>
      <c r="EXD85" s="1"/>
      <c r="EXE85" s="1"/>
      <c r="EXF85" s="1"/>
      <c r="EXG85" s="1"/>
      <c r="EXH85" s="1"/>
      <c r="EXI85" s="1"/>
      <c r="EXJ85" s="1"/>
      <c r="EXK85" s="1"/>
      <c r="EXL85" s="1"/>
      <c r="EXM85" s="1"/>
      <c r="EXN85" s="1"/>
      <c r="EXO85" s="1"/>
      <c r="EXP85" s="1"/>
      <c r="EXQ85" s="1"/>
      <c r="EXR85" s="1"/>
      <c r="EXS85" s="1"/>
      <c r="EXT85" s="1"/>
      <c r="EXU85" s="1"/>
      <c r="EXV85" s="1"/>
      <c r="EXW85" s="1"/>
      <c r="EXX85" s="1"/>
      <c r="EXY85" s="1"/>
      <c r="EXZ85" s="1"/>
      <c r="EYA85" s="1"/>
      <c r="EYB85" s="1"/>
      <c r="EYC85" s="1"/>
      <c r="EYD85" s="1"/>
      <c r="EYE85" s="1"/>
      <c r="EYF85" s="1"/>
      <c r="EYG85" s="1"/>
      <c r="EYH85" s="1"/>
      <c r="EYI85" s="1"/>
      <c r="EYJ85" s="1"/>
      <c r="EYK85" s="1"/>
      <c r="EYL85" s="1"/>
      <c r="EYM85" s="1"/>
      <c r="EYN85" s="1"/>
      <c r="EYO85" s="1"/>
      <c r="EYP85" s="1"/>
      <c r="EYQ85" s="1"/>
      <c r="EYR85" s="1"/>
      <c r="EYS85" s="1"/>
      <c r="EYT85" s="1"/>
      <c r="EYU85" s="1"/>
      <c r="EYV85" s="1"/>
      <c r="EYW85" s="1"/>
      <c r="EYX85" s="1"/>
      <c r="EYY85" s="1"/>
      <c r="EYZ85" s="1"/>
      <c r="EZA85" s="1"/>
      <c r="EZB85" s="1"/>
      <c r="EZC85" s="1"/>
      <c r="EZD85" s="1"/>
      <c r="EZE85" s="1"/>
      <c r="EZF85" s="1"/>
      <c r="EZG85" s="1"/>
      <c r="EZH85" s="1"/>
      <c r="EZI85" s="1"/>
      <c r="EZJ85" s="1"/>
      <c r="EZK85" s="1"/>
      <c r="EZL85" s="1"/>
      <c r="EZM85" s="1"/>
      <c r="EZN85" s="1"/>
      <c r="EZO85" s="1"/>
      <c r="EZP85" s="1"/>
      <c r="EZQ85" s="1"/>
      <c r="EZR85" s="1"/>
      <c r="EZS85" s="1"/>
      <c r="EZT85" s="1"/>
      <c r="EZU85" s="1"/>
      <c r="EZV85" s="1"/>
      <c r="EZW85" s="1"/>
      <c r="EZX85" s="1"/>
      <c r="EZY85" s="1"/>
      <c r="EZZ85" s="1"/>
      <c r="FAA85" s="1"/>
      <c r="FAB85" s="1"/>
      <c r="FAC85" s="1"/>
      <c r="FAD85" s="1"/>
      <c r="FAE85" s="1"/>
      <c r="FAF85" s="1"/>
      <c r="FAG85" s="1"/>
      <c r="FAH85" s="1"/>
      <c r="FAI85" s="1"/>
      <c r="FAJ85" s="1"/>
      <c r="FAK85" s="1"/>
      <c r="FAL85" s="1"/>
      <c r="FAM85" s="1"/>
      <c r="FAN85" s="1"/>
      <c r="FAO85" s="1"/>
      <c r="FAP85" s="1"/>
      <c r="FAQ85" s="1"/>
      <c r="FAR85" s="1"/>
      <c r="FAS85" s="1"/>
      <c r="FAT85" s="1"/>
      <c r="FAU85" s="1"/>
      <c r="FAV85" s="1"/>
      <c r="FAW85" s="1"/>
      <c r="FAX85" s="1"/>
      <c r="FAY85" s="1"/>
      <c r="FAZ85" s="1"/>
      <c r="FBA85" s="1"/>
      <c r="FBB85" s="1"/>
      <c r="FBC85" s="1"/>
      <c r="FBD85" s="1"/>
      <c r="FBE85" s="1"/>
      <c r="FBF85" s="1"/>
      <c r="FBG85" s="1"/>
      <c r="FBH85" s="1"/>
      <c r="FBI85" s="1"/>
      <c r="FBJ85" s="1"/>
      <c r="FBK85" s="1"/>
      <c r="FBL85" s="1"/>
      <c r="FBM85" s="1"/>
      <c r="FBN85" s="1"/>
      <c r="FBO85" s="1"/>
      <c r="FBP85" s="1"/>
      <c r="FBQ85" s="1"/>
      <c r="FBR85" s="1"/>
      <c r="FBS85" s="1"/>
      <c r="FBT85" s="1"/>
      <c r="FBU85" s="1"/>
      <c r="FBV85" s="1"/>
      <c r="FBW85" s="1"/>
      <c r="FBX85" s="1"/>
      <c r="FBY85" s="1"/>
      <c r="FBZ85" s="1"/>
      <c r="FCA85" s="1"/>
      <c r="FCB85" s="1"/>
      <c r="FCC85" s="1"/>
      <c r="FCD85" s="1"/>
      <c r="FCE85" s="1"/>
      <c r="FCF85" s="1"/>
      <c r="FCG85" s="1"/>
      <c r="FCH85" s="1"/>
      <c r="FCI85" s="1"/>
      <c r="FCJ85" s="1"/>
      <c r="FCK85" s="1"/>
      <c r="FCL85" s="1"/>
      <c r="FCM85" s="1"/>
      <c r="FCN85" s="1"/>
      <c r="FCO85" s="1"/>
      <c r="FCP85" s="1"/>
      <c r="FCQ85" s="1"/>
      <c r="FCR85" s="1"/>
      <c r="FCS85" s="1"/>
      <c r="FCT85" s="1"/>
      <c r="FCU85" s="1"/>
      <c r="FCV85" s="1"/>
      <c r="FCW85" s="1"/>
      <c r="FCX85" s="1"/>
      <c r="FCY85" s="1"/>
      <c r="FCZ85" s="1"/>
      <c r="FDA85" s="1"/>
      <c r="FDB85" s="1"/>
      <c r="FDC85" s="1"/>
      <c r="FDD85" s="1"/>
      <c r="FDE85" s="1"/>
      <c r="FDF85" s="1"/>
      <c r="FDG85" s="1"/>
      <c r="FDH85" s="1"/>
      <c r="FDI85" s="1"/>
      <c r="FDJ85" s="1"/>
      <c r="FDK85" s="1"/>
      <c r="FDL85" s="1"/>
      <c r="FDM85" s="1"/>
      <c r="FDN85" s="1"/>
      <c r="FDO85" s="1"/>
      <c r="FDP85" s="1"/>
      <c r="FDQ85" s="1"/>
      <c r="FDR85" s="1"/>
      <c r="FDS85" s="1"/>
      <c r="FDT85" s="1"/>
      <c r="FDU85" s="1"/>
      <c r="FDV85" s="1"/>
      <c r="FDW85" s="1"/>
      <c r="FDX85" s="1"/>
      <c r="FDY85" s="1"/>
      <c r="FDZ85" s="1"/>
      <c r="FEA85" s="1"/>
      <c r="FEB85" s="1"/>
      <c r="FEC85" s="1"/>
      <c r="FED85" s="1"/>
      <c r="FEE85" s="1"/>
      <c r="FEF85" s="1"/>
      <c r="FEG85" s="1"/>
      <c r="FEH85" s="1"/>
      <c r="FEI85" s="1"/>
      <c r="FEJ85" s="1"/>
      <c r="FEK85" s="1"/>
      <c r="FEL85" s="1"/>
      <c r="FEM85" s="1"/>
      <c r="FEN85" s="1"/>
      <c r="FEO85" s="1"/>
      <c r="FEP85" s="1"/>
      <c r="FEQ85" s="1"/>
      <c r="FER85" s="1"/>
      <c r="FES85" s="1"/>
      <c r="FET85" s="1"/>
      <c r="FEU85" s="1"/>
      <c r="FEV85" s="1"/>
      <c r="FEW85" s="1"/>
      <c r="FEX85" s="1"/>
      <c r="FEY85" s="1"/>
      <c r="FEZ85" s="1"/>
      <c r="FFA85" s="1"/>
      <c r="FFB85" s="1"/>
      <c r="FFC85" s="1"/>
      <c r="FFD85" s="1"/>
      <c r="FFE85" s="1"/>
      <c r="FFF85" s="1"/>
      <c r="FFG85" s="1"/>
      <c r="FFH85" s="1"/>
      <c r="FFI85" s="1"/>
      <c r="FFJ85" s="1"/>
      <c r="FFK85" s="1"/>
      <c r="FFL85" s="1"/>
      <c r="FFM85" s="1"/>
      <c r="FFN85" s="1"/>
      <c r="FFO85" s="1"/>
      <c r="FFP85" s="1"/>
      <c r="FFQ85" s="1"/>
      <c r="FFR85" s="1"/>
      <c r="FFS85" s="1"/>
      <c r="FFT85" s="1"/>
      <c r="FFU85" s="1"/>
      <c r="FFV85" s="1"/>
      <c r="FFW85" s="1"/>
      <c r="FFX85" s="1"/>
      <c r="FFY85" s="1"/>
      <c r="FFZ85" s="1"/>
      <c r="FGA85" s="1"/>
      <c r="FGB85" s="1"/>
      <c r="FGC85" s="1"/>
      <c r="FGD85" s="1"/>
      <c r="FGE85" s="1"/>
      <c r="FGF85" s="1"/>
      <c r="FGG85" s="1"/>
      <c r="FGH85" s="1"/>
      <c r="FGI85" s="1"/>
      <c r="FGJ85" s="1"/>
      <c r="FGK85" s="1"/>
      <c r="FGL85" s="1"/>
      <c r="FGM85" s="1"/>
      <c r="FGN85" s="1"/>
      <c r="FGO85" s="1"/>
      <c r="FGP85" s="1"/>
      <c r="FGQ85" s="1"/>
      <c r="FGR85" s="1"/>
      <c r="FGS85" s="1"/>
      <c r="FGT85" s="1"/>
      <c r="FGU85" s="1"/>
      <c r="FGV85" s="1"/>
      <c r="FGW85" s="1"/>
      <c r="FGX85" s="1"/>
      <c r="FGY85" s="1"/>
      <c r="FGZ85" s="1"/>
      <c r="FHA85" s="1"/>
      <c r="FHB85" s="1"/>
      <c r="FHC85" s="1"/>
      <c r="FHD85" s="1"/>
      <c r="FHE85" s="1"/>
      <c r="FHF85" s="1"/>
      <c r="FHG85" s="1"/>
      <c r="FHH85" s="1"/>
      <c r="FHI85" s="1"/>
      <c r="FHJ85" s="1"/>
      <c r="FHK85" s="1"/>
      <c r="FHL85" s="1"/>
      <c r="FHM85" s="1"/>
      <c r="FHN85" s="1"/>
      <c r="FHO85" s="1"/>
      <c r="FHP85" s="1"/>
      <c r="FHQ85" s="1"/>
      <c r="FHR85" s="1"/>
      <c r="FHS85" s="1"/>
      <c r="FHT85" s="1"/>
      <c r="FHU85" s="1"/>
      <c r="FHV85" s="1"/>
      <c r="FHW85" s="1"/>
      <c r="FHX85" s="1"/>
      <c r="FHY85" s="1"/>
      <c r="FHZ85" s="1"/>
      <c r="FIA85" s="1"/>
      <c r="FIB85" s="1"/>
      <c r="FIC85" s="1"/>
      <c r="FID85" s="1"/>
      <c r="FIE85" s="1"/>
      <c r="FIF85" s="1"/>
      <c r="FIG85" s="1"/>
      <c r="FIH85" s="1"/>
      <c r="FII85" s="1"/>
      <c r="FIJ85" s="1"/>
      <c r="FIK85" s="1"/>
      <c r="FIL85" s="1"/>
      <c r="FIM85" s="1"/>
      <c r="FIN85" s="1"/>
      <c r="FIO85" s="1"/>
      <c r="FIP85" s="1"/>
      <c r="FIQ85" s="1"/>
      <c r="FIR85" s="1"/>
      <c r="FIS85" s="1"/>
      <c r="FIT85" s="1"/>
      <c r="FIU85" s="1"/>
      <c r="FIV85" s="1"/>
      <c r="FIW85" s="1"/>
      <c r="FIX85" s="1"/>
      <c r="FIY85" s="1"/>
      <c r="FIZ85" s="1"/>
      <c r="FJA85" s="1"/>
      <c r="FJB85" s="1"/>
      <c r="FJC85" s="1"/>
      <c r="FJD85" s="1"/>
      <c r="FJE85" s="1"/>
      <c r="FJF85" s="1"/>
      <c r="FJG85" s="1"/>
      <c r="FJH85" s="1"/>
      <c r="FJI85" s="1"/>
      <c r="FJJ85" s="1"/>
      <c r="FJK85" s="1"/>
      <c r="FJL85" s="1"/>
      <c r="FJM85" s="1"/>
      <c r="FJN85" s="1"/>
      <c r="FJO85" s="1"/>
      <c r="FJP85" s="1"/>
      <c r="FJQ85" s="1"/>
      <c r="FJR85" s="1"/>
      <c r="FJS85" s="1"/>
      <c r="FJT85" s="1"/>
      <c r="FJU85" s="1"/>
      <c r="FJV85" s="1"/>
      <c r="FJW85" s="1"/>
      <c r="FJX85" s="1"/>
      <c r="FJY85" s="1"/>
      <c r="FJZ85" s="1"/>
      <c r="FKA85" s="1"/>
      <c r="FKB85" s="1"/>
      <c r="FKC85" s="1"/>
      <c r="FKD85" s="1"/>
      <c r="FKE85" s="1"/>
      <c r="FKF85" s="1"/>
      <c r="FKG85" s="1"/>
      <c r="FKH85" s="1"/>
      <c r="FKI85" s="1"/>
      <c r="FKJ85" s="1"/>
      <c r="FKK85" s="1"/>
      <c r="FKL85" s="1"/>
      <c r="FKM85" s="1"/>
      <c r="FKN85" s="1"/>
      <c r="FKO85" s="1"/>
      <c r="FKP85" s="1"/>
      <c r="FKQ85" s="1"/>
      <c r="FKR85" s="1"/>
      <c r="FKS85" s="1"/>
      <c r="FKT85" s="1"/>
      <c r="FKU85" s="1"/>
      <c r="FKV85" s="1"/>
      <c r="FKW85" s="1"/>
      <c r="FKX85" s="1"/>
      <c r="FKY85" s="1"/>
      <c r="FKZ85" s="1"/>
      <c r="FLA85" s="1"/>
      <c r="FLB85" s="1"/>
      <c r="FLC85" s="1"/>
      <c r="FLD85" s="1"/>
      <c r="FLE85" s="1"/>
      <c r="FLF85" s="1"/>
      <c r="FLG85" s="1"/>
      <c r="FLH85" s="1"/>
      <c r="FLI85" s="1"/>
      <c r="FLJ85" s="1"/>
      <c r="FLK85" s="1"/>
      <c r="FLL85" s="1"/>
      <c r="FLM85" s="1"/>
      <c r="FLN85" s="1"/>
      <c r="FLO85" s="1"/>
      <c r="FLP85" s="1"/>
      <c r="FLQ85" s="1"/>
      <c r="FLR85" s="1"/>
      <c r="FLS85" s="1"/>
      <c r="FLT85" s="1"/>
      <c r="FLU85" s="1"/>
      <c r="FLV85" s="1"/>
      <c r="FLW85" s="1"/>
      <c r="FLX85" s="1"/>
      <c r="FLY85" s="1"/>
      <c r="FLZ85" s="1"/>
      <c r="FMA85" s="1"/>
      <c r="FMB85" s="1"/>
      <c r="FMC85" s="1"/>
      <c r="FMD85" s="1"/>
      <c r="FME85" s="1"/>
      <c r="FMF85" s="1"/>
      <c r="FMG85" s="1"/>
      <c r="FMH85" s="1"/>
      <c r="FMI85" s="1"/>
      <c r="FMJ85" s="1"/>
      <c r="FMK85" s="1"/>
      <c r="FML85" s="1"/>
      <c r="FMM85" s="1"/>
      <c r="FMN85" s="1"/>
      <c r="FMO85" s="1"/>
      <c r="FMP85" s="1"/>
      <c r="FMQ85" s="1"/>
      <c r="FMR85" s="1"/>
      <c r="FMS85" s="1"/>
      <c r="FMT85" s="1"/>
      <c r="FMU85" s="1"/>
      <c r="FMV85" s="1"/>
      <c r="FMW85" s="1"/>
      <c r="FMX85" s="1"/>
      <c r="FMY85" s="1"/>
      <c r="FMZ85" s="1"/>
      <c r="FNA85" s="1"/>
      <c r="FNB85" s="1"/>
      <c r="FNC85" s="1"/>
      <c r="FND85" s="1"/>
      <c r="FNE85" s="1"/>
      <c r="FNF85" s="1"/>
      <c r="FNG85" s="1"/>
      <c r="FNH85" s="1"/>
      <c r="FNI85" s="1"/>
      <c r="FNJ85" s="1"/>
      <c r="FNK85" s="1"/>
      <c r="FNL85" s="1"/>
      <c r="FNM85" s="1"/>
      <c r="FNN85" s="1"/>
      <c r="FNO85" s="1"/>
      <c r="FNP85" s="1"/>
      <c r="FNQ85" s="1"/>
      <c r="FNR85" s="1"/>
      <c r="FNS85" s="1"/>
      <c r="FNT85" s="1"/>
      <c r="FNU85" s="1"/>
      <c r="FNV85" s="1"/>
      <c r="FNW85" s="1"/>
      <c r="FNX85" s="1"/>
      <c r="FNY85" s="1"/>
      <c r="FNZ85" s="1"/>
      <c r="FOA85" s="1"/>
      <c r="FOB85" s="1"/>
      <c r="FOC85" s="1"/>
      <c r="FOD85" s="1"/>
      <c r="FOE85" s="1"/>
      <c r="FOF85" s="1"/>
      <c r="FOG85" s="1"/>
      <c r="FOH85" s="1"/>
      <c r="FOI85" s="1"/>
      <c r="FOJ85" s="1"/>
      <c r="FOK85" s="1"/>
      <c r="FOL85" s="1"/>
      <c r="FOM85" s="1"/>
      <c r="FON85" s="1"/>
      <c r="FOO85" s="1"/>
      <c r="FOP85" s="1"/>
      <c r="FOQ85" s="1"/>
      <c r="FOR85" s="1"/>
      <c r="FOS85" s="1"/>
      <c r="FOT85" s="1"/>
      <c r="FOU85" s="1"/>
      <c r="FOV85" s="1"/>
      <c r="FOW85" s="1"/>
      <c r="FOX85" s="1"/>
      <c r="FOY85" s="1"/>
      <c r="FOZ85" s="1"/>
      <c r="FPA85" s="1"/>
      <c r="FPB85" s="1"/>
      <c r="FPC85" s="1"/>
      <c r="FPD85" s="1"/>
      <c r="FPE85" s="1"/>
      <c r="FPF85" s="1"/>
      <c r="FPG85" s="1"/>
      <c r="FPH85" s="1"/>
      <c r="FPI85" s="1"/>
      <c r="FPJ85" s="1"/>
      <c r="FPK85" s="1"/>
      <c r="FPL85" s="1"/>
      <c r="FPM85" s="1"/>
      <c r="FPN85" s="1"/>
      <c r="FPO85" s="1"/>
      <c r="FPP85" s="1"/>
      <c r="FPQ85" s="1"/>
      <c r="FPR85" s="1"/>
      <c r="FPS85" s="1"/>
      <c r="FPT85" s="1"/>
      <c r="FPU85" s="1"/>
      <c r="FPV85" s="1"/>
      <c r="FPW85" s="1"/>
      <c r="FPX85" s="1"/>
      <c r="FPY85" s="1"/>
      <c r="FPZ85" s="1"/>
      <c r="FQA85" s="1"/>
      <c r="FQB85" s="1"/>
      <c r="FQC85" s="1"/>
      <c r="FQD85" s="1"/>
      <c r="FQE85" s="1"/>
      <c r="FQF85" s="1"/>
      <c r="FQG85" s="1"/>
      <c r="FQH85" s="1"/>
      <c r="FQI85" s="1"/>
      <c r="FQJ85" s="1"/>
      <c r="FQK85" s="1"/>
      <c r="FQL85" s="1"/>
      <c r="FQM85" s="1"/>
      <c r="FQN85" s="1"/>
      <c r="FQO85" s="1"/>
      <c r="FQP85" s="1"/>
      <c r="FQQ85" s="1"/>
      <c r="FQR85" s="1"/>
      <c r="FQS85" s="1"/>
      <c r="FQT85" s="1"/>
      <c r="FQU85" s="1"/>
      <c r="FQV85" s="1"/>
      <c r="FQW85" s="1"/>
      <c r="FQX85" s="1"/>
      <c r="FQY85" s="1"/>
      <c r="FQZ85" s="1"/>
      <c r="FRA85" s="1"/>
      <c r="FRB85" s="1"/>
      <c r="FRC85" s="1"/>
      <c r="FRD85" s="1"/>
      <c r="FRE85" s="1"/>
      <c r="FRF85" s="1"/>
      <c r="FRG85" s="1"/>
      <c r="FRH85" s="1"/>
      <c r="FRI85" s="1"/>
      <c r="FRJ85" s="1"/>
      <c r="FRK85" s="1"/>
      <c r="FRL85" s="1"/>
      <c r="FRM85" s="1"/>
      <c r="FRN85" s="1"/>
      <c r="FRO85" s="1"/>
      <c r="FRP85" s="1"/>
      <c r="FRQ85" s="1"/>
      <c r="FRR85" s="1"/>
      <c r="FRS85" s="1"/>
      <c r="FRT85" s="1"/>
      <c r="FRU85" s="1"/>
      <c r="FRV85" s="1"/>
      <c r="FRW85" s="1"/>
      <c r="FRX85" s="1"/>
      <c r="FRY85" s="1"/>
      <c r="FRZ85" s="1"/>
      <c r="FSA85" s="1"/>
      <c r="FSB85" s="1"/>
      <c r="FSC85" s="1"/>
      <c r="FSD85" s="1"/>
      <c r="FSE85" s="1"/>
      <c r="FSF85" s="1"/>
      <c r="FSG85" s="1"/>
      <c r="FSH85" s="1"/>
      <c r="FSI85" s="1"/>
      <c r="FSJ85" s="1"/>
      <c r="FSK85" s="1"/>
      <c r="FSL85" s="1"/>
      <c r="FSM85" s="1"/>
      <c r="FSN85" s="1"/>
      <c r="FSO85" s="1"/>
      <c r="FSP85" s="1"/>
      <c r="FSQ85" s="1"/>
      <c r="FSR85" s="1"/>
      <c r="FSS85" s="1"/>
      <c r="FST85" s="1"/>
      <c r="FSU85" s="1"/>
      <c r="FSV85" s="1"/>
      <c r="FSW85" s="1"/>
      <c r="FSX85" s="1"/>
      <c r="FSY85" s="1"/>
      <c r="FSZ85" s="1"/>
      <c r="FTA85" s="1"/>
      <c r="FTB85" s="1"/>
      <c r="FTC85" s="1"/>
      <c r="FTD85" s="1"/>
      <c r="FTE85" s="1"/>
      <c r="FTF85" s="1"/>
      <c r="FTG85" s="1"/>
      <c r="FTH85" s="1"/>
      <c r="FTI85" s="1"/>
      <c r="FTJ85" s="1"/>
      <c r="FTK85" s="1"/>
      <c r="FTL85" s="1"/>
      <c r="FTM85" s="1"/>
      <c r="FTN85" s="1"/>
      <c r="FTO85" s="1"/>
      <c r="FTP85" s="1"/>
      <c r="FTQ85" s="1"/>
      <c r="FTR85" s="1"/>
      <c r="FTS85" s="1"/>
      <c r="FTT85" s="1"/>
      <c r="FTU85" s="1"/>
      <c r="FTV85" s="1"/>
      <c r="FTW85" s="1"/>
      <c r="FTX85" s="1"/>
      <c r="FTY85" s="1"/>
      <c r="FTZ85" s="1"/>
      <c r="FUA85" s="1"/>
      <c r="FUB85" s="1"/>
      <c r="FUC85" s="1"/>
      <c r="FUD85" s="1"/>
      <c r="FUE85" s="1"/>
      <c r="FUF85" s="1"/>
      <c r="FUG85" s="1"/>
      <c r="FUH85" s="1"/>
      <c r="FUI85" s="1"/>
      <c r="FUJ85" s="1"/>
      <c r="FUK85" s="1"/>
      <c r="FUL85" s="1"/>
      <c r="FUM85" s="1"/>
      <c r="FUN85" s="1"/>
      <c r="FUO85" s="1"/>
      <c r="FUP85" s="1"/>
      <c r="FUQ85" s="1"/>
      <c r="FUR85" s="1"/>
      <c r="FUS85" s="1"/>
      <c r="FUT85" s="1"/>
      <c r="FUU85" s="1"/>
      <c r="FUV85" s="1"/>
      <c r="FUW85" s="1"/>
      <c r="FUX85" s="1"/>
      <c r="FUY85" s="1"/>
      <c r="FUZ85" s="1"/>
      <c r="FVA85" s="1"/>
      <c r="FVB85" s="1"/>
      <c r="FVC85" s="1"/>
      <c r="FVD85" s="1"/>
      <c r="FVE85" s="1"/>
      <c r="FVF85" s="1"/>
      <c r="FVG85" s="1"/>
      <c r="FVH85" s="1"/>
      <c r="FVI85" s="1"/>
      <c r="FVJ85" s="1"/>
      <c r="FVK85" s="1"/>
      <c r="FVL85" s="1"/>
      <c r="FVM85" s="1"/>
      <c r="FVN85" s="1"/>
      <c r="FVO85" s="1"/>
      <c r="FVP85" s="1"/>
      <c r="FVQ85" s="1"/>
      <c r="FVR85" s="1"/>
      <c r="FVS85" s="1"/>
      <c r="FVT85" s="1"/>
      <c r="FVU85" s="1"/>
      <c r="FVV85" s="1"/>
      <c r="FVW85" s="1"/>
      <c r="FVX85" s="1"/>
      <c r="FVY85" s="1"/>
      <c r="FVZ85" s="1"/>
      <c r="FWA85" s="1"/>
      <c r="FWB85" s="1"/>
      <c r="FWC85" s="1"/>
      <c r="FWD85" s="1"/>
      <c r="FWE85" s="1"/>
      <c r="FWF85" s="1"/>
      <c r="FWG85" s="1"/>
      <c r="FWH85" s="1"/>
      <c r="FWI85" s="1"/>
      <c r="FWJ85" s="1"/>
      <c r="FWK85" s="1"/>
      <c r="FWL85" s="1"/>
      <c r="FWM85" s="1"/>
      <c r="FWN85" s="1"/>
      <c r="FWO85" s="1"/>
      <c r="FWP85" s="1"/>
      <c r="FWQ85" s="1"/>
      <c r="FWR85" s="1"/>
      <c r="FWS85" s="1"/>
      <c r="FWT85" s="1"/>
      <c r="FWU85" s="1"/>
      <c r="FWV85" s="1"/>
      <c r="FWW85" s="1"/>
      <c r="FWX85" s="1"/>
      <c r="FWY85" s="1"/>
      <c r="FWZ85" s="1"/>
      <c r="FXA85" s="1"/>
      <c r="FXB85" s="1"/>
      <c r="FXC85" s="1"/>
      <c r="FXD85" s="1"/>
      <c r="FXE85" s="1"/>
      <c r="FXF85" s="1"/>
      <c r="FXG85" s="1"/>
      <c r="FXH85" s="1"/>
      <c r="FXI85" s="1"/>
      <c r="FXJ85" s="1"/>
      <c r="FXK85" s="1"/>
      <c r="FXL85" s="1"/>
      <c r="FXM85" s="1"/>
      <c r="FXN85" s="1"/>
      <c r="FXO85" s="1"/>
      <c r="FXP85" s="1"/>
      <c r="FXQ85" s="1"/>
      <c r="FXR85" s="1"/>
      <c r="FXS85" s="1"/>
      <c r="FXT85" s="1"/>
      <c r="FXU85" s="1"/>
      <c r="FXV85" s="1"/>
      <c r="FXW85" s="1"/>
      <c r="FXX85" s="1"/>
      <c r="FXY85" s="1"/>
      <c r="FXZ85" s="1"/>
      <c r="FYA85" s="1"/>
      <c r="FYB85" s="1"/>
      <c r="FYC85" s="1"/>
      <c r="FYD85" s="1"/>
      <c r="FYE85" s="1"/>
      <c r="FYF85" s="1"/>
      <c r="FYG85" s="1"/>
      <c r="FYH85" s="1"/>
      <c r="FYI85" s="1"/>
      <c r="FYJ85" s="1"/>
      <c r="FYK85" s="1"/>
      <c r="FYL85" s="1"/>
      <c r="FYM85" s="1"/>
      <c r="FYN85" s="1"/>
      <c r="FYO85" s="1"/>
      <c r="FYP85" s="1"/>
      <c r="FYQ85" s="1"/>
      <c r="FYR85" s="1"/>
      <c r="FYS85" s="1"/>
      <c r="FYT85" s="1"/>
      <c r="FYU85" s="1"/>
      <c r="FYV85" s="1"/>
      <c r="FYW85" s="1"/>
      <c r="FYX85" s="1"/>
      <c r="FYY85" s="1"/>
      <c r="FYZ85" s="1"/>
      <c r="FZA85" s="1"/>
      <c r="FZB85" s="1"/>
      <c r="FZC85" s="1"/>
      <c r="FZD85" s="1"/>
      <c r="FZE85" s="1"/>
      <c r="FZF85" s="1"/>
      <c r="FZG85" s="1"/>
      <c r="FZH85" s="1"/>
      <c r="FZI85" s="1"/>
      <c r="FZJ85" s="1"/>
      <c r="FZK85" s="1"/>
      <c r="FZL85" s="1"/>
      <c r="FZM85" s="1"/>
      <c r="FZN85" s="1"/>
      <c r="FZO85" s="1"/>
      <c r="FZP85" s="1"/>
      <c r="FZQ85" s="1"/>
      <c r="FZR85" s="1"/>
      <c r="FZS85" s="1"/>
      <c r="FZT85" s="1"/>
      <c r="FZU85" s="1"/>
      <c r="FZV85" s="1"/>
      <c r="FZW85" s="1"/>
      <c r="FZX85" s="1"/>
      <c r="FZY85" s="1"/>
      <c r="FZZ85" s="1"/>
      <c r="GAA85" s="1"/>
      <c r="GAB85" s="1"/>
      <c r="GAC85" s="1"/>
      <c r="GAD85" s="1"/>
      <c r="GAE85" s="1"/>
      <c r="GAF85" s="1"/>
      <c r="GAG85" s="1"/>
      <c r="GAH85" s="1"/>
      <c r="GAI85" s="1"/>
      <c r="GAJ85" s="1"/>
      <c r="GAK85" s="1"/>
      <c r="GAL85" s="1"/>
      <c r="GAM85" s="1"/>
      <c r="GAN85" s="1"/>
      <c r="GAO85" s="1"/>
      <c r="GAP85" s="1"/>
      <c r="GAQ85" s="1"/>
      <c r="GAR85" s="1"/>
      <c r="GAS85" s="1"/>
      <c r="GAT85" s="1"/>
      <c r="GAU85" s="1"/>
      <c r="GAV85" s="1"/>
      <c r="GAW85" s="1"/>
      <c r="GAX85" s="1"/>
      <c r="GAY85" s="1"/>
      <c r="GAZ85" s="1"/>
      <c r="GBA85" s="1"/>
      <c r="GBB85" s="1"/>
      <c r="GBC85" s="1"/>
      <c r="GBD85" s="1"/>
      <c r="GBE85" s="1"/>
      <c r="GBF85" s="1"/>
      <c r="GBG85" s="1"/>
      <c r="GBH85" s="1"/>
      <c r="GBI85" s="1"/>
      <c r="GBJ85" s="1"/>
      <c r="GBK85" s="1"/>
      <c r="GBL85" s="1"/>
      <c r="GBM85" s="1"/>
      <c r="GBN85" s="1"/>
      <c r="GBO85" s="1"/>
      <c r="GBP85" s="1"/>
      <c r="GBQ85" s="1"/>
      <c r="GBR85" s="1"/>
      <c r="GBS85" s="1"/>
      <c r="GBT85" s="1"/>
      <c r="GBU85" s="1"/>
      <c r="GBV85" s="1"/>
      <c r="GBW85" s="1"/>
      <c r="GBX85" s="1"/>
      <c r="GBY85" s="1"/>
      <c r="GBZ85" s="1"/>
      <c r="GCA85" s="1"/>
      <c r="GCB85" s="1"/>
      <c r="GCC85" s="1"/>
      <c r="GCD85" s="1"/>
      <c r="GCE85" s="1"/>
      <c r="GCF85" s="1"/>
      <c r="GCG85" s="1"/>
      <c r="GCH85" s="1"/>
      <c r="GCI85" s="1"/>
      <c r="GCJ85" s="1"/>
      <c r="GCK85" s="1"/>
      <c r="GCL85" s="1"/>
      <c r="GCM85" s="1"/>
      <c r="GCN85" s="1"/>
      <c r="GCO85" s="1"/>
      <c r="GCP85" s="1"/>
      <c r="GCQ85" s="1"/>
      <c r="GCR85" s="1"/>
      <c r="GCS85" s="1"/>
      <c r="GCT85" s="1"/>
      <c r="GCU85" s="1"/>
      <c r="GCV85" s="1"/>
      <c r="GCW85" s="1"/>
      <c r="GCX85" s="1"/>
      <c r="GCY85" s="1"/>
      <c r="GCZ85" s="1"/>
      <c r="GDA85" s="1"/>
      <c r="GDB85" s="1"/>
      <c r="GDC85" s="1"/>
      <c r="GDD85" s="1"/>
      <c r="GDE85" s="1"/>
      <c r="GDF85" s="1"/>
      <c r="GDG85" s="1"/>
      <c r="GDH85" s="1"/>
      <c r="GDI85" s="1"/>
      <c r="GDJ85" s="1"/>
      <c r="GDK85" s="1"/>
      <c r="GDL85" s="1"/>
      <c r="GDM85" s="1"/>
      <c r="GDN85" s="1"/>
      <c r="GDO85" s="1"/>
      <c r="GDP85" s="1"/>
      <c r="GDQ85" s="1"/>
      <c r="GDR85" s="1"/>
      <c r="GDS85" s="1"/>
      <c r="GDT85" s="1"/>
      <c r="GDU85" s="1"/>
      <c r="GDV85" s="1"/>
      <c r="GDW85" s="1"/>
      <c r="GDX85" s="1"/>
      <c r="GDY85" s="1"/>
      <c r="GDZ85" s="1"/>
      <c r="GEA85" s="1"/>
      <c r="GEB85" s="1"/>
      <c r="GEC85" s="1"/>
      <c r="GED85" s="1"/>
      <c r="GEE85" s="1"/>
      <c r="GEF85" s="1"/>
      <c r="GEG85" s="1"/>
      <c r="GEH85" s="1"/>
      <c r="GEI85" s="1"/>
      <c r="GEJ85" s="1"/>
      <c r="GEK85" s="1"/>
      <c r="GEL85" s="1"/>
      <c r="GEM85" s="1"/>
      <c r="GEN85" s="1"/>
      <c r="GEO85" s="1"/>
      <c r="GEP85" s="1"/>
      <c r="GEQ85" s="1"/>
      <c r="GER85" s="1"/>
      <c r="GES85" s="1"/>
      <c r="GET85" s="1"/>
      <c r="GEU85" s="1"/>
      <c r="GEV85" s="1"/>
      <c r="GEW85" s="1"/>
      <c r="GEX85" s="1"/>
      <c r="GEY85" s="1"/>
      <c r="GEZ85" s="1"/>
      <c r="GFA85" s="1"/>
      <c r="GFB85" s="1"/>
      <c r="GFC85" s="1"/>
      <c r="GFD85" s="1"/>
      <c r="GFE85" s="1"/>
      <c r="GFF85" s="1"/>
      <c r="GFG85" s="1"/>
      <c r="GFH85" s="1"/>
      <c r="GFI85" s="1"/>
      <c r="GFJ85" s="1"/>
      <c r="GFK85" s="1"/>
      <c r="GFL85" s="1"/>
      <c r="GFM85" s="1"/>
      <c r="GFN85" s="1"/>
      <c r="GFO85" s="1"/>
      <c r="GFP85" s="1"/>
      <c r="GFQ85" s="1"/>
      <c r="GFR85" s="1"/>
      <c r="GFS85" s="1"/>
      <c r="GFT85" s="1"/>
      <c r="GFU85" s="1"/>
      <c r="GFV85" s="1"/>
      <c r="GFW85" s="1"/>
      <c r="GFX85" s="1"/>
      <c r="GFY85" s="1"/>
      <c r="GFZ85" s="1"/>
      <c r="GGA85" s="1"/>
      <c r="GGB85" s="1"/>
      <c r="GGC85" s="1"/>
      <c r="GGD85" s="1"/>
      <c r="GGE85" s="1"/>
      <c r="GGF85" s="1"/>
      <c r="GGG85" s="1"/>
      <c r="GGH85" s="1"/>
      <c r="GGI85" s="1"/>
      <c r="GGJ85" s="1"/>
      <c r="GGK85" s="1"/>
      <c r="GGL85" s="1"/>
      <c r="GGM85" s="1"/>
      <c r="GGN85" s="1"/>
      <c r="GGO85" s="1"/>
      <c r="GGP85" s="1"/>
      <c r="GGQ85" s="1"/>
      <c r="GGR85" s="1"/>
      <c r="GGS85" s="1"/>
      <c r="GGT85" s="1"/>
      <c r="GGU85" s="1"/>
      <c r="GGV85" s="1"/>
      <c r="GGW85" s="1"/>
      <c r="GGX85" s="1"/>
      <c r="GGY85" s="1"/>
      <c r="GGZ85" s="1"/>
      <c r="GHA85" s="1"/>
      <c r="GHB85" s="1"/>
      <c r="GHC85" s="1"/>
      <c r="GHD85" s="1"/>
      <c r="GHE85" s="1"/>
      <c r="GHF85" s="1"/>
      <c r="GHG85" s="1"/>
      <c r="GHH85" s="1"/>
      <c r="GHI85" s="1"/>
      <c r="GHJ85" s="1"/>
      <c r="GHK85" s="1"/>
      <c r="GHL85" s="1"/>
      <c r="GHM85" s="1"/>
      <c r="GHN85" s="1"/>
      <c r="GHO85" s="1"/>
      <c r="GHP85" s="1"/>
      <c r="GHQ85" s="1"/>
      <c r="GHR85" s="1"/>
      <c r="GHS85" s="1"/>
      <c r="GHT85" s="1"/>
      <c r="GHU85" s="1"/>
      <c r="GHV85" s="1"/>
      <c r="GHW85" s="1"/>
      <c r="GHX85" s="1"/>
      <c r="GHY85" s="1"/>
      <c r="GHZ85" s="1"/>
      <c r="GIA85" s="1"/>
      <c r="GIB85" s="1"/>
      <c r="GIC85" s="1"/>
      <c r="GID85" s="1"/>
      <c r="GIE85" s="1"/>
      <c r="GIF85" s="1"/>
      <c r="GIG85" s="1"/>
      <c r="GIH85" s="1"/>
      <c r="GII85" s="1"/>
      <c r="GIJ85" s="1"/>
      <c r="GIK85" s="1"/>
      <c r="GIL85" s="1"/>
      <c r="GIM85" s="1"/>
      <c r="GIN85" s="1"/>
      <c r="GIO85" s="1"/>
      <c r="GIP85" s="1"/>
      <c r="GIQ85" s="1"/>
      <c r="GIR85" s="1"/>
      <c r="GIS85" s="1"/>
      <c r="GIT85" s="1"/>
      <c r="GIU85" s="1"/>
      <c r="GIV85" s="1"/>
      <c r="GIW85" s="1"/>
      <c r="GIX85" s="1"/>
      <c r="GIY85" s="1"/>
      <c r="GIZ85" s="1"/>
      <c r="GJA85" s="1"/>
      <c r="GJB85" s="1"/>
      <c r="GJC85" s="1"/>
      <c r="GJD85" s="1"/>
      <c r="GJE85" s="1"/>
      <c r="GJF85" s="1"/>
      <c r="GJG85" s="1"/>
      <c r="GJH85" s="1"/>
      <c r="GJI85" s="1"/>
      <c r="GJJ85" s="1"/>
      <c r="GJK85" s="1"/>
      <c r="GJL85" s="1"/>
      <c r="GJM85" s="1"/>
      <c r="GJN85" s="1"/>
      <c r="GJO85" s="1"/>
      <c r="GJP85" s="1"/>
      <c r="GJQ85" s="1"/>
      <c r="GJR85" s="1"/>
      <c r="GJS85" s="1"/>
      <c r="GJT85" s="1"/>
      <c r="GJU85" s="1"/>
      <c r="GJV85" s="1"/>
      <c r="GJW85" s="1"/>
      <c r="GJX85" s="1"/>
      <c r="GJY85" s="1"/>
      <c r="GJZ85" s="1"/>
      <c r="GKA85" s="1"/>
      <c r="GKB85" s="1"/>
      <c r="GKC85" s="1"/>
      <c r="GKD85" s="1"/>
      <c r="GKE85" s="1"/>
      <c r="GKF85" s="1"/>
      <c r="GKG85" s="1"/>
      <c r="GKH85" s="1"/>
      <c r="GKI85" s="1"/>
      <c r="GKJ85" s="1"/>
      <c r="GKK85" s="1"/>
      <c r="GKL85" s="1"/>
      <c r="GKM85" s="1"/>
      <c r="GKN85" s="1"/>
      <c r="GKO85" s="1"/>
      <c r="GKP85" s="1"/>
      <c r="GKQ85" s="1"/>
      <c r="GKR85" s="1"/>
      <c r="GKS85" s="1"/>
      <c r="GKT85" s="1"/>
      <c r="GKU85" s="1"/>
      <c r="GKV85" s="1"/>
      <c r="GKW85" s="1"/>
      <c r="GKX85" s="1"/>
      <c r="GKY85" s="1"/>
      <c r="GKZ85" s="1"/>
      <c r="GLA85" s="1"/>
      <c r="GLB85" s="1"/>
      <c r="GLC85" s="1"/>
      <c r="GLD85" s="1"/>
      <c r="GLE85" s="1"/>
      <c r="GLF85" s="1"/>
      <c r="GLG85" s="1"/>
      <c r="GLH85" s="1"/>
      <c r="GLI85" s="1"/>
      <c r="GLJ85" s="1"/>
      <c r="GLK85" s="1"/>
      <c r="GLL85" s="1"/>
      <c r="GLM85" s="1"/>
      <c r="GLN85" s="1"/>
      <c r="GLO85" s="1"/>
      <c r="GLP85" s="1"/>
      <c r="GLQ85" s="1"/>
      <c r="GLR85" s="1"/>
      <c r="GLS85" s="1"/>
      <c r="GLT85" s="1"/>
      <c r="GLU85" s="1"/>
      <c r="GLV85" s="1"/>
      <c r="GLW85" s="1"/>
      <c r="GLX85" s="1"/>
      <c r="GLY85" s="1"/>
      <c r="GLZ85" s="1"/>
      <c r="GMA85" s="1"/>
      <c r="GMB85" s="1"/>
      <c r="GMC85" s="1"/>
      <c r="GMD85" s="1"/>
      <c r="GME85" s="1"/>
      <c r="GMF85" s="1"/>
      <c r="GMG85" s="1"/>
      <c r="GMH85" s="1"/>
      <c r="GMI85" s="1"/>
      <c r="GMJ85" s="1"/>
      <c r="GMK85" s="1"/>
      <c r="GML85" s="1"/>
      <c r="GMM85" s="1"/>
      <c r="GMN85" s="1"/>
      <c r="GMO85" s="1"/>
      <c r="GMP85" s="1"/>
      <c r="GMQ85" s="1"/>
      <c r="GMR85" s="1"/>
      <c r="GMS85" s="1"/>
      <c r="GMT85" s="1"/>
      <c r="GMU85" s="1"/>
      <c r="GMV85" s="1"/>
      <c r="GMW85" s="1"/>
      <c r="GMX85" s="1"/>
      <c r="GMY85" s="1"/>
      <c r="GMZ85" s="1"/>
      <c r="GNA85" s="1"/>
      <c r="GNB85" s="1"/>
      <c r="GNC85" s="1"/>
      <c r="GND85" s="1"/>
      <c r="GNE85" s="1"/>
      <c r="GNF85" s="1"/>
      <c r="GNG85" s="1"/>
      <c r="GNH85" s="1"/>
      <c r="GNI85" s="1"/>
      <c r="GNJ85" s="1"/>
      <c r="GNK85" s="1"/>
      <c r="GNL85" s="1"/>
      <c r="GNM85" s="1"/>
      <c r="GNN85" s="1"/>
      <c r="GNO85" s="1"/>
      <c r="GNP85" s="1"/>
      <c r="GNQ85" s="1"/>
      <c r="GNR85" s="1"/>
      <c r="GNS85" s="1"/>
      <c r="GNT85" s="1"/>
      <c r="GNU85" s="1"/>
      <c r="GNV85" s="1"/>
      <c r="GNW85" s="1"/>
      <c r="GNX85" s="1"/>
      <c r="GNY85" s="1"/>
      <c r="GNZ85" s="1"/>
      <c r="GOA85" s="1"/>
      <c r="GOB85" s="1"/>
      <c r="GOC85" s="1"/>
      <c r="GOD85" s="1"/>
      <c r="GOE85" s="1"/>
      <c r="GOF85" s="1"/>
      <c r="GOG85" s="1"/>
      <c r="GOH85" s="1"/>
      <c r="GOI85" s="1"/>
      <c r="GOJ85" s="1"/>
      <c r="GOK85" s="1"/>
      <c r="GOL85" s="1"/>
      <c r="GOM85" s="1"/>
      <c r="GON85" s="1"/>
      <c r="GOO85" s="1"/>
      <c r="GOP85" s="1"/>
      <c r="GOQ85" s="1"/>
      <c r="GOR85" s="1"/>
      <c r="GOS85" s="1"/>
      <c r="GOT85" s="1"/>
      <c r="GOU85" s="1"/>
      <c r="GOV85" s="1"/>
      <c r="GOW85" s="1"/>
      <c r="GOX85" s="1"/>
      <c r="GOY85" s="1"/>
      <c r="GOZ85" s="1"/>
      <c r="GPA85" s="1"/>
      <c r="GPB85" s="1"/>
      <c r="GPC85" s="1"/>
      <c r="GPD85" s="1"/>
      <c r="GPE85" s="1"/>
      <c r="GPF85" s="1"/>
      <c r="GPG85" s="1"/>
      <c r="GPH85" s="1"/>
      <c r="GPI85" s="1"/>
      <c r="GPJ85" s="1"/>
      <c r="GPK85" s="1"/>
      <c r="GPL85" s="1"/>
      <c r="GPM85" s="1"/>
      <c r="GPN85" s="1"/>
      <c r="GPO85" s="1"/>
      <c r="GPP85" s="1"/>
      <c r="GPQ85" s="1"/>
      <c r="GPR85" s="1"/>
      <c r="GPS85" s="1"/>
      <c r="GPT85" s="1"/>
      <c r="GPU85" s="1"/>
      <c r="GPV85" s="1"/>
      <c r="GPW85" s="1"/>
      <c r="GPX85" s="1"/>
      <c r="GPY85" s="1"/>
      <c r="GPZ85" s="1"/>
      <c r="GQA85" s="1"/>
      <c r="GQB85" s="1"/>
      <c r="GQC85" s="1"/>
      <c r="GQD85" s="1"/>
      <c r="GQE85" s="1"/>
      <c r="GQF85" s="1"/>
      <c r="GQG85" s="1"/>
      <c r="GQH85" s="1"/>
      <c r="GQI85" s="1"/>
      <c r="GQJ85" s="1"/>
      <c r="GQK85" s="1"/>
      <c r="GQL85" s="1"/>
      <c r="GQM85" s="1"/>
      <c r="GQN85" s="1"/>
      <c r="GQO85" s="1"/>
      <c r="GQP85" s="1"/>
      <c r="GQQ85" s="1"/>
      <c r="GQR85" s="1"/>
      <c r="GQS85" s="1"/>
      <c r="GQT85" s="1"/>
      <c r="GQU85" s="1"/>
      <c r="GQV85" s="1"/>
      <c r="GQW85" s="1"/>
      <c r="GQX85" s="1"/>
      <c r="GQY85" s="1"/>
      <c r="GQZ85" s="1"/>
      <c r="GRA85" s="1"/>
      <c r="GRB85" s="1"/>
      <c r="GRC85" s="1"/>
      <c r="GRD85" s="1"/>
      <c r="GRE85" s="1"/>
      <c r="GRF85" s="1"/>
      <c r="GRG85" s="1"/>
      <c r="GRH85" s="1"/>
      <c r="GRI85" s="1"/>
      <c r="GRJ85" s="1"/>
      <c r="GRK85" s="1"/>
      <c r="GRL85" s="1"/>
      <c r="GRM85" s="1"/>
      <c r="GRN85" s="1"/>
      <c r="GRO85" s="1"/>
      <c r="GRP85" s="1"/>
      <c r="GRQ85" s="1"/>
      <c r="GRR85" s="1"/>
      <c r="GRS85" s="1"/>
      <c r="GRT85" s="1"/>
      <c r="GRU85" s="1"/>
      <c r="GRV85" s="1"/>
      <c r="GRW85" s="1"/>
      <c r="GRX85" s="1"/>
      <c r="GRY85" s="1"/>
      <c r="GRZ85" s="1"/>
      <c r="GSA85" s="1"/>
      <c r="GSB85" s="1"/>
      <c r="GSC85" s="1"/>
      <c r="GSD85" s="1"/>
      <c r="GSE85" s="1"/>
      <c r="GSF85" s="1"/>
      <c r="GSG85" s="1"/>
      <c r="GSH85" s="1"/>
      <c r="GSI85" s="1"/>
      <c r="GSJ85" s="1"/>
      <c r="GSK85" s="1"/>
      <c r="GSL85" s="1"/>
      <c r="GSM85" s="1"/>
      <c r="GSN85" s="1"/>
      <c r="GSO85" s="1"/>
      <c r="GSP85" s="1"/>
      <c r="GSQ85" s="1"/>
      <c r="GSR85" s="1"/>
      <c r="GSS85" s="1"/>
      <c r="GST85" s="1"/>
      <c r="GSU85" s="1"/>
      <c r="GSV85" s="1"/>
      <c r="GSW85" s="1"/>
      <c r="GSX85" s="1"/>
      <c r="GSY85" s="1"/>
      <c r="GSZ85" s="1"/>
      <c r="GTA85" s="1"/>
      <c r="GTB85" s="1"/>
      <c r="GTC85" s="1"/>
      <c r="GTD85" s="1"/>
      <c r="GTE85" s="1"/>
      <c r="GTF85" s="1"/>
      <c r="GTG85" s="1"/>
      <c r="GTH85" s="1"/>
      <c r="GTI85" s="1"/>
      <c r="GTJ85" s="1"/>
      <c r="GTK85" s="1"/>
      <c r="GTL85" s="1"/>
      <c r="GTM85" s="1"/>
      <c r="GTN85" s="1"/>
      <c r="GTO85" s="1"/>
      <c r="GTP85" s="1"/>
      <c r="GTQ85" s="1"/>
      <c r="GTR85" s="1"/>
      <c r="GTS85" s="1"/>
      <c r="GTT85" s="1"/>
      <c r="GTU85" s="1"/>
      <c r="GTV85" s="1"/>
      <c r="GTW85" s="1"/>
      <c r="GTX85" s="1"/>
      <c r="GTY85" s="1"/>
      <c r="GTZ85" s="1"/>
      <c r="GUA85" s="1"/>
      <c r="GUB85" s="1"/>
      <c r="GUC85" s="1"/>
      <c r="GUD85" s="1"/>
      <c r="GUE85" s="1"/>
      <c r="GUF85" s="1"/>
      <c r="GUG85" s="1"/>
      <c r="GUH85" s="1"/>
      <c r="GUI85" s="1"/>
      <c r="GUJ85" s="1"/>
      <c r="GUK85" s="1"/>
      <c r="GUL85" s="1"/>
      <c r="GUM85" s="1"/>
      <c r="GUN85" s="1"/>
      <c r="GUO85" s="1"/>
      <c r="GUP85" s="1"/>
      <c r="GUQ85" s="1"/>
      <c r="GUR85" s="1"/>
      <c r="GUS85" s="1"/>
      <c r="GUT85" s="1"/>
      <c r="GUU85" s="1"/>
      <c r="GUV85" s="1"/>
      <c r="GUW85" s="1"/>
      <c r="GUX85" s="1"/>
      <c r="GUY85" s="1"/>
      <c r="GUZ85" s="1"/>
      <c r="GVA85" s="1"/>
      <c r="GVB85" s="1"/>
      <c r="GVC85" s="1"/>
      <c r="GVD85" s="1"/>
      <c r="GVE85" s="1"/>
      <c r="GVF85" s="1"/>
      <c r="GVG85" s="1"/>
      <c r="GVH85" s="1"/>
      <c r="GVI85" s="1"/>
      <c r="GVJ85" s="1"/>
      <c r="GVK85" s="1"/>
      <c r="GVL85" s="1"/>
      <c r="GVM85" s="1"/>
      <c r="GVN85" s="1"/>
      <c r="GVO85" s="1"/>
      <c r="GVP85" s="1"/>
      <c r="GVQ85" s="1"/>
      <c r="GVR85" s="1"/>
      <c r="GVS85" s="1"/>
      <c r="GVT85" s="1"/>
      <c r="GVU85" s="1"/>
      <c r="GVV85" s="1"/>
      <c r="GVW85" s="1"/>
      <c r="GVX85" s="1"/>
      <c r="GVY85" s="1"/>
      <c r="GVZ85" s="1"/>
      <c r="GWA85" s="1"/>
      <c r="GWB85" s="1"/>
      <c r="GWC85" s="1"/>
      <c r="GWD85" s="1"/>
      <c r="GWE85" s="1"/>
      <c r="GWF85" s="1"/>
      <c r="GWG85" s="1"/>
      <c r="GWH85" s="1"/>
      <c r="GWI85" s="1"/>
      <c r="GWJ85" s="1"/>
      <c r="GWK85" s="1"/>
      <c r="GWL85" s="1"/>
      <c r="GWM85" s="1"/>
      <c r="GWN85" s="1"/>
      <c r="GWO85" s="1"/>
      <c r="GWP85" s="1"/>
      <c r="GWQ85" s="1"/>
      <c r="GWR85" s="1"/>
      <c r="GWS85" s="1"/>
      <c r="GWT85" s="1"/>
      <c r="GWU85" s="1"/>
      <c r="GWV85" s="1"/>
      <c r="GWW85" s="1"/>
      <c r="GWX85" s="1"/>
      <c r="GWY85" s="1"/>
      <c r="GWZ85" s="1"/>
      <c r="GXA85" s="1"/>
      <c r="GXB85" s="1"/>
      <c r="GXC85" s="1"/>
      <c r="GXD85" s="1"/>
      <c r="GXE85" s="1"/>
      <c r="GXF85" s="1"/>
      <c r="GXG85" s="1"/>
      <c r="GXH85" s="1"/>
      <c r="GXI85" s="1"/>
      <c r="GXJ85" s="1"/>
      <c r="GXK85" s="1"/>
      <c r="GXL85" s="1"/>
      <c r="GXM85" s="1"/>
      <c r="GXN85" s="1"/>
      <c r="GXO85" s="1"/>
      <c r="GXP85" s="1"/>
      <c r="GXQ85" s="1"/>
      <c r="GXR85" s="1"/>
      <c r="GXS85" s="1"/>
      <c r="GXT85" s="1"/>
      <c r="GXU85" s="1"/>
      <c r="GXV85" s="1"/>
      <c r="GXW85" s="1"/>
      <c r="GXX85" s="1"/>
      <c r="GXY85" s="1"/>
      <c r="GXZ85" s="1"/>
      <c r="GYA85" s="1"/>
      <c r="GYB85" s="1"/>
      <c r="GYC85" s="1"/>
      <c r="GYD85" s="1"/>
      <c r="GYE85" s="1"/>
      <c r="GYF85" s="1"/>
      <c r="GYG85" s="1"/>
      <c r="GYH85" s="1"/>
      <c r="GYI85" s="1"/>
      <c r="GYJ85" s="1"/>
      <c r="GYK85" s="1"/>
      <c r="GYL85" s="1"/>
      <c r="GYM85" s="1"/>
      <c r="GYN85" s="1"/>
      <c r="GYO85" s="1"/>
      <c r="GYP85" s="1"/>
      <c r="GYQ85" s="1"/>
      <c r="GYR85" s="1"/>
      <c r="GYS85" s="1"/>
      <c r="GYT85" s="1"/>
      <c r="GYU85" s="1"/>
      <c r="GYV85" s="1"/>
      <c r="GYW85" s="1"/>
      <c r="GYX85" s="1"/>
      <c r="GYY85" s="1"/>
      <c r="GYZ85" s="1"/>
      <c r="GZA85" s="1"/>
      <c r="GZB85" s="1"/>
      <c r="GZC85" s="1"/>
      <c r="GZD85" s="1"/>
      <c r="GZE85" s="1"/>
      <c r="GZF85" s="1"/>
      <c r="GZG85" s="1"/>
      <c r="GZH85" s="1"/>
      <c r="GZI85" s="1"/>
      <c r="GZJ85" s="1"/>
      <c r="GZK85" s="1"/>
      <c r="GZL85" s="1"/>
      <c r="GZM85" s="1"/>
      <c r="GZN85" s="1"/>
      <c r="GZO85" s="1"/>
      <c r="GZP85" s="1"/>
      <c r="GZQ85" s="1"/>
      <c r="GZR85" s="1"/>
      <c r="GZS85" s="1"/>
      <c r="GZT85" s="1"/>
      <c r="GZU85" s="1"/>
      <c r="GZV85" s="1"/>
      <c r="GZW85" s="1"/>
      <c r="GZX85" s="1"/>
      <c r="GZY85" s="1"/>
      <c r="GZZ85" s="1"/>
      <c r="HAA85" s="1"/>
      <c r="HAB85" s="1"/>
      <c r="HAC85" s="1"/>
      <c r="HAD85" s="1"/>
      <c r="HAE85" s="1"/>
      <c r="HAF85" s="1"/>
      <c r="HAG85" s="1"/>
      <c r="HAH85" s="1"/>
      <c r="HAI85" s="1"/>
      <c r="HAJ85" s="1"/>
      <c r="HAK85" s="1"/>
      <c r="HAL85" s="1"/>
      <c r="HAM85" s="1"/>
      <c r="HAN85" s="1"/>
      <c r="HAO85" s="1"/>
      <c r="HAP85" s="1"/>
      <c r="HAQ85" s="1"/>
      <c r="HAR85" s="1"/>
      <c r="HAS85" s="1"/>
      <c r="HAT85" s="1"/>
      <c r="HAU85" s="1"/>
      <c r="HAV85" s="1"/>
      <c r="HAW85" s="1"/>
      <c r="HAX85" s="1"/>
      <c r="HAY85" s="1"/>
      <c r="HAZ85" s="1"/>
      <c r="HBA85" s="1"/>
      <c r="HBB85" s="1"/>
      <c r="HBC85" s="1"/>
      <c r="HBD85" s="1"/>
      <c r="HBE85" s="1"/>
      <c r="HBF85" s="1"/>
      <c r="HBG85" s="1"/>
      <c r="HBH85" s="1"/>
      <c r="HBI85" s="1"/>
      <c r="HBJ85" s="1"/>
      <c r="HBK85" s="1"/>
      <c r="HBL85" s="1"/>
      <c r="HBM85" s="1"/>
      <c r="HBN85" s="1"/>
      <c r="HBO85" s="1"/>
      <c r="HBP85" s="1"/>
      <c r="HBQ85" s="1"/>
      <c r="HBR85" s="1"/>
      <c r="HBS85" s="1"/>
      <c r="HBT85" s="1"/>
      <c r="HBU85" s="1"/>
      <c r="HBV85" s="1"/>
      <c r="HBW85" s="1"/>
      <c r="HBX85" s="1"/>
      <c r="HBY85" s="1"/>
      <c r="HBZ85" s="1"/>
      <c r="HCA85" s="1"/>
      <c r="HCB85" s="1"/>
      <c r="HCC85" s="1"/>
      <c r="HCD85" s="1"/>
      <c r="HCE85" s="1"/>
      <c r="HCF85" s="1"/>
      <c r="HCG85" s="1"/>
      <c r="HCH85" s="1"/>
      <c r="HCI85" s="1"/>
      <c r="HCJ85" s="1"/>
      <c r="HCK85" s="1"/>
      <c r="HCL85" s="1"/>
      <c r="HCM85" s="1"/>
      <c r="HCN85" s="1"/>
      <c r="HCO85" s="1"/>
      <c r="HCP85" s="1"/>
      <c r="HCQ85" s="1"/>
      <c r="HCR85" s="1"/>
      <c r="HCS85" s="1"/>
      <c r="HCT85" s="1"/>
      <c r="HCU85" s="1"/>
      <c r="HCV85" s="1"/>
      <c r="HCW85" s="1"/>
      <c r="HCX85" s="1"/>
      <c r="HCY85" s="1"/>
      <c r="HCZ85" s="1"/>
      <c r="HDA85" s="1"/>
      <c r="HDB85" s="1"/>
      <c r="HDC85" s="1"/>
      <c r="HDD85" s="1"/>
      <c r="HDE85" s="1"/>
      <c r="HDF85" s="1"/>
      <c r="HDG85" s="1"/>
      <c r="HDH85" s="1"/>
      <c r="HDI85" s="1"/>
      <c r="HDJ85" s="1"/>
      <c r="HDK85" s="1"/>
      <c r="HDL85" s="1"/>
      <c r="HDM85" s="1"/>
      <c r="HDN85" s="1"/>
      <c r="HDO85" s="1"/>
      <c r="HDP85" s="1"/>
      <c r="HDQ85" s="1"/>
      <c r="HDR85" s="1"/>
      <c r="HDS85" s="1"/>
      <c r="HDT85" s="1"/>
      <c r="HDU85" s="1"/>
      <c r="HDV85" s="1"/>
      <c r="HDW85" s="1"/>
      <c r="HDX85" s="1"/>
      <c r="HDY85" s="1"/>
      <c r="HDZ85" s="1"/>
      <c r="HEA85" s="1"/>
      <c r="HEB85" s="1"/>
      <c r="HEC85" s="1"/>
      <c r="HED85" s="1"/>
      <c r="HEE85" s="1"/>
      <c r="HEF85" s="1"/>
      <c r="HEG85" s="1"/>
      <c r="HEH85" s="1"/>
      <c r="HEI85" s="1"/>
      <c r="HEJ85" s="1"/>
      <c r="HEK85" s="1"/>
      <c r="HEL85" s="1"/>
      <c r="HEM85" s="1"/>
      <c r="HEN85" s="1"/>
      <c r="HEO85" s="1"/>
      <c r="HEP85" s="1"/>
      <c r="HEQ85" s="1"/>
      <c r="HER85" s="1"/>
      <c r="HES85" s="1"/>
      <c r="HET85" s="1"/>
      <c r="HEU85" s="1"/>
      <c r="HEV85" s="1"/>
      <c r="HEW85" s="1"/>
      <c r="HEX85" s="1"/>
      <c r="HEY85" s="1"/>
      <c r="HEZ85" s="1"/>
      <c r="HFA85" s="1"/>
      <c r="HFB85" s="1"/>
      <c r="HFC85" s="1"/>
      <c r="HFD85" s="1"/>
      <c r="HFE85" s="1"/>
      <c r="HFF85" s="1"/>
      <c r="HFG85" s="1"/>
      <c r="HFH85" s="1"/>
      <c r="HFI85" s="1"/>
      <c r="HFJ85" s="1"/>
      <c r="HFK85" s="1"/>
      <c r="HFL85" s="1"/>
      <c r="HFM85" s="1"/>
      <c r="HFN85" s="1"/>
      <c r="HFO85" s="1"/>
      <c r="HFP85" s="1"/>
      <c r="HFQ85" s="1"/>
      <c r="HFR85" s="1"/>
      <c r="HFS85" s="1"/>
      <c r="HFT85" s="1"/>
      <c r="HFU85" s="1"/>
      <c r="HFV85" s="1"/>
      <c r="HFW85" s="1"/>
      <c r="HFX85" s="1"/>
      <c r="HFY85" s="1"/>
      <c r="HFZ85" s="1"/>
      <c r="HGA85" s="1"/>
      <c r="HGB85" s="1"/>
      <c r="HGC85" s="1"/>
      <c r="HGD85" s="1"/>
      <c r="HGE85" s="1"/>
      <c r="HGF85" s="1"/>
      <c r="HGG85" s="1"/>
      <c r="HGH85" s="1"/>
      <c r="HGI85" s="1"/>
      <c r="HGJ85" s="1"/>
      <c r="HGK85" s="1"/>
      <c r="HGL85" s="1"/>
      <c r="HGM85" s="1"/>
      <c r="HGN85" s="1"/>
      <c r="HGO85" s="1"/>
      <c r="HGP85" s="1"/>
      <c r="HGQ85" s="1"/>
      <c r="HGR85" s="1"/>
      <c r="HGS85" s="1"/>
      <c r="HGT85" s="1"/>
      <c r="HGU85" s="1"/>
      <c r="HGV85" s="1"/>
      <c r="HGW85" s="1"/>
      <c r="HGX85" s="1"/>
      <c r="HGY85" s="1"/>
      <c r="HGZ85" s="1"/>
      <c r="HHA85" s="1"/>
      <c r="HHB85" s="1"/>
      <c r="HHC85" s="1"/>
      <c r="HHD85" s="1"/>
      <c r="HHE85" s="1"/>
      <c r="HHF85" s="1"/>
      <c r="HHG85" s="1"/>
      <c r="HHH85" s="1"/>
      <c r="HHI85" s="1"/>
      <c r="HHJ85" s="1"/>
      <c r="HHK85" s="1"/>
      <c r="HHL85" s="1"/>
      <c r="HHM85" s="1"/>
      <c r="HHN85" s="1"/>
      <c r="HHO85" s="1"/>
      <c r="HHP85" s="1"/>
      <c r="HHQ85" s="1"/>
      <c r="HHR85" s="1"/>
      <c r="HHS85" s="1"/>
      <c r="HHT85" s="1"/>
      <c r="HHU85" s="1"/>
      <c r="HHV85" s="1"/>
      <c r="HHW85" s="1"/>
      <c r="HHX85" s="1"/>
      <c r="HHY85" s="1"/>
      <c r="HHZ85" s="1"/>
      <c r="HIA85" s="1"/>
      <c r="HIB85" s="1"/>
      <c r="HIC85" s="1"/>
      <c r="HID85" s="1"/>
      <c r="HIE85" s="1"/>
      <c r="HIF85" s="1"/>
      <c r="HIG85" s="1"/>
      <c r="HIH85" s="1"/>
      <c r="HII85" s="1"/>
      <c r="HIJ85" s="1"/>
      <c r="HIK85" s="1"/>
      <c r="HIL85" s="1"/>
      <c r="HIM85" s="1"/>
      <c r="HIN85" s="1"/>
      <c r="HIO85" s="1"/>
      <c r="HIP85" s="1"/>
      <c r="HIQ85" s="1"/>
      <c r="HIR85" s="1"/>
      <c r="HIS85" s="1"/>
      <c r="HIT85" s="1"/>
      <c r="HIU85" s="1"/>
      <c r="HIV85" s="1"/>
      <c r="HIW85" s="1"/>
      <c r="HIX85" s="1"/>
      <c r="HIY85" s="1"/>
      <c r="HIZ85" s="1"/>
      <c r="HJA85" s="1"/>
      <c r="HJB85" s="1"/>
      <c r="HJC85" s="1"/>
      <c r="HJD85" s="1"/>
      <c r="HJE85" s="1"/>
      <c r="HJF85" s="1"/>
      <c r="HJG85" s="1"/>
      <c r="HJH85" s="1"/>
      <c r="HJI85" s="1"/>
      <c r="HJJ85" s="1"/>
      <c r="HJK85" s="1"/>
      <c r="HJL85" s="1"/>
      <c r="HJM85" s="1"/>
      <c r="HJN85" s="1"/>
      <c r="HJO85" s="1"/>
      <c r="HJP85" s="1"/>
      <c r="HJQ85" s="1"/>
      <c r="HJR85" s="1"/>
      <c r="HJS85" s="1"/>
      <c r="HJT85" s="1"/>
      <c r="HJU85" s="1"/>
      <c r="HJV85" s="1"/>
      <c r="HJW85" s="1"/>
      <c r="HJX85" s="1"/>
      <c r="HJY85" s="1"/>
      <c r="HJZ85" s="1"/>
      <c r="HKA85" s="1"/>
      <c r="HKB85" s="1"/>
      <c r="HKC85" s="1"/>
      <c r="HKD85" s="1"/>
      <c r="HKE85" s="1"/>
      <c r="HKF85" s="1"/>
      <c r="HKG85" s="1"/>
      <c r="HKH85" s="1"/>
      <c r="HKI85" s="1"/>
      <c r="HKJ85" s="1"/>
      <c r="HKK85" s="1"/>
      <c r="HKL85" s="1"/>
      <c r="HKM85" s="1"/>
      <c r="HKN85" s="1"/>
      <c r="HKO85" s="1"/>
      <c r="HKP85" s="1"/>
      <c r="HKQ85" s="1"/>
      <c r="HKR85" s="1"/>
      <c r="HKS85" s="1"/>
      <c r="HKT85" s="1"/>
      <c r="HKU85" s="1"/>
      <c r="HKV85" s="1"/>
      <c r="HKW85" s="1"/>
      <c r="HKX85" s="1"/>
      <c r="HKY85" s="1"/>
      <c r="HKZ85" s="1"/>
      <c r="HLA85" s="1"/>
      <c r="HLB85" s="1"/>
      <c r="HLC85" s="1"/>
      <c r="HLD85" s="1"/>
      <c r="HLE85" s="1"/>
      <c r="HLF85" s="1"/>
      <c r="HLG85" s="1"/>
      <c r="HLH85" s="1"/>
      <c r="HLI85" s="1"/>
      <c r="HLJ85" s="1"/>
      <c r="HLK85" s="1"/>
      <c r="HLL85" s="1"/>
      <c r="HLM85" s="1"/>
      <c r="HLN85" s="1"/>
      <c r="HLO85" s="1"/>
      <c r="HLP85" s="1"/>
      <c r="HLQ85" s="1"/>
      <c r="HLR85" s="1"/>
      <c r="HLS85" s="1"/>
      <c r="HLT85" s="1"/>
      <c r="HLU85" s="1"/>
      <c r="HLV85" s="1"/>
      <c r="HLW85" s="1"/>
      <c r="HLX85" s="1"/>
      <c r="HLY85" s="1"/>
      <c r="HLZ85" s="1"/>
      <c r="HMA85" s="1"/>
      <c r="HMB85" s="1"/>
      <c r="HMC85" s="1"/>
      <c r="HMD85" s="1"/>
      <c r="HME85" s="1"/>
      <c r="HMF85" s="1"/>
      <c r="HMG85" s="1"/>
      <c r="HMH85" s="1"/>
      <c r="HMI85" s="1"/>
      <c r="HMJ85" s="1"/>
      <c r="HMK85" s="1"/>
      <c r="HML85" s="1"/>
      <c r="HMM85" s="1"/>
      <c r="HMN85" s="1"/>
      <c r="HMO85" s="1"/>
      <c r="HMP85" s="1"/>
      <c r="HMQ85" s="1"/>
      <c r="HMR85" s="1"/>
      <c r="HMS85" s="1"/>
      <c r="HMT85" s="1"/>
      <c r="HMU85" s="1"/>
      <c r="HMV85" s="1"/>
      <c r="HMW85" s="1"/>
      <c r="HMX85" s="1"/>
      <c r="HMY85" s="1"/>
      <c r="HMZ85" s="1"/>
      <c r="HNA85" s="1"/>
      <c r="HNB85" s="1"/>
      <c r="HNC85" s="1"/>
      <c r="HND85" s="1"/>
      <c r="HNE85" s="1"/>
      <c r="HNF85" s="1"/>
      <c r="HNG85" s="1"/>
      <c r="HNH85" s="1"/>
      <c r="HNI85" s="1"/>
      <c r="HNJ85" s="1"/>
      <c r="HNK85" s="1"/>
      <c r="HNL85" s="1"/>
      <c r="HNM85" s="1"/>
      <c r="HNN85" s="1"/>
      <c r="HNO85" s="1"/>
      <c r="HNP85" s="1"/>
      <c r="HNQ85" s="1"/>
      <c r="HNR85" s="1"/>
      <c r="HNS85" s="1"/>
      <c r="HNT85" s="1"/>
      <c r="HNU85" s="1"/>
      <c r="HNV85" s="1"/>
      <c r="HNW85" s="1"/>
      <c r="HNX85" s="1"/>
      <c r="HNY85" s="1"/>
      <c r="HNZ85" s="1"/>
      <c r="HOA85" s="1"/>
      <c r="HOB85" s="1"/>
      <c r="HOC85" s="1"/>
      <c r="HOD85" s="1"/>
      <c r="HOE85" s="1"/>
      <c r="HOF85" s="1"/>
      <c r="HOG85" s="1"/>
      <c r="HOH85" s="1"/>
      <c r="HOI85" s="1"/>
      <c r="HOJ85" s="1"/>
      <c r="HOK85" s="1"/>
      <c r="HOL85" s="1"/>
      <c r="HOM85" s="1"/>
      <c r="HON85" s="1"/>
      <c r="HOO85" s="1"/>
      <c r="HOP85" s="1"/>
      <c r="HOQ85" s="1"/>
      <c r="HOR85" s="1"/>
      <c r="HOS85" s="1"/>
      <c r="HOT85" s="1"/>
      <c r="HOU85" s="1"/>
      <c r="HOV85" s="1"/>
      <c r="HOW85" s="1"/>
      <c r="HOX85" s="1"/>
      <c r="HOY85" s="1"/>
      <c r="HOZ85" s="1"/>
      <c r="HPA85" s="1"/>
      <c r="HPB85" s="1"/>
      <c r="HPC85" s="1"/>
      <c r="HPD85" s="1"/>
      <c r="HPE85" s="1"/>
      <c r="HPF85" s="1"/>
      <c r="HPG85" s="1"/>
      <c r="HPH85" s="1"/>
      <c r="HPI85" s="1"/>
      <c r="HPJ85" s="1"/>
      <c r="HPK85" s="1"/>
      <c r="HPL85" s="1"/>
      <c r="HPM85" s="1"/>
      <c r="HPN85" s="1"/>
      <c r="HPO85" s="1"/>
      <c r="HPP85" s="1"/>
      <c r="HPQ85" s="1"/>
      <c r="HPR85" s="1"/>
      <c r="HPS85" s="1"/>
      <c r="HPT85" s="1"/>
      <c r="HPU85" s="1"/>
      <c r="HPV85" s="1"/>
      <c r="HPW85" s="1"/>
      <c r="HPX85" s="1"/>
      <c r="HPY85" s="1"/>
      <c r="HPZ85" s="1"/>
      <c r="HQA85" s="1"/>
      <c r="HQB85" s="1"/>
      <c r="HQC85" s="1"/>
      <c r="HQD85" s="1"/>
      <c r="HQE85" s="1"/>
      <c r="HQF85" s="1"/>
      <c r="HQG85" s="1"/>
      <c r="HQH85" s="1"/>
      <c r="HQI85" s="1"/>
      <c r="HQJ85" s="1"/>
      <c r="HQK85" s="1"/>
      <c r="HQL85" s="1"/>
      <c r="HQM85" s="1"/>
      <c r="HQN85" s="1"/>
      <c r="HQO85" s="1"/>
      <c r="HQP85" s="1"/>
      <c r="HQQ85" s="1"/>
      <c r="HQR85" s="1"/>
      <c r="HQS85" s="1"/>
      <c r="HQT85" s="1"/>
      <c r="HQU85" s="1"/>
      <c r="HQV85" s="1"/>
      <c r="HQW85" s="1"/>
      <c r="HQX85" s="1"/>
      <c r="HQY85" s="1"/>
      <c r="HQZ85" s="1"/>
      <c r="HRA85" s="1"/>
      <c r="HRB85" s="1"/>
      <c r="HRC85" s="1"/>
      <c r="HRD85" s="1"/>
      <c r="HRE85" s="1"/>
      <c r="HRF85" s="1"/>
      <c r="HRG85" s="1"/>
      <c r="HRH85" s="1"/>
      <c r="HRI85" s="1"/>
      <c r="HRJ85" s="1"/>
      <c r="HRK85" s="1"/>
      <c r="HRL85" s="1"/>
      <c r="HRM85" s="1"/>
      <c r="HRN85" s="1"/>
      <c r="HRO85" s="1"/>
      <c r="HRP85" s="1"/>
      <c r="HRQ85" s="1"/>
      <c r="HRR85" s="1"/>
      <c r="HRS85" s="1"/>
      <c r="HRT85" s="1"/>
      <c r="HRU85" s="1"/>
      <c r="HRV85" s="1"/>
      <c r="HRW85" s="1"/>
      <c r="HRX85" s="1"/>
      <c r="HRY85" s="1"/>
      <c r="HRZ85" s="1"/>
      <c r="HSA85" s="1"/>
      <c r="HSB85" s="1"/>
      <c r="HSC85" s="1"/>
      <c r="HSD85" s="1"/>
      <c r="HSE85" s="1"/>
      <c r="HSF85" s="1"/>
      <c r="HSG85" s="1"/>
      <c r="HSH85" s="1"/>
      <c r="HSI85" s="1"/>
      <c r="HSJ85" s="1"/>
      <c r="HSK85" s="1"/>
      <c r="HSL85" s="1"/>
      <c r="HSM85" s="1"/>
      <c r="HSN85" s="1"/>
      <c r="HSO85" s="1"/>
      <c r="HSP85" s="1"/>
      <c r="HSQ85" s="1"/>
      <c r="HSR85" s="1"/>
      <c r="HSS85" s="1"/>
      <c r="HST85" s="1"/>
      <c r="HSU85" s="1"/>
      <c r="HSV85" s="1"/>
      <c r="HSW85" s="1"/>
      <c r="HSX85" s="1"/>
      <c r="HSY85" s="1"/>
      <c r="HSZ85" s="1"/>
      <c r="HTA85" s="1"/>
      <c r="HTB85" s="1"/>
      <c r="HTC85" s="1"/>
      <c r="HTD85" s="1"/>
      <c r="HTE85" s="1"/>
      <c r="HTF85" s="1"/>
      <c r="HTG85" s="1"/>
      <c r="HTH85" s="1"/>
      <c r="HTI85" s="1"/>
      <c r="HTJ85" s="1"/>
      <c r="HTK85" s="1"/>
      <c r="HTL85" s="1"/>
      <c r="HTM85" s="1"/>
      <c r="HTN85" s="1"/>
      <c r="HTO85" s="1"/>
      <c r="HTP85" s="1"/>
      <c r="HTQ85" s="1"/>
      <c r="HTR85" s="1"/>
      <c r="HTS85" s="1"/>
      <c r="HTT85" s="1"/>
      <c r="HTU85" s="1"/>
      <c r="HTV85" s="1"/>
      <c r="HTW85" s="1"/>
      <c r="HTX85" s="1"/>
      <c r="HTY85" s="1"/>
      <c r="HTZ85" s="1"/>
      <c r="HUA85" s="1"/>
      <c r="HUB85" s="1"/>
      <c r="HUC85" s="1"/>
      <c r="HUD85" s="1"/>
      <c r="HUE85" s="1"/>
      <c r="HUF85" s="1"/>
      <c r="HUG85" s="1"/>
      <c r="HUH85" s="1"/>
      <c r="HUI85" s="1"/>
      <c r="HUJ85" s="1"/>
      <c r="HUK85" s="1"/>
      <c r="HUL85" s="1"/>
      <c r="HUM85" s="1"/>
      <c r="HUN85" s="1"/>
      <c r="HUO85" s="1"/>
      <c r="HUP85" s="1"/>
      <c r="HUQ85" s="1"/>
      <c r="HUR85" s="1"/>
      <c r="HUS85" s="1"/>
      <c r="HUT85" s="1"/>
      <c r="HUU85" s="1"/>
      <c r="HUV85" s="1"/>
      <c r="HUW85" s="1"/>
      <c r="HUX85" s="1"/>
      <c r="HUY85" s="1"/>
      <c r="HUZ85" s="1"/>
      <c r="HVA85" s="1"/>
      <c r="HVB85" s="1"/>
      <c r="HVC85" s="1"/>
      <c r="HVD85" s="1"/>
      <c r="HVE85" s="1"/>
      <c r="HVF85" s="1"/>
      <c r="HVG85" s="1"/>
      <c r="HVH85" s="1"/>
      <c r="HVI85" s="1"/>
      <c r="HVJ85" s="1"/>
      <c r="HVK85" s="1"/>
      <c r="HVL85" s="1"/>
      <c r="HVM85" s="1"/>
      <c r="HVN85" s="1"/>
      <c r="HVO85" s="1"/>
      <c r="HVP85" s="1"/>
      <c r="HVQ85" s="1"/>
      <c r="HVR85" s="1"/>
      <c r="HVS85" s="1"/>
      <c r="HVT85" s="1"/>
      <c r="HVU85" s="1"/>
      <c r="HVV85" s="1"/>
      <c r="HVW85" s="1"/>
      <c r="HVX85" s="1"/>
      <c r="HVY85" s="1"/>
      <c r="HVZ85" s="1"/>
      <c r="HWA85" s="1"/>
      <c r="HWB85" s="1"/>
      <c r="HWC85" s="1"/>
      <c r="HWD85" s="1"/>
      <c r="HWE85" s="1"/>
      <c r="HWF85" s="1"/>
      <c r="HWG85" s="1"/>
      <c r="HWH85" s="1"/>
      <c r="HWI85" s="1"/>
      <c r="HWJ85" s="1"/>
      <c r="HWK85" s="1"/>
      <c r="HWL85" s="1"/>
      <c r="HWM85" s="1"/>
      <c r="HWN85" s="1"/>
      <c r="HWO85" s="1"/>
      <c r="HWP85" s="1"/>
      <c r="HWQ85" s="1"/>
      <c r="HWR85" s="1"/>
      <c r="HWS85" s="1"/>
      <c r="HWT85" s="1"/>
      <c r="HWU85" s="1"/>
      <c r="HWV85" s="1"/>
      <c r="HWW85" s="1"/>
      <c r="HWX85" s="1"/>
      <c r="HWY85" s="1"/>
      <c r="HWZ85" s="1"/>
      <c r="HXA85" s="1"/>
      <c r="HXB85" s="1"/>
      <c r="HXC85" s="1"/>
      <c r="HXD85" s="1"/>
      <c r="HXE85" s="1"/>
      <c r="HXF85" s="1"/>
      <c r="HXG85" s="1"/>
      <c r="HXH85" s="1"/>
      <c r="HXI85" s="1"/>
      <c r="HXJ85" s="1"/>
      <c r="HXK85" s="1"/>
      <c r="HXL85" s="1"/>
      <c r="HXM85" s="1"/>
      <c r="HXN85" s="1"/>
      <c r="HXO85" s="1"/>
      <c r="HXP85" s="1"/>
      <c r="HXQ85" s="1"/>
      <c r="HXR85" s="1"/>
      <c r="HXS85" s="1"/>
      <c r="HXT85" s="1"/>
      <c r="HXU85" s="1"/>
      <c r="HXV85" s="1"/>
      <c r="HXW85" s="1"/>
      <c r="HXX85" s="1"/>
      <c r="HXY85" s="1"/>
      <c r="HXZ85" s="1"/>
      <c r="HYA85" s="1"/>
      <c r="HYB85" s="1"/>
      <c r="HYC85" s="1"/>
      <c r="HYD85" s="1"/>
      <c r="HYE85" s="1"/>
      <c r="HYF85" s="1"/>
      <c r="HYG85" s="1"/>
      <c r="HYH85" s="1"/>
      <c r="HYI85" s="1"/>
      <c r="HYJ85" s="1"/>
      <c r="HYK85" s="1"/>
      <c r="HYL85" s="1"/>
      <c r="HYM85" s="1"/>
      <c r="HYN85" s="1"/>
      <c r="HYO85" s="1"/>
      <c r="HYP85" s="1"/>
      <c r="HYQ85" s="1"/>
      <c r="HYR85" s="1"/>
      <c r="HYS85" s="1"/>
      <c r="HYT85" s="1"/>
      <c r="HYU85" s="1"/>
      <c r="HYV85" s="1"/>
      <c r="HYW85" s="1"/>
      <c r="HYX85" s="1"/>
      <c r="HYY85" s="1"/>
      <c r="HYZ85" s="1"/>
      <c r="HZA85" s="1"/>
      <c r="HZB85" s="1"/>
      <c r="HZC85" s="1"/>
      <c r="HZD85" s="1"/>
      <c r="HZE85" s="1"/>
      <c r="HZF85" s="1"/>
      <c r="HZG85" s="1"/>
      <c r="HZH85" s="1"/>
      <c r="HZI85" s="1"/>
      <c r="HZJ85" s="1"/>
      <c r="HZK85" s="1"/>
      <c r="HZL85" s="1"/>
      <c r="HZM85" s="1"/>
      <c r="HZN85" s="1"/>
      <c r="HZO85" s="1"/>
      <c r="HZP85" s="1"/>
      <c r="HZQ85" s="1"/>
      <c r="HZR85" s="1"/>
      <c r="HZS85" s="1"/>
      <c r="HZT85" s="1"/>
      <c r="HZU85" s="1"/>
      <c r="HZV85" s="1"/>
      <c r="HZW85" s="1"/>
      <c r="HZX85" s="1"/>
      <c r="HZY85" s="1"/>
      <c r="HZZ85" s="1"/>
      <c r="IAA85" s="1"/>
      <c r="IAB85" s="1"/>
      <c r="IAC85" s="1"/>
      <c r="IAD85" s="1"/>
      <c r="IAE85" s="1"/>
      <c r="IAF85" s="1"/>
      <c r="IAG85" s="1"/>
      <c r="IAH85" s="1"/>
      <c r="IAI85" s="1"/>
      <c r="IAJ85" s="1"/>
      <c r="IAK85" s="1"/>
      <c r="IAL85" s="1"/>
      <c r="IAM85" s="1"/>
      <c r="IAN85" s="1"/>
      <c r="IAO85" s="1"/>
      <c r="IAP85" s="1"/>
      <c r="IAQ85" s="1"/>
      <c r="IAR85" s="1"/>
      <c r="IAS85" s="1"/>
      <c r="IAT85" s="1"/>
      <c r="IAU85" s="1"/>
      <c r="IAV85" s="1"/>
      <c r="IAW85" s="1"/>
      <c r="IAX85" s="1"/>
      <c r="IAY85" s="1"/>
      <c r="IAZ85" s="1"/>
      <c r="IBA85" s="1"/>
      <c r="IBB85" s="1"/>
      <c r="IBC85" s="1"/>
      <c r="IBD85" s="1"/>
      <c r="IBE85" s="1"/>
      <c r="IBF85" s="1"/>
      <c r="IBG85" s="1"/>
      <c r="IBH85" s="1"/>
      <c r="IBI85" s="1"/>
      <c r="IBJ85" s="1"/>
      <c r="IBK85" s="1"/>
      <c r="IBL85" s="1"/>
      <c r="IBM85" s="1"/>
      <c r="IBN85" s="1"/>
      <c r="IBO85" s="1"/>
      <c r="IBP85" s="1"/>
      <c r="IBQ85" s="1"/>
      <c r="IBR85" s="1"/>
      <c r="IBS85" s="1"/>
      <c r="IBT85" s="1"/>
      <c r="IBU85" s="1"/>
      <c r="IBV85" s="1"/>
      <c r="IBW85" s="1"/>
      <c r="IBX85" s="1"/>
      <c r="IBY85" s="1"/>
      <c r="IBZ85" s="1"/>
      <c r="ICA85" s="1"/>
      <c r="ICB85" s="1"/>
      <c r="ICC85" s="1"/>
      <c r="ICD85" s="1"/>
      <c r="ICE85" s="1"/>
      <c r="ICF85" s="1"/>
      <c r="ICG85" s="1"/>
      <c r="ICH85" s="1"/>
      <c r="ICI85" s="1"/>
      <c r="ICJ85" s="1"/>
      <c r="ICK85" s="1"/>
      <c r="ICL85" s="1"/>
      <c r="ICM85" s="1"/>
      <c r="ICN85" s="1"/>
      <c r="ICO85" s="1"/>
      <c r="ICP85" s="1"/>
      <c r="ICQ85" s="1"/>
      <c r="ICR85" s="1"/>
      <c r="ICS85" s="1"/>
      <c r="ICT85" s="1"/>
      <c r="ICU85" s="1"/>
      <c r="ICV85" s="1"/>
      <c r="ICW85" s="1"/>
      <c r="ICX85" s="1"/>
      <c r="ICY85" s="1"/>
      <c r="ICZ85" s="1"/>
      <c r="IDA85" s="1"/>
      <c r="IDB85" s="1"/>
      <c r="IDC85" s="1"/>
      <c r="IDD85" s="1"/>
      <c r="IDE85" s="1"/>
      <c r="IDF85" s="1"/>
      <c r="IDG85" s="1"/>
      <c r="IDH85" s="1"/>
      <c r="IDI85" s="1"/>
      <c r="IDJ85" s="1"/>
      <c r="IDK85" s="1"/>
      <c r="IDL85" s="1"/>
      <c r="IDM85" s="1"/>
      <c r="IDN85" s="1"/>
      <c r="IDO85" s="1"/>
      <c r="IDP85" s="1"/>
      <c r="IDQ85" s="1"/>
      <c r="IDR85" s="1"/>
      <c r="IDS85" s="1"/>
      <c r="IDT85" s="1"/>
      <c r="IDU85" s="1"/>
      <c r="IDV85" s="1"/>
      <c r="IDW85" s="1"/>
      <c r="IDX85" s="1"/>
      <c r="IDY85" s="1"/>
      <c r="IDZ85" s="1"/>
      <c r="IEA85" s="1"/>
      <c r="IEB85" s="1"/>
      <c r="IEC85" s="1"/>
      <c r="IED85" s="1"/>
      <c r="IEE85" s="1"/>
      <c r="IEF85" s="1"/>
      <c r="IEG85" s="1"/>
      <c r="IEH85" s="1"/>
      <c r="IEI85" s="1"/>
      <c r="IEJ85" s="1"/>
      <c r="IEK85" s="1"/>
      <c r="IEL85" s="1"/>
      <c r="IEM85" s="1"/>
      <c r="IEN85" s="1"/>
      <c r="IEO85" s="1"/>
      <c r="IEP85" s="1"/>
      <c r="IEQ85" s="1"/>
      <c r="IER85" s="1"/>
      <c r="IES85" s="1"/>
      <c r="IET85" s="1"/>
      <c r="IEU85" s="1"/>
      <c r="IEV85" s="1"/>
      <c r="IEW85" s="1"/>
      <c r="IEX85" s="1"/>
      <c r="IEY85" s="1"/>
      <c r="IEZ85" s="1"/>
      <c r="IFA85" s="1"/>
      <c r="IFB85" s="1"/>
      <c r="IFC85" s="1"/>
      <c r="IFD85" s="1"/>
      <c r="IFE85" s="1"/>
      <c r="IFF85" s="1"/>
      <c r="IFG85" s="1"/>
      <c r="IFH85" s="1"/>
      <c r="IFI85" s="1"/>
      <c r="IFJ85" s="1"/>
      <c r="IFK85" s="1"/>
      <c r="IFL85" s="1"/>
      <c r="IFM85" s="1"/>
      <c r="IFN85" s="1"/>
      <c r="IFO85" s="1"/>
      <c r="IFP85" s="1"/>
      <c r="IFQ85" s="1"/>
      <c r="IFR85" s="1"/>
      <c r="IFS85" s="1"/>
      <c r="IFT85" s="1"/>
      <c r="IFU85" s="1"/>
      <c r="IFV85" s="1"/>
      <c r="IFW85" s="1"/>
      <c r="IFX85" s="1"/>
      <c r="IFY85" s="1"/>
      <c r="IFZ85" s="1"/>
      <c r="IGA85" s="1"/>
      <c r="IGB85" s="1"/>
      <c r="IGC85" s="1"/>
      <c r="IGD85" s="1"/>
      <c r="IGE85" s="1"/>
      <c r="IGF85" s="1"/>
      <c r="IGG85" s="1"/>
      <c r="IGH85" s="1"/>
      <c r="IGI85" s="1"/>
      <c r="IGJ85" s="1"/>
      <c r="IGK85" s="1"/>
      <c r="IGL85" s="1"/>
      <c r="IGM85" s="1"/>
      <c r="IGN85" s="1"/>
      <c r="IGO85" s="1"/>
      <c r="IGP85" s="1"/>
      <c r="IGQ85" s="1"/>
      <c r="IGR85" s="1"/>
      <c r="IGS85" s="1"/>
      <c r="IGT85" s="1"/>
      <c r="IGU85" s="1"/>
      <c r="IGV85" s="1"/>
      <c r="IGW85" s="1"/>
      <c r="IGX85" s="1"/>
      <c r="IGY85" s="1"/>
      <c r="IGZ85" s="1"/>
      <c r="IHA85" s="1"/>
      <c r="IHB85" s="1"/>
      <c r="IHC85" s="1"/>
      <c r="IHD85" s="1"/>
      <c r="IHE85" s="1"/>
      <c r="IHF85" s="1"/>
      <c r="IHG85" s="1"/>
      <c r="IHH85" s="1"/>
      <c r="IHI85" s="1"/>
      <c r="IHJ85" s="1"/>
      <c r="IHK85" s="1"/>
      <c r="IHL85" s="1"/>
      <c r="IHM85" s="1"/>
      <c r="IHN85" s="1"/>
      <c r="IHO85" s="1"/>
      <c r="IHP85" s="1"/>
      <c r="IHQ85" s="1"/>
      <c r="IHR85" s="1"/>
      <c r="IHS85" s="1"/>
      <c r="IHT85" s="1"/>
      <c r="IHU85" s="1"/>
      <c r="IHV85" s="1"/>
      <c r="IHW85" s="1"/>
      <c r="IHX85" s="1"/>
      <c r="IHY85" s="1"/>
      <c r="IHZ85" s="1"/>
      <c r="IIA85" s="1"/>
      <c r="IIB85" s="1"/>
      <c r="IIC85" s="1"/>
      <c r="IID85" s="1"/>
      <c r="IIE85" s="1"/>
      <c r="IIF85" s="1"/>
      <c r="IIG85" s="1"/>
      <c r="IIH85" s="1"/>
      <c r="III85" s="1"/>
      <c r="IIJ85" s="1"/>
      <c r="IIK85" s="1"/>
      <c r="IIL85" s="1"/>
      <c r="IIM85" s="1"/>
      <c r="IIN85" s="1"/>
      <c r="IIO85" s="1"/>
      <c r="IIP85" s="1"/>
      <c r="IIQ85" s="1"/>
      <c r="IIR85" s="1"/>
      <c r="IIS85" s="1"/>
      <c r="IIT85" s="1"/>
      <c r="IIU85" s="1"/>
      <c r="IIV85" s="1"/>
      <c r="IIW85" s="1"/>
      <c r="IIX85" s="1"/>
      <c r="IIY85" s="1"/>
      <c r="IIZ85" s="1"/>
      <c r="IJA85" s="1"/>
      <c r="IJB85" s="1"/>
      <c r="IJC85" s="1"/>
      <c r="IJD85" s="1"/>
      <c r="IJE85" s="1"/>
      <c r="IJF85" s="1"/>
      <c r="IJG85" s="1"/>
      <c r="IJH85" s="1"/>
      <c r="IJI85" s="1"/>
      <c r="IJJ85" s="1"/>
      <c r="IJK85" s="1"/>
      <c r="IJL85" s="1"/>
      <c r="IJM85" s="1"/>
      <c r="IJN85" s="1"/>
      <c r="IJO85" s="1"/>
      <c r="IJP85" s="1"/>
      <c r="IJQ85" s="1"/>
      <c r="IJR85" s="1"/>
      <c r="IJS85" s="1"/>
      <c r="IJT85" s="1"/>
      <c r="IJU85" s="1"/>
      <c r="IJV85" s="1"/>
      <c r="IJW85" s="1"/>
      <c r="IJX85" s="1"/>
      <c r="IJY85" s="1"/>
      <c r="IJZ85" s="1"/>
      <c r="IKA85" s="1"/>
      <c r="IKB85" s="1"/>
      <c r="IKC85" s="1"/>
      <c r="IKD85" s="1"/>
      <c r="IKE85" s="1"/>
      <c r="IKF85" s="1"/>
      <c r="IKG85" s="1"/>
      <c r="IKH85" s="1"/>
      <c r="IKI85" s="1"/>
      <c r="IKJ85" s="1"/>
      <c r="IKK85" s="1"/>
      <c r="IKL85" s="1"/>
      <c r="IKM85" s="1"/>
      <c r="IKN85" s="1"/>
      <c r="IKO85" s="1"/>
      <c r="IKP85" s="1"/>
      <c r="IKQ85" s="1"/>
      <c r="IKR85" s="1"/>
      <c r="IKS85" s="1"/>
      <c r="IKT85" s="1"/>
      <c r="IKU85" s="1"/>
      <c r="IKV85" s="1"/>
      <c r="IKW85" s="1"/>
      <c r="IKX85" s="1"/>
      <c r="IKY85" s="1"/>
      <c r="IKZ85" s="1"/>
      <c r="ILA85" s="1"/>
      <c r="ILB85" s="1"/>
      <c r="ILC85" s="1"/>
      <c r="ILD85" s="1"/>
      <c r="ILE85" s="1"/>
      <c r="ILF85" s="1"/>
      <c r="ILG85" s="1"/>
      <c r="ILH85" s="1"/>
      <c r="ILI85" s="1"/>
      <c r="ILJ85" s="1"/>
      <c r="ILK85" s="1"/>
      <c r="ILL85" s="1"/>
      <c r="ILM85" s="1"/>
      <c r="ILN85" s="1"/>
      <c r="ILO85" s="1"/>
      <c r="ILP85" s="1"/>
      <c r="ILQ85" s="1"/>
      <c r="ILR85" s="1"/>
      <c r="ILS85" s="1"/>
      <c r="ILT85" s="1"/>
      <c r="ILU85" s="1"/>
      <c r="ILV85" s="1"/>
      <c r="ILW85" s="1"/>
      <c r="ILX85" s="1"/>
      <c r="ILY85" s="1"/>
      <c r="ILZ85" s="1"/>
      <c r="IMA85" s="1"/>
      <c r="IMB85" s="1"/>
      <c r="IMC85" s="1"/>
      <c r="IMD85" s="1"/>
      <c r="IME85" s="1"/>
      <c r="IMF85" s="1"/>
      <c r="IMG85" s="1"/>
      <c r="IMH85" s="1"/>
      <c r="IMI85" s="1"/>
      <c r="IMJ85" s="1"/>
      <c r="IMK85" s="1"/>
      <c r="IML85" s="1"/>
      <c r="IMM85" s="1"/>
      <c r="IMN85" s="1"/>
      <c r="IMO85" s="1"/>
      <c r="IMP85" s="1"/>
      <c r="IMQ85" s="1"/>
      <c r="IMR85" s="1"/>
      <c r="IMS85" s="1"/>
      <c r="IMT85" s="1"/>
      <c r="IMU85" s="1"/>
      <c r="IMV85" s="1"/>
      <c r="IMW85" s="1"/>
      <c r="IMX85" s="1"/>
      <c r="IMY85" s="1"/>
      <c r="IMZ85" s="1"/>
      <c r="INA85" s="1"/>
      <c r="INB85" s="1"/>
      <c r="INC85" s="1"/>
      <c r="IND85" s="1"/>
      <c r="INE85" s="1"/>
      <c r="INF85" s="1"/>
      <c r="ING85" s="1"/>
      <c r="INH85" s="1"/>
      <c r="INI85" s="1"/>
      <c r="INJ85" s="1"/>
      <c r="INK85" s="1"/>
      <c r="INL85" s="1"/>
      <c r="INM85" s="1"/>
      <c r="INN85" s="1"/>
      <c r="INO85" s="1"/>
      <c r="INP85" s="1"/>
      <c r="INQ85" s="1"/>
      <c r="INR85" s="1"/>
      <c r="INS85" s="1"/>
      <c r="INT85" s="1"/>
      <c r="INU85" s="1"/>
      <c r="INV85" s="1"/>
      <c r="INW85" s="1"/>
      <c r="INX85" s="1"/>
      <c r="INY85" s="1"/>
      <c r="INZ85" s="1"/>
      <c r="IOA85" s="1"/>
      <c r="IOB85" s="1"/>
      <c r="IOC85" s="1"/>
      <c r="IOD85" s="1"/>
      <c r="IOE85" s="1"/>
      <c r="IOF85" s="1"/>
      <c r="IOG85" s="1"/>
      <c r="IOH85" s="1"/>
      <c r="IOI85" s="1"/>
      <c r="IOJ85" s="1"/>
      <c r="IOK85" s="1"/>
      <c r="IOL85" s="1"/>
      <c r="IOM85" s="1"/>
      <c r="ION85" s="1"/>
      <c r="IOO85" s="1"/>
      <c r="IOP85" s="1"/>
      <c r="IOQ85" s="1"/>
      <c r="IOR85" s="1"/>
      <c r="IOS85" s="1"/>
      <c r="IOT85" s="1"/>
      <c r="IOU85" s="1"/>
      <c r="IOV85" s="1"/>
      <c r="IOW85" s="1"/>
      <c r="IOX85" s="1"/>
      <c r="IOY85" s="1"/>
      <c r="IOZ85" s="1"/>
      <c r="IPA85" s="1"/>
      <c r="IPB85" s="1"/>
      <c r="IPC85" s="1"/>
      <c r="IPD85" s="1"/>
      <c r="IPE85" s="1"/>
      <c r="IPF85" s="1"/>
      <c r="IPG85" s="1"/>
      <c r="IPH85" s="1"/>
      <c r="IPI85" s="1"/>
      <c r="IPJ85" s="1"/>
      <c r="IPK85" s="1"/>
      <c r="IPL85" s="1"/>
      <c r="IPM85" s="1"/>
      <c r="IPN85" s="1"/>
      <c r="IPO85" s="1"/>
      <c r="IPP85" s="1"/>
      <c r="IPQ85" s="1"/>
      <c r="IPR85" s="1"/>
      <c r="IPS85" s="1"/>
      <c r="IPT85" s="1"/>
      <c r="IPU85" s="1"/>
      <c r="IPV85" s="1"/>
      <c r="IPW85" s="1"/>
      <c r="IPX85" s="1"/>
      <c r="IPY85" s="1"/>
      <c r="IPZ85" s="1"/>
      <c r="IQA85" s="1"/>
      <c r="IQB85" s="1"/>
      <c r="IQC85" s="1"/>
      <c r="IQD85" s="1"/>
      <c r="IQE85" s="1"/>
      <c r="IQF85" s="1"/>
      <c r="IQG85" s="1"/>
      <c r="IQH85" s="1"/>
      <c r="IQI85" s="1"/>
      <c r="IQJ85" s="1"/>
      <c r="IQK85" s="1"/>
      <c r="IQL85" s="1"/>
      <c r="IQM85" s="1"/>
      <c r="IQN85" s="1"/>
      <c r="IQO85" s="1"/>
      <c r="IQP85" s="1"/>
      <c r="IQQ85" s="1"/>
      <c r="IQR85" s="1"/>
      <c r="IQS85" s="1"/>
      <c r="IQT85" s="1"/>
      <c r="IQU85" s="1"/>
      <c r="IQV85" s="1"/>
      <c r="IQW85" s="1"/>
      <c r="IQX85" s="1"/>
      <c r="IQY85" s="1"/>
      <c r="IQZ85" s="1"/>
      <c r="IRA85" s="1"/>
      <c r="IRB85" s="1"/>
      <c r="IRC85" s="1"/>
      <c r="IRD85" s="1"/>
      <c r="IRE85" s="1"/>
      <c r="IRF85" s="1"/>
      <c r="IRG85" s="1"/>
      <c r="IRH85" s="1"/>
      <c r="IRI85" s="1"/>
      <c r="IRJ85" s="1"/>
      <c r="IRK85" s="1"/>
      <c r="IRL85" s="1"/>
      <c r="IRM85" s="1"/>
      <c r="IRN85" s="1"/>
      <c r="IRO85" s="1"/>
      <c r="IRP85" s="1"/>
      <c r="IRQ85" s="1"/>
      <c r="IRR85" s="1"/>
      <c r="IRS85" s="1"/>
      <c r="IRT85" s="1"/>
      <c r="IRU85" s="1"/>
      <c r="IRV85" s="1"/>
      <c r="IRW85" s="1"/>
      <c r="IRX85" s="1"/>
      <c r="IRY85" s="1"/>
      <c r="IRZ85" s="1"/>
      <c r="ISA85" s="1"/>
      <c r="ISB85" s="1"/>
      <c r="ISC85" s="1"/>
      <c r="ISD85" s="1"/>
      <c r="ISE85" s="1"/>
      <c r="ISF85" s="1"/>
      <c r="ISG85" s="1"/>
      <c r="ISH85" s="1"/>
      <c r="ISI85" s="1"/>
      <c r="ISJ85" s="1"/>
      <c r="ISK85" s="1"/>
      <c r="ISL85" s="1"/>
      <c r="ISM85" s="1"/>
      <c r="ISN85" s="1"/>
      <c r="ISO85" s="1"/>
      <c r="ISP85" s="1"/>
      <c r="ISQ85" s="1"/>
      <c r="ISR85" s="1"/>
      <c r="ISS85" s="1"/>
      <c r="IST85" s="1"/>
      <c r="ISU85" s="1"/>
      <c r="ISV85" s="1"/>
      <c r="ISW85" s="1"/>
      <c r="ISX85" s="1"/>
      <c r="ISY85" s="1"/>
      <c r="ISZ85" s="1"/>
      <c r="ITA85" s="1"/>
      <c r="ITB85" s="1"/>
      <c r="ITC85" s="1"/>
      <c r="ITD85" s="1"/>
      <c r="ITE85" s="1"/>
      <c r="ITF85" s="1"/>
      <c r="ITG85" s="1"/>
      <c r="ITH85" s="1"/>
      <c r="ITI85" s="1"/>
      <c r="ITJ85" s="1"/>
      <c r="ITK85" s="1"/>
      <c r="ITL85" s="1"/>
      <c r="ITM85" s="1"/>
      <c r="ITN85" s="1"/>
      <c r="ITO85" s="1"/>
      <c r="ITP85" s="1"/>
      <c r="ITQ85" s="1"/>
      <c r="ITR85" s="1"/>
      <c r="ITS85" s="1"/>
      <c r="ITT85" s="1"/>
      <c r="ITU85" s="1"/>
      <c r="ITV85" s="1"/>
      <c r="ITW85" s="1"/>
      <c r="ITX85" s="1"/>
      <c r="ITY85" s="1"/>
      <c r="ITZ85" s="1"/>
      <c r="IUA85" s="1"/>
      <c r="IUB85" s="1"/>
      <c r="IUC85" s="1"/>
      <c r="IUD85" s="1"/>
      <c r="IUE85" s="1"/>
      <c r="IUF85" s="1"/>
      <c r="IUG85" s="1"/>
      <c r="IUH85" s="1"/>
      <c r="IUI85" s="1"/>
      <c r="IUJ85" s="1"/>
      <c r="IUK85" s="1"/>
      <c r="IUL85" s="1"/>
      <c r="IUM85" s="1"/>
      <c r="IUN85" s="1"/>
      <c r="IUO85" s="1"/>
      <c r="IUP85" s="1"/>
      <c r="IUQ85" s="1"/>
      <c r="IUR85" s="1"/>
      <c r="IUS85" s="1"/>
      <c r="IUT85" s="1"/>
      <c r="IUU85" s="1"/>
      <c r="IUV85" s="1"/>
      <c r="IUW85" s="1"/>
      <c r="IUX85" s="1"/>
      <c r="IUY85" s="1"/>
      <c r="IUZ85" s="1"/>
      <c r="IVA85" s="1"/>
      <c r="IVB85" s="1"/>
      <c r="IVC85" s="1"/>
      <c r="IVD85" s="1"/>
      <c r="IVE85" s="1"/>
      <c r="IVF85" s="1"/>
      <c r="IVG85" s="1"/>
      <c r="IVH85" s="1"/>
      <c r="IVI85" s="1"/>
      <c r="IVJ85" s="1"/>
      <c r="IVK85" s="1"/>
      <c r="IVL85" s="1"/>
      <c r="IVM85" s="1"/>
      <c r="IVN85" s="1"/>
      <c r="IVO85" s="1"/>
      <c r="IVP85" s="1"/>
      <c r="IVQ85" s="1"/>
      <c r="IVR85" s="1"/>
      <c r="IVS85" s="1"/>
      <c r="IVT85" s="1"/>
      <c r="IVU85" s="1"/>
      <c r="IVV85" s="1"/>
      <c r="IVW85" s="1"/>
      <c r="IVX85" s="1"/>
      <c r="IVY85" s="1"/>
      <c r="IVZ85" s="1"/>
      <c r="IWA85" s="1"/>
      <c r="IWB85" s="1"/>
      <c r="IWC85" s="1"/>
      <c r="IWD85" s="1"/>
      <c r="IWE85" s="1"/>
      <c r="IWF85" s="1"/>
      <c r="IWG85" s="1"/>
      <c r="IWH85" s="1"/>
      <c r="IWI85" s="1"/>
      <c r="IWJ85" s="1"/>
      <c r="IWK85" s="1"/>
      <c r="IWL85" s="1"/>
      <c r="IWM85" s="1"/>
      <c r="IWN85" s="1"/>
      <c r="IWO85" s="1"/>
      <c r="IWP85" s="1"/>
      <c r="IWQ85" s="1"/>
      <c r="IWR85" s="1"/>
      <c r="IWS85" s="1"/>
      <c r="IWT85" s="1"/>
      <c r="IWU85" s="1"/>
      <c r="IWV85" s="1"/>
      <c r="IWW85" s="1"/>
      <c r="IWX85" s="1"/>
      <c r="IWY85" s="1"/>
      <c r="IWZ85" s="1"/>
      <c r="IXA85" s="1"/>
      <c r="IXB85" s="1"/>
      <c r="IXC85" s="1"/>
      <c r="IXD85" s="1"/>
      <c r="IXE85" s="1"/>
      <c r="IXF85" s="1"/>
      <c r="IXG85" s="1"/>
      <c r="IXH85" s="1"/>
      <c r="IXI85" s="1"/>
      <c r="IXJ85" s="1"/>
      <c r="IXK85" s="1"/>
      <c r="IXL85" s="1"/>
      <c r="IXM85" s="1"/>
      <c r="IXN85" s="1"/>
      <c r="IXO85" s="1"/>
      <c r="IXP85" s="1"/>
      <c r="IXQ85" s="1"/>
      <c r="IXR85" s="1"/>
      <c r="IXS85" s="1"/>
      <c r="IXT85" s="1"/>
      <c r="IXU85" s="1"/>
      <c r="IXV85" s="1"/>
      <c r="IXW85" s="1"/>
      <c r="IXX85" s="1"/>
      <c r="IXY85" s="1"/>
      <c r="IXZ85" s="1"/>
      <c r="IYA85" s="1"/>
      <c r="IYB85" s="1"/>
      <c r="IYC85" s="1"/>
      <c r="IYD85" s="1"/>
      <c r="IYE85" s="1"/>
      <c r="IYF85" s="1"/>
      <c r="IYG85" s="1"/>
      <c r="IYH85" s="1"/>
      <c r="IYI85" s="1"/>
      <c r="IYJ85" s="1"/>
      <c r="IYK85" s="1"/>
      <c r="IYL85" s="1"/>
      <c r="IYM85" s="1"/>
      <c r="IYN85" s="1"/>
      <c r="IYO85" s="1"/>
      <c r="IYP85" s="1"/>
      <c r="IYQ85" s="1"/>
      <c r="IYR85" s="1"/>
      <c r="IYS85" s="1"/>
      <c r="IYT85" s="1"/>
      <c r="IYU85" s="1"/>
      <c r="IYV85" s="1"/>
      <c r="IYW85" s="1"/>
      <c r="IYX85" s="1"/>
      <c r="IYY85" s="1"/>
      <c r="IYZ85" s="1"/>
      <c r="IZA85" s="1"/>
      <c r="IZB85" s="1"/>
      <c r="IZC85" s="1"/>
      <c r="IZD85" s="1"/>
      <c r="IZE85" s="1"/>
      <c r="IZF85" s="1"/>
      <c r="IZG85" s="1"/>
      <c r="IZH85" s="1"/>
      <c r="IZI85" s="1"/>
      <c r="IZJ85" s="1"/>
      <c r="IZK85" s="1"/>
      <c r="IZL85" s="1"/>
      <c r="IZM85" s="1"/>
      <c r="IZN85" s="1"/>
      <c r="IZO85" s="1"/>
      <c r="IZP85" s="1"/>
      <c r="IZQ85" s="1"/>
      <c r="IZR85" s="1"/>
      <c r="IZS85" s="1"/>
      <c r="IZT85" s="1"/>
      <c r="IZU85" s="1"/>
      <c r="IZV85" s="1"/>
      <c r="IZW85" s="1"/>
      <c r="IZX85" s="1"/>
      <c r="IZY85" s="1"/>
      <c r="IZZ85" s="1"/>
      <c r="JAA85" s="1"/>
      <c r="JAB85" s="1"/>
      <c r="JAC85" s="1"/>
      <c r="JAD85" s="1"/>
      <c r="JAE85" s="1"/>
      <c r="JAF85" s="1"/>
      <c r="JAG85" s="1"/>
      <c r="JAH85" s="1"/>
      <c r="JAI85" s="1"/>
      <c r="JAJ85" s="1"/>
      <c r="JAK85" s="1"/>
      <c r="JAL85" s="1"/>
      <c r="JAM85" s="1"/>
      <c r="JAN85" s="1"/>
      <c r="JAO85" s="1"/>
      <c r="JAP85" s="1"/>
      <c r="JAQ85" s="1"/>
      <c r="JAR85" s="1"/>
      <c r="JAS85" s="1"/>
      <c r="JAT85" s="1"/>
      <c r="JAU85" s="1"/>
      <c r="JAV85" s="1"/>
      <c r="JAW85" s="1"/>
      <c r="JAX85" s="1"/>
      <c r="JAY85" s="1"/>
      <c r="JAZ85" s="1"/>
      <c r="JBA85" s="1"/>
      <c r="JBB85" s="1"/>
      <c r="JBC85" s="1"/>
      <c r="JBD85" s="1"/>
      <c r="JBE85" s="1"/>
      <c r="JBF85" s="1"/>
      <c r="JBG85" s="1"/>
      <c r="JBH85" s="1"/>
      <c r="JBI85" s="1"/>
      <c r="JBJ85" s="1"/>
      <c r="JBK85" s="1"/>
      <c r="JBL85" s="1"/>
      <c r="JBM85" s="1"/>
      <c r="JBN85" s="1"/>
      <c r="JBO85" s="1"/>
      <c r="JBP85" s="1"/>
      <c r="JBQ85" s="1"/>
      <c r="JBR85" s="1"/>
      <c r="JBS85" s="1"/>
      <c r="JBT85" s="1"/>
      <c r="JBU85" s="1"/>
      <c r="JBV85" s="1"/>
      <c r="JBW85" s="1"/>
      <c r="JBX85" s="1"/>
      <c r="JBY85" s="1"/>
      <c r="JBZ85" s="1"/>
      <c r="JCA85" s="1"/>
      <c r="JCB85" s="1"/>
      <c r="JCC85" s="1"/>
      <c r="JCD85" s="1"/>
      <c r="JCE85" s="1"/>
      <c r="JCF85" s="1"/>
      <c r="JCG85" s="1"/>
      <c r="JCH85" s="1"/>
      <c r="JCI85" s="1"/>
      <c r="JCJ85" s="1"/>
      <c r="JCK85" s="1"/>
      <c r="JCL85" s="1"/>
      <c r="JCM85" s="1"/>
      <c r="JCN85" s="1"/>
      <c r="JCO85" s="1"/>
      <c r="JCP85" s="1"/>
      <c r="JCQ85" s="1"/>
      <c r="JCR85" s="1"/>
      <c r="JCS85" s="1"/>
      <c r="JCT85" s="1"/>
      <c r="JCU85" s="1"/>
      <c r="JCV85" s="1"/>
      <c r="JCW85" s="1"/>
      <c r="JCX85" s="1"/>
      <c r="JCY85" s="1"/>
      <c r="JCZ85" s="1"/>
      <c r="JDA85" s="1"/>
      <c r="JDB85" s="1"/>
      <c r="JDC85" s="1"/>
      <c r="JDD85" s="1"/>
      <c r="JDE85" s="1"/>
      <c r="JDF85" s="1"/>
      <c r="JDG85" s="1"/>
      <c r="JDH85" s="1"/>
      <c r="JDI85" s="1"/>
      <c r="JDJ85" s="1"/>
      <c r="JDK85" s="1"/>
      <c r="JDL85" s="1"/>
      <c r="JDM85" s="1"/>
      <c r="JDN85" s="1"/>
      <c r="JDO85" s="1"/>
      <c r="JDP85" s="1"/>
      <c r="JDQ85" s="1"/>
      <c r="JDR85" s="1"/>
      <c r="JDS85" s="1"/>
      <c r="JDT85" s="1"/>
      <c r="JDU85" s="1"/>
      <c r="JDV85" s="1"/>
      <c r="JDW85" s="1"/>
      <c r="JDX85" s="1"/>
      <c r="JDY85" s="1"/>
      <c r="JDZ85" s="1"/>
      <c r="JEA85" s="1"/>
      <c r="JEB85" s="1"/>
      <c r="JEC85" s="1"/>
      <c r="JED85" s="1"/>
      <c r="JEE85" s="1"/>
      <c r="JEF85" s="1"/>
      <c r="JEG85" s="1"/>
      <c r="JEH85" s="1"/>
      <c r="JEI85" s="1"/>
      <c r="JEJ85" s="1"/>
      <c r="JEK85" s="1"/>
      <c r="JEL85" s="1"/>
      <c r="JEM85" s="1"/>
      <c r="JEN85" s="1"/>
      <c r="JEO85" s="1"/>
      <c r="JEP85" s="1"/>
      <c r="JEQ85" s="1"/>
      <c r="JER85" s="1"/>
      <c r="JES85" s="1"/>
      <c r="JET85" s="1"/>
      <c r="JEU85" s="1"/>
      <c r="JEV85" s="1"/>
      <c r="JEW85" s="1"/>
      <c r="JEX85" s="1"/>
      <c r="JEY85" s="1"/>
      <c r="JEZ85" s="1"/>
      <c r="JFA85" s="1"/>
      <c r="JFB85" s="1"/>
      <c r="JFC85" s="1"/>
      <c r="JFD85" s="1"/>
      <c r="JFE85" s="1"/>
      <c r="JFF85" s="1"/>
      <c r="JFG85" s="1"/>
      <c r="JFH85" s="1"/>
      <c r="JFI85" s="1"/>
      <c r="JFJ85" s="1"/>
      <c r="JFK85" s="1"/>
      <c r="JFL85" s="1"/>
      <c r="JFM85" s="1"/>
      <c r="JFN85" s="1"/>
      <c r="JFO85" s="1"/>
      <c r="JFP85" s="1"/>
      <c r="JFQ85" s="1"/>
      <c r="JFR85" s="1"/>
      <c r="JFS85" s="1"/>
      <c r="JFT85" s="1"/>
      <c r="JFU85" s="1"/>
      <c r="JFV85" s="1"/>
      <c r="JFW85" s="1"/>
      <c r="JFX85" s="1"/>
      <c r="JFY85" s="1"/>
      <c r="JFZ85" s="1"/>
      <c r="JGA85" s="1"/>
      <c r="JGB85" s="1"/>
      <c r="JGC85" s="1"/>
      <c r="JGD85" s="1"/>
      <c r="JGE85" s="1"/>
      <c r="JGF85" s="1"/>
      <c r="JGG85" s="1"/>
      <c r="JGH85" s="1"/>
      <c r="JGI85" s="1"/>
      <c r="JGJ85" s="1"/>
      <c r="JGK85" s="1"/>
      <c r="JGL85" s="1"/>
      <c r="JGM85" s="1"/>
      <c r="JGN85" s="1"/>
      <c r="JGO85" s="1"/>
      <c r="JGP85" s="1"/>
      <c r="JGQ85" s="1"/>
      <c r="JGR85" s="1"/>
      <c r="JGS85" s="1"/>
      <c r="JGT85" s="1"/>
      <c r="JGU85" s="1"/>
      <c r="JGV85" s="1"/>
      <c r="JGW85" s="1"/>
      <c r="JGX85" s="1"/>
      <c r="JGY85" s="1"/>
      <c r="JGZ85" s="1"/>
      <c r="JHA85" s="1"/>
      <c r="JHB85" s="1"/>
      <c r="JHC85" s="1"/>
      <c r="JHD85" s="1"/>
      <c r="JHE85" s="1"/>
      <c r="JHF85" s="1"/>
      <c r="JHG85" s="1"/>
      <c r="JHH85" s="1"/>
      <c r="JHI85" s="1"/>
      <c r="JHJ85" s="1"/>
      <c r="JHK85" s="1"/>
      <c r="JHL85" s="1"/>
      <c r="JHM85" s="1"/>
      <c r="JHN85" s="1"/>
      <c r="JHO85" s="1"/>
      <c r="JHP85" s="1"/>
      <c r="JHQ85" s="1"/>
      <c r="JHR85" s="1"/>
      <c r="JHS85" s="1"/>
      <c r="JHT85" s="1"/>
      <c r="JHU85" s="1"/>
      <c r="JHV85" s="1"/>
      <c r="JHW85" s="1"/>
      <c r="JHX85" s="1"/>
      <c r="JHY85" s="1"/>
      <c r="JHZ85" s="1"/>
      <c r="JIA85" s="1"/>
      <c r="JIB85" s="1"/>
      <c r="JIC85" s="1"/>
      <c r="JID85" s="1"/>
      <c r="JIE85" s="1"/>
      <c r="JIF85" s="1"/>
      <c r="JIG85" s="1"/>
      <c r="JIH85" s="1"/>
      <c r="JII85" s="1"/>
      <c r="JIJ85" s="1"/>
      <c r="JIK85" s="1"/>
      <c r="JIL85" s="1"/>
      <c r="JIM85" s="1"/>
      <c r="JIN85" s="1"/>
      <c r="JIO85" s="1"/>
      <c r="JIP85" s="1"/>
      <c r="JIQ85" s="1"/>
      <c r="JIR85" s="1"/>
      <c r="JIS85" s="1"/>
      <c r="JIT85" s="1"/>
      <c r="JIU85" s="1"/>
      <c r="JIV85" s="1"/>
      <c r="JIW85" s="1"/>
      <c r="JIX85" s="1"/>
      <c r="JIY85" s="1"/>
      <c r="JIZ85" s="1"/>
      <c r="JJA85" s="1"/>
      <c r="JJB85" s="1"/>
      <c r="JJC85" s="1"/>
      <c r="JJD85" s="1"/>
      <c r="JJE85" s="1"/>
      <c r="JJF85" s="1"/>
      <c r="JJG85" s="1"/>
      <c r="JJH85" s="1"/>
      <c r="JJI85" s="1"/>
      <c r="JJJ85" s="1"/>
      <c r="JJK85" s="1"/>
      <c r="JJL85" s="1"/>
      <c r="JJM85" s="1"/>
      <c r="JJN85" s="1"/>
      <c r="JJO85" s="1"/>
      <c r="JJP85" s="1"/>
      <c r="JJQ85" s="1"/>
      <c r="JJR85" s="1"/>
      <c r="JJS85" s="1"/>
      <c r="JJT85" s="1"/>
      <c r="JJU85" s="1"/>
      <c r="JJV85" s="1"/>
      <c r="JJW85" s="1"/>
      <c r="JJX85" s="1"/>
      <c r="JJY85" s="1"/>
      <c r="JJZ85" s="1"/>
      <c r="JKA85" s="1"/>
      <c r="JKB85" s="1"/>
      <c r="JKC85" s="1"/>
      <c r="JKD85" s="1"/>
      <c r="JKE85" s="1"/>
      <c r="JKF85" s="1"/>
      <c r="JKG85" s="1"/>
      <c r="JKH85" s="1"/>
      <c r="JKI85" s="1"/>
      <c r="JKJ85" s="1"/>
      <c r="JKK85" s="1"/>
      <c r="JKL85" s="1"/>
      <c r="JKM85" s="1"/>
      <c r="JKN85" s="1"/>
      <c r="JKO85" s="1"/>
      <c r="JKP85" s="1"/>
      <c r="JKQ85" s="1"/>
      <c r="JKR85" s="1"/>
      <c r="JKS85" s="1"/>
      <c r="JKT85" s="1"/>
      <c r="JKU85" s="1"/>
      <c r="JKV85" s="1"/>
      <c r="JKW85" s="1"/>
      <c r="JKX85" s="1"/>
      <c r="JKY85" s="1"/>
      <c r="JKZ85" s="1"/>
      <c r="JLA85" s="1"/>
      <c r="JLB85" s="1"/>
      <c r="JLC85" s="1"/>
      <c r="JLD85" s="1"/>
      <c r="JLE85" s="1"/>
      <c r="JLF85" s="1"/>
      <c r="JLG85" s="1"/>
      <c r="JLH85" s="1"/>
      <c r="JLI85" s="1"/>
      <c r="JLJ85" s="1"/>
      <c r="JLK85" s="1"/>
      <c r="JLL85" s="1"/>
      <c r="JLM85" s="1"/>
      <c r="JLN85" s="1"/>
      <c r="JLO85" s="1"/>
      <c r="JLP85" s="1"/>
      <c r="JLQ85" s="1"/>
      <c r="JLR85" s="1"/>
      <c r="JLS85" s="1"/>
      <c r="JLT85" s="1"/>
      <c r="JLU85" s="1"/>
      <c r="JLV85" s="1"/>
      <c r="JLW85" s="1"/>
      <c r="JLX85" s="1"/>
      <c r="JLY85" s="1"/>
      <c r="JLZ85" s="1"/>
      <c r="JMA85" s="1"/>
      <c r="JMB85" s="1"/>
      <c r="JMC85" s="1"/>
      <c r="JMD85" s="1"/>
      <c r="JME85" s="1"/>
      <c r="JMF85" s="1"/>
      <c r="JMG85" s="1"/>
      <c r="JMH85" s="1"/>
      <c r="JMI85" s="1"/>
      <c r="JMJ85" s="1"/>
      <c r="JMK85" s="1"/>
      <c r="JML85" s="1"/>
      <c r="JMM85" s="1"/>
      <c r="JMN85" s="1"/>
      <c r="JMO85" s="1"/>
      <c r="JMP85" s="1"/>
      <c r="JMQ85" s="1"/>
      <c r="JMR85" s="1"/>
      <c r="JMS85" s="1"/>
      <c r="JMT85" s="1"/>
      <c r="JMU85" s="1"/>
      <c r="JMV85" s="1"/>
      <c r="JMW85" s="1"/>
      <c r="JMX85" s="1"/>
      <c r="JMY85" s="1"/>
      <c r="JMZ85" s="1"/>
      <c r="JNA85" s="1"/>
      <c r="JNB85" s="1"/>
      <c r="JNC85" s="1"/>
      <c r="JND85" s="1"/>
      <c r="JNE85" s="1"/>
      <c r="JNF85" s="1"/>
      <c r="JNG85" s="1"/>
      <c r="JNH85" s="1"/>
      <c r="JNI85" s="1"/>
      <c r="JNJ85" s="1"/>
      <c r="JNK85" s="1"/>
      <c r="JNL85" s="1"/>
      <c r="JNM85" s="1"/>
      <c r="JNN85" s="1"/>
      <c r="JNO85" s="1"/>
      <c r="JNP85" s="1"/>
      <c r="JNQ85" s="1"/>
      <c r="JNR85" s="1"/>
      <c r="JNS85" s="1"/>
      <c r="JNT85" s="1"/>
      <c r="JNU85" s="1"/>
      <c r="JNV85" s="1"/>
      <c r="JNW85" s="1"/>
      <c r="JNX85" s="1"/>
      <c r="JNY85" s="1"/>
      <c r="JNZ85" s="1"/>
      <c r="JOA85" s="1"/>
      <c r="JOB85" s="1"/>
      <c r="JOC85" s="1"/>
      <c r="JOD85" s="1"/>
      <c r="JOE85" s="1"/>
      <c r="JOF85" s="1"/>
      <c r="JOG85" s="1"/>
      <c r="JOH85" s="1"/>
      <c r="JOI85" s="1"/>
      <c r="JOJ85" s="1"/>
      <c r="JOK85" s="1"/>
      <c r="JOL85" s="1"/>
      <c r="JOM85" s="1"/>
      <c r="JON85" s="1"/>
      <c r="JOO85" s="1"/>
      <c r="JOP85" s="1"/>
      <c r="JOQ85" s="1"/>
      <c r="JOR85" s="1"/>
      <c r="JOS85" s="1"/>
      <c r="JOT85" s="1"/>
      <c r="JOU85" s="1"/>
      <c r="JOV85" s="1"/>
      <c r="JOW85" s="1"/>
      <c r="JOX85" s="1"/>
      <c r="JOY85" s="1"/>
      <c r="JOZ85" s="1"/>
      <c r="JPA85" s="1"/>
      <c r="JPB85" s="1"/>
      <c r="JPC85" s="1"/>
      <c r="JPD85" s="1"/>
      <c r="JPE85" s="1"/>
      <c r="JPF85" s="1"/>
      <c r="JPG85" s="1"/>
      <c r="JPH85" s="1"/>
      <c r="JPI85" s="1"/>
      <c r="JPJ85" s="1"/>
      <c r="JPK85" s="1"/>
      <c r="JPL85" s="1"/>
      <c r="JPM85" s="1"/>
      <c r="JPN85" s="1"/>
      <c r="JPO85" s="1"/>
      <c r="JPP85" s="1"/>
      <c r="JPQ85" s="1"/>
      <c r="JPR85" s="1"/>
      <c r="JPS85" s="1"/>
      <c r="JPT85" s="1"/>
      <c r="JPU85" s="1"/>
      <c r="JPV85" s="1"/>
      <c r="JPW85" s="1"/>
      <c r="JPX85" s="1"/>
      <c r="JPY85" s="1"/>
      <c r="JPZ85" s="1"/>
      <c r="JQA85" s="1"/>
      <c r="JQB85" s="1"/>
      <c r="JQC85" s="1"/>
      <c r="JQD85" s="1"/>
      <c r="JQE85" s="1"/>
      <c r="JQF85" s="1"/>
      <c r="JQG85" s="1"/>
      <c r="JQH85" s="1"/>
      <c r="JQI85" s="1"/>
      <c r="JQJ85" s="1"/>
      <c r="JQK85" s="1"/>
      <c r="JQL85" s="1"/>
      <c r="JQM85" s="1"/>
      <c r="JQN85" s="1"/>
      <c r="JQO85" s="1"/>
      <c r="JQP85" s="1"/>
      <c r="JQQ85" s="1"/>
      <c r="JQR85" s="1"/>
      <c r="JQS85" s="1"/>
      <c r="JQT85" s="1"/>
      <c r="JQU85" s="1"/>
      <c r="JQV85" s="1"/>
      <c r="JQW85" s="1"/>
      <c r="JQX85" s="1"/>
      <c r="JQY85" s="1"/>
      <c r="JQZ85" s="1"/>
      <c r="JRA85" s="1"/>
      <c r="JRB85" s="1"/>
      <c r="JRC85" s="1"/>
      <c r="JRD85" s="1"/>
      <c r="JRE85" s="1"/>
      <c r="JRF85" s="1"/>
      <c r="JRG85" s="1"/>
      <c r="JRH85" s="1"/>
      <c r="JRI85" s="1"/>
      <c r="JRJ85" s="1"/>
      <c r="JRK85" s="1"/>
      <c r="JRL85" s="1"/>
      <c r="JRM85" s="1"/>
      <c r="JRN85" s="1"/>
      <c r="JRO85" s="1"/>
      <c r="JRP85" s="1"/>
      <c r="JRQ85" s="1"/>
      <c r="JRR85" s="1"/>
      <c r="JRS85" s="1"/>
      <c r="JRT85" s="1"/>
      <c r="JRU85" s="1"/>
      <c r="JRV85" s="1"/>
      <c r="JRW85" s="1"/>
      <c r="JRX85" s="1"/>
      <c r="JRY85" s="1"/>
      <c r="JRZ85" s="1"/>
      <c r="JSA85" s="1"/>
      <c r="JSB85" s="1"/>
      <c r="JSC85" s="1"/>
      <c r="JSD85" s="1"/>
      <c r="JSE85" s="1"/>
      <c r="JSF85" s="1"/>
      <c r="JSG85" s="1"/>
      <c r="JSH85" s="1"/>
      <c r="JSI85" s="1"/>
      <c r="JSJ85" s="1"/>
      <c r="JSK85" s="1"/>
      <c r="JSL85" s="1"/>
      <c r="JSM85" s="1"/>
      <c r="JSN85" s="1"/>
      <c r="JSO85" s="1"/>
      <c r="JSP85" s="1"/>
      <c r="JSQ85" s="1"/>
      <c r="JSR85" s="1"/>
      <c r="JSS85" s="1"/>
      <c r="JST85" s="1"/>
      <c r="JSU85" s="1"/>
      <c r="JSV85" s="1"/>
      <c r="JSW85" s="1"/>
      <c r="JSX85" s="1"/>
      <c r="JSY85" s="1"/>
      <c r="JSZ85" s="1"/>
      <c r="JTA85" s="1"/>
      <c r="JTB85" s="1"/>
      <c r="JTC85" s="1"/>
      <c r="JTD85" s="1"/>
      <c r="JTE85" s="1"/>
      <c r="JTF85" s="1"/>
      <c r="JTG85" s="1"/>
      <c r="JTH85" s="1"/>
      <c r="JTI85" s="1"/>
      <c r="JTJ85" s="1"/>
      <c r="JTK85" s="1"/>
      <c r="JTL85" s="1"/>
      <c r="JTM85" s="1"/>
      <c r="JTN85" s="1"/>
      <c r="JTO85" s="1"/>
      <c r="JTP85" s="1"/>
      <c r="JTQ85" s="1"/>
      <c r="JTR85" s="1"/>
      <c r="JTS85" s="1"/>
      <c r="JTT85" s="1"/>
      <c r="JTU85" s="1"/>
      <c r="JTV85" s="1"/>
      <c r="JTW85" s="1"/>
      <c r="JTX85" s="1"/>
      <c r="JTY85" s="1"/>
      <c r="JTZ85" s="1"/>
      <c r="JUA85" s="1"/>
      <c r="JUB85" s="1"/>
      <c r="JUC85" s="1"/>
      <c r="JUD85" s="1"/>
      <c r="JUE85" s="1"/>
      <c r="JUF85" s="1"/>
      <c r="JUG85" s="1"/>
      <c r="JUH85" s="1"/>
      <c r="JUI85" s="1"/>
      <c r="JUJ85" s="1"/>
      <c r="JUK85" s="1"/>
      <c r="JUL85" s="1"/>
      <c r="JUM85" s="1"/>
      <c r="JUN85" s="1"/>
      <c r="JUO85" s="1"/>
      <c r="JUP85" s="1"/>
      <c r="JUQ85" s="1"/>
      <c r="JUR85" s="1"/>
      <c r="JUS85" s="1"/>
      <c r="JUT85" s="1"/>
      <c r="JUU85" s="1"/>
      <c r="JUV85" s="1"/>
      <c r="JUW85" s="1"/>
      <c r="JUX85" s="1"/>
      <c r="JUY85" s="1"/>
      <c r="JUZ85" s="1"/>
      <c r="JVA85" s="1"/>
      <c r="JVB85" s="1"/>
      <c r="JVC85" s="1"/>
      <c r="JVD85" s="1"/>
      <c r="JVE85" s="1"/>
      <c r="JVF85" s="1"/>
      <c r="JVG85" s="1"/>
      <c r="JVH85" s="1"/>
      <c r="JVI85" s="1"/>
      <c r="JVJ85" s="1"/>
      <c r="JVK85" s="1"/>
      <c r="JVL85" s="1"/>
      <c r="JVM85" s="1"/>
      <c r="JVN85" s="1"/>
      <c r="JVO85" s="1"/>
      <c r="JVP85" s="1"/>
      <c r="JVQ85" s="1"/>
      <c r="JVR85" s="1"/>
      <c r="JVS85" s="1"/>
      <c r="JVT85" s="1"/>
      <c r="JVU85" s="1"/>
      <c r="JVV85" s="1"/>
      <c r="JVW85" s="1"/>
      <c r="JVX85" s="1"/>
      <c r="JVY85" s="1"/>
      <c r="JVZ85" s="1"/>
      <c r="JWA85" s="1"/>
      <c r="JWB85" s="1"/>
      <c r="JWC85" s="1"/>
      <c r="JWD85" s="1"/>
      <c r="JWE85" s="1"/>
      <c r="JWF85" s="1"/>
      <c r="JWG85" s="1"/>
      <c r="JWH85" s="1"/>
      <c r="JWI85" s="1"/>
      <c r="JWJ85" s="1"/>
      <c r="JWK85" s="1"/>
      <c r="JWL85" s="1"/>
      <c r="JWM85" s="1"/>
      <c r="JWN85" s="1"/>
      <c r="JWO85" s="1"/>
      <c r="JWP85" s="1"/>
      <c r="JWQ85" s="1"/>
      <c r="JWR85" s="1"/>
      <c r="JWS85" s="1"/>
      <c r="JWT85" s="1"/>
      <c r="JWU85" s="1"/>
      <c r="JWV85" s="1"/>
      <c r="JWW85" s="1"/>
      <c r="JWX85" s="1"/>
      <c r="JWY85" s="1"/>
      <c r="JWZ85" s="1"/>
      <c r="JXA85" s="1"/>
      <c r="JXB85" s="1"/>
      <c r="JXC85" s="1"/>
      <c r="JXD85" s="1"/>
      <c r="JXE85" s="1"/>
      <c r="JXF85" s="1"/>
      <c r="JXG85" s="1"/>
      <c r="JXH85" s="1"/>
      <c r="JXI85" s="1"/>
      <c r="JXJ85" s="1"/>
      <c r="JXK85" s="1"/>
      <c r="JXL85" s="1"/>
      <c r="JXM85" s="1"/>
      <c r="JXN85" s="1"/>
      <c r="JXO85" s="1"/>
      <c r="JXP85" s="1"/>
      <c r="JXQ85" s="1"/>
      <c r="JXR85" s="1"/>
      <c r="JXS85" s="1"/>
      <c r="JXT85" s="1"/>
      <c r="JXU85" s="1"/>
      <c r="JXV85" s="1"/>
      <c r="JXW85" s="1"/>
      <c r="JXX85" s="1"/>
      <c r="JXY85" s="1"/>
      <c r="JXZ85" s="1"/>
      <c r="JYA85" s="1"/>
      <c r="JYB85" s="1"/>
      <c r="JYC85" s="1"/>
      <c r="JYD85" s="1"/>
      <c r="JYE85" s="1"/>
      <c r="JYF85" s="1"/>
      <c r="JYG85" s="1"/>
      <c r="JYH85" s="1"/>
      <c r="JYI85" s="1"/>
      <c r="JYJ85" s="1"/>
      <c r="JYK85" s="1"/>
      <c r="JYL85" s="1"/>
      <c r="JYM85" s="1"/>
      <c r="JYN85" s="1"/>
      <c r="JYO85" s="1"/>
      <c r="JYP85" s="1"/>
      <c r="JYQ85" s="1"/>
      <c r="JYR85" s="1"/>
      <c r="JYS85" s="1"/>
      <c r="JYT85" s="1"/>
      <c r="JYU85" s="1"/>
      <c r="JYV85" s="1"/>
      <c r="JYW85" s="1"/>
      <c r="JYX85" s="1"/>
      <c r="JYY85" s="1"/>
      <c r="JYZ85" s="1"/>
      <c r="JZA85" s="1"/>
      <c r="JZB85" s="1"/>
      <c r="JZC85" s="1"/>
      <c r="JZD85" s="1"/>
      <c r="JZE85" s="1"/>
      <c r="JZF85" s="1"/>
      <c r="JZG85" s="1"/>
      <c r="JZH85" s="1"/>
      <c r="JZI85" s="1"/>
      <c r="JZJ85" s="1"/>
      <c r="JZK85" s="1"/>
      <c r="JZL85" s="1"/>
      <c r="JZM85" s="1"/>
      <c r="JZN85" s="1"/>
      <c r="JZO85" s="1"/>
      <c r="JZP85" s="1"/>
      <c r="JZQ85" s="1"/>
      <c r="JZR85" s="1"/>
      <c r="JZS85" s="1"/>
      <c r="JZT85" s="1"/>
      <c r="JZU85" s="1"/>
      <c r="JZV85" s="1"/>
      <c r="JZW85" s="1"/>
      <c r="JZX85" s="1"/>
      <c r="JZY85" s="1"/>
      <c r="JZZ85" s="1"/>
      <c r="KAA85" s="1"/>
      <c r="KAB85" s="1"/>
      <c r="KAC85" s="1"/>
      <c r="KAD85" s="1"/>
      <c r="KAE85" s="1"/>
      <c r="KAF85" s="1"/>
      <c r="KAG85" s="1"/>
      <c r="KAH85" s="1"/>
      <c r="KAI85" s="1"/>
      <c r="KAJ85" s="1"/>
      <c r="KAK85" s="1"/>
      <c r="KAL85" s="1"/>
      <c r="KAM85" s="1"/>
      <c r="KAN85" s="1"/>
      <c r="KAO85" s="1"/>
      <c r="KAP85" s="1"/>
      <c r="KAQ85" s="1"/>
      <c r="KAR85" s="1"/>
      <c r="KAS85" s="1"/>
      <c r="KAT85" s="1"/>
      <c r="KAU85" s="1"/>
      <c r="KAV85" s="1"/>
      <c r="KAW85" s="1"/>
      <c r="KAX85" s="1"/>
      <c r="KAY85" s="1"/>
      <c r="KAZ85" s="1"/>
      <c r="KBA85" s="1"/>
      <c r="KBB85" s="1"/>
      <c r="KBC85" s="1"/>
      <c r="KBD85" s="1"/>
      <c r="KBE85" s="1"/>
      <c r="KBF85" s="1"/>
      <c r="KBG85" s="1"/>
      <c r="KBH85" s="1"/>
      <c r="KBI85" s="1"/>
      <c r="KBJ85" s="1"/>
      <c r="KBK85" s="1"/>
      <c r="KBL85" s="1"/>
      <c r="KBM85" s="1"/>
      <c r="KBN85" s="1"/>
      <c r="KBO85" s="1"/>
      <c r="KBP85" s="1"/>
      <c r="KBQ85" s="1"/>
      <c r="KBR85" s="1"/>
      <c r="KBS85" s="1"/>
      <c r="KBT85" s="1"/>
      <c r="KBU85" s="1"/>
      <c r="KBV85" s="1"/>
      <c r="KBW85" s="1"/>
      <c r="KBX85" s="1"/>
      <c r="KBY85" s="1"/>
      <c r="KBZ85" s="1"/>
      <c r="KCA85" s="1"/>
      <c r="KCB85" s="1"/>
      <c r="KCC85" s="1"/>
      <c r="KCD85" s="1"/>
      <c r="KCE85" s="1"/>
      <c r="KCF85" s="1"/>
      <c r="KCG85" s="1"/>
      <c r="KCH85" s="1"/>
      <c r="KCI85" s="1"/>
      <c r="KCJ85" s="1"/>
      <c r="KCK85" s="1"/>
      <c r="KCL85" s="1"/>
      <c r="KCM85" s="1"/>
      <c r="KCN85" s="1"/>
      <c r="KCO85" s="1"/>
      <c r="KCP85" s="1"/>
      <c r="KCQ85" s="1"/>
      <c r="KCR85" s="1"/>
      <c r="KCS85" s="1"/>
      <c r="KCT85" s="1"/>
      <c r="KCU85" s="1"/>
      <c r="KCV85" s="1"/>
      <c r="KCW85" s="1"/>
      <c r="KCX85" s="1"/>
      <c r="KCY85" s="1"/>
      <c r="KCZ85" s="1"/>
      <c r="KDA85" s="1"/>
      <c r="KDB85" s="1"/>
      <c r="KDC85" s="1"/>
      <c r="KDD85" s="1"/>
      <c r="KDE85" s="1"/>
      <c r="KDF85" s="1"/>
      <c r="KDG85" s="1"/>
      <c r="KDH85" s="1"/>
      <c r="KDI85" s="1"/>
      <c r="KDJ85" s="1"/>
      <c r="KDK85" s="1"/>
      <c r="KDL85" s="1"/>
      <c r="KDM85" s="1"/>
      <c r="KDN85" s="1"/>
      <c r="KDO85" s="1"/>
      <c r="KDP85" s="1"/>
      <c r="KDQ85" s="1"/>
      <c r="KDR85" s="1"/>
      <c r="KDS85" s="1"/>
      <c r="KDT85" s="1"/>
      <c r="KDU85" s="1"/>
      <c r="KDV85" s="1"/>
      <c r="KDW85" s="1"/>
      <c r="KDX85" s="1"/>
      <c r="KDY85" s="1"/>
      <c r="KDZ85" s="1"/>
      <c r="KEA85" s="1"/>
      <c r="KEB85" s="1"/>
      <c r="KEC85" s="1"/>
      <c r="KED85" s="1"/>
      <c r="KEE85" s="1"/>
      <c r="KEF85" s="1"/>
      <c r="KEG85" s="1"/>
      <c r="KEH85" s="1"/>
      <c r="KEI85" s="1"/>
      <c r="KEJ85" s="1"/>
      <c r="KEK85" s="1"/>
      <c r="KEL85" s="1"/>
      <c r="KEM85" s="1"/>
      <c r="KEN85" s="1"/>
      <c r="KEO85" s="1"/>
      <c r="KEP85" s="1"/>
      <c r="KEQ85" s="1"/>
      <c r="KER85" s="1"/>
      <c r="KES85" s="1"/>
      <c r="KET85" s="1"/>
      <c r="KEU85" s="1"/>
      <c r="KEV85" s="1"/>
      <c r="KEW85" s="1"/>
      <c r="KEX85" s="1"/>
      <c r="KEY85" s="1"/>
      <c r="KEZ85" s="1"/>
      <c r="KFA85" s="1"/>
      <c r="KFB85" s="1"/>
      <c r="KFC85" s="1"/>
      <c r="KFD85" s="1"/>
      <c r="KFE85" s="1"/>
      <c r="KFF85" s="1"/>
      <c r="KFG85" s="1"/>
      <c r="KFH85" s="1"/>
      <c r="KFI85" s="1"/>
      <c r="KFJ85" s="1"/>
      <c r="KFK85" s="1"/>
      <c r="KFL85" s="1"/>
      <c r="KFM85" s="1"/>
      <c r="KFN85" s="1"/>
      <c r="KFO85" s="1"/>
      <c r="KFP85" s="1"/>
      <c r="KFQ85" s="1"/>
      <c r="KFR85" s="1"/>
      <c r="KFS85" s="1"/>
      <c r="KFT85" s="1"/>
      <c r="KFU85" s="1"/>
      <c r="KFV85" s="1"/>
      <c r="KFW85" s="1"/>
      <c r="KFX85" s="1"/>
      <c r="KFY85" s="1"/>
      <c r="KFZ85" s="1"/>
      <c r="KGA85" s="1"/>
      <c r="KGB85" s="1"/>
      <c r="KGC85" s="1"/>
      <c r="KGD85" s="1"/>
      <c r="KGE85" s="1"/>
      <c r="KGF85" s="1"/>
      <c r="KGG85" s="1"/>
      <c r="KGH85" s="1"/>
      <c r="KGI85" s="1"/>
      <c r="KGJ85" s="1"/>
      <c r="KGK85" s="1"/>
      <c r="KGL85" s="1"/>
      <c r="KGM85" s="1"/>
      <c r="KGN85" s="1"/>
      <c r="KGO85" s="1"/>
      <c r="KGP85" s="1"/>
      <c r="KGQ85" s="1"/>
      <c r="KGR85" s="1"/>
      <c r="KGS85" s="1"/>
      <c r="KGT85" s="1"/>
      <c r="KGU85" s="1"/>
      <c r="KGV85" s="1"/>
      <c r="KGW85" s="1"/>
      <c r="KGX85" s="1"/>
      <c r="KGY85" s="1"/>
      <c r="KGZ85" s="1"/>
      <c r="KHA85" s="1"/>
      <c r="KHB85" s="1"/>
      <c r="KHC85" s="1"/>
      <c r="KHD85" s="1"/>
      <c r="KHE85" s="1"/>
      <c r="KHF85" s="1"/>
      <c r="KHG85" s="1"/>
      <c r="KHH85" s="1"/>
      <c r="KHI85" s="1"/>
      <c r="KHJ85" s="1"/>
      <c r="KHK85" s="1"/>
      <c r="KHL85" s="1"/>
      <c r="KHM85" s="1"/>
      <c r="KHN85" s="1"/>
      <c r="KHO85" s="1"/>
      <c r="KHP85" s="1"/>
      <c r="KHQ85" s="1"/>
      <c r="KHR85" s="1"/>
      <c r="KHS85" s="1"/>
      <c r="KHT85" s="1"/>
      <c r="KHU85" s="1"/>
      <c r="KHV85" s="1"/>
      <c r="KHW85" s="1"/>
      <c r="KHX85" s="1"/>
      <c r="KHY85" s="1"/>
      <c r="KHZ85" s="1"/>
      <c r="KIA85" s="1"/>
      <c r="KIB85" s="1"/>
      <c r="KIC85" s="1"/>
      <c r="KID85" s="1"/>
      <c r="KIE85" s="1"/>
      <c r="KIF85" s="1"/>
      <c r="KIG85" s="1"/>
      <c r="KIH85" s="1"/>
      <c r="KII85" s="1"/>
      <c r="KIJ85" s="1"/>
      <c r="KIK85" s="1"/>
      <c r="KIL85" s="1"/>
      <c r="KIM85" s="1"/>
      <c r="KIN85" s="1"/>
      <c r="KIO85" s="1"/>
      <c r="KIP85" s="1"/>
      <c r="KIQ85" s="1"/>
      <c r="KIR85" s="1"/>
      <c r="KIS85" s="1"/>
      <c r="KIT85" s="1"/>
      <c r="KIU85" s="1"/>
      <c r="KIV85" s="1"/>
      <c r="KIW85" s="1"/>
      <c r="KIX85" s="1"/>
      <c r="KIY85" s="1"/>
      <c r="KIZ85" s="1"/>
      <c r="KJA85" s="1"/>
      <c r="KJB85" s="1"/>
      <c r="KJC85" s="1"/>
      <c r="KJD85" s="1"/>
      <c r="KJE85" s="1"/>
      <c r="KJF85" s="1"/>
      <c r="KJG85" s="1"/>
      <c r="KJH85" s="1"/>
      <c r="KJI85" s="1"/>
      <c r="KJJ85" s="1"/>
      <c r="KJK85" s="1"/>
      <c r="KJL85" s="1"/>
      <c r="KJM85" s="1"/>
      <c r="KJN85" s="1"/>
      <c r="KJO85" s="1"/>
      <c r="KJP85" s="1"/>
      <c r="KJQ85" s="1"/>
      <c r="KJR85" s="1"/>
      <c r="KJS85" s="1"/>
      <c r="KJT85" s="1"/>
      <c r="KJU85" s="1"/>
      <c r="KJV85" s="1"/>
      <c r="KJW85" s="1"/>
      <c r="KJX85" s="1"/>
      <c r="KJY85" s="1"/>
      <c r="KJZ85" s="1"/>
      <c r="KKA85" s="1"/>
      <c r="KKB85" s="1"/>
      <c r="KKC85" s="1"/>
      <c r="KKD85" s="1"/>
      <c r="KKE85" s="1"/>
      <c r="KKF85" s="1"/>
      <c r="KKG85" s="1"/>
      <c r="KKH85" s="1"/>
      <c r="KKI85" s="1"/>
      <c r="KKJ85" s="1"/>
      <c r="KKK85" s="1"/>
      <c r="KKL85" s="1"/>
      <c r="KKM85" s="1"/>
      <c r="KKN85" s="1"/>
      <c r="KKO85" s="1"/>
      <c r="KKP85" s="1"/>
      <c r="KKQ85" s="1"/>
      <c r="KKR85" s="1"/>
      <c r="KKS85" s="1"/>
      <c r="KKT85" s="1"/>
      <c r="KKU85" s="1"/>
      <c r="KKV85" s="1"/>
      <c r="KKW85" s="1"/>
      <c r="KKX85" s="1"/>
      <c r="KKY85" s="1"/>
      <c r="KKZ85" s="1"/>
      <c r="KLA85" s="1"/>
      <c r="KLB85" s="1"/>
      <c r="KLC85" s="1"/>
      <c r="KLD85" s="1"/>
      <c r="KLE85" s="1"/>
      <c r="KLF85" s="1"/>
      <c r="KLG85" s="1"/>
      <c r="KLH85" s="1"/>
      <c r="KLI85" s="1"/>
      <c r="KLJ85" s="1"/>
      <c r="KLK85" s="1"/>
      <c r="KLL85" s="1"/>
      <c r="KLM85" s="1"/>
      <c r="KLN85" s="1"/>
      <c r="KLO85" s="1"/>
      <c r="KLP85" s="1"/>
      <c r="KLQ85" s="1"/>
      <c r="KLR85" s="1"/>
      <c r="KLS85" s="1"/>
      <c r="KLT85" s="1"/>
      <c r="KLU85" s="1"/>
      <c r="KLV85" s="1"/>
      <c r="KLW85" s="1"/>
      <c r="KLX85" s="1"/>
      <c r="KLY85" s="1"/>
      <c r="KLZ85" s="1"/>
      <c r="KMA85" s="1"/>
      <c r="KMB85" s="1"/>
      <c r="KMC85" s="1"/>
      <c r="KMD85" s="1"/>
      <c r="KME85" s="1"/>
      <c r="KMF85" s="1"/>
      <c r="KMG85" s="1"/>
      <c r="KMH85" s="1"/>
      <c r="KMI85" s="1"/>
      <c r="KMJ85" s="1"/>
      <c r="KMK85" s="1"/>
      <c r="KML85" s="1"/>
      <c r="KMM85" s="1"/>
      <c r="KMN85" s="1"/>
      <c r="KMO85" s="1"/>
      <c r="KMP85" s="1"/>
      <c r="KMQ85" s="1"/>
      <c r="KMR85" s="1"/>
      <c r="KMS85" s="1"/>
      <c r="KMT85" s="1"/>
      <c r="KMU85" s="1"/>
      <c r="KMV85" s="1"/>
      <c r="KMW85" s="1"/>
      <c r="KMX85" s="1"/>
      <c r="KMY85" s="1"/>
      <c r="KMZ85" s="1"/>
      <c r="KNA85" s="1"/>
      <c r="KNB85" s="1"/>
      <c r="KNC85" s="1"/>
      <c r="KND85" s="1"/>
      <c r="KNE85" s="1"/>
      <c r="KNF85" s="1"/>
      <c r="KNG85" s="1"/>
      <c r="KNH85" s="1"/>
      <c r="KNI85" s="1"/>
      <c r="KNJ85" s="1"/>
      <c r="KNK85" s="1"/>
      <c r="KNL85" s="1"/>
      <c r="KNM85" s="1"/>
      <c r="KNN85" s="1"/>
      <c r="KNO85" s="1"/>
      <c r="KNP85" s="1"/>
      <c r="KNQ85" s="1"/>
      <c r="KNR85" s="1"/>
      <c r="KNS85" s="1"/>
      <c r="KNT85" s="1"/>
      <c r="KNU85" s="1"/>
      <c r="KNV85" s="1"/>
      <c r="KNW85" s="1"/>
      <c r="KNX85" s="1"/>
      <c r="KNY85" s="1"/>
      <c r="KNZ85" s="1"/>
      <c r="KOA85" s="1"/>
      <c r="KOB85" s="1"/>
      <c r="KOC85" s="1"/>
      <c r="KOD85" s="1"/>
      <c r="KOE85" s="1"/>
      <c r="KOF85" s="1"/>
      <c r="KOG85" s="1"/>
      <c r="KOH85" s="1"/>
      <c r="KOI85" s="1"/>
      <c r="KOJ85" s="1"/>
      <c r="KOK85" s="1"/>
      <c r="KOL85" s="1"/>
      <c r="KOM85" s="1"/>
      <c r="KON85" s="1"/>
      <c r="KOO85" s="1"/>
      <c r="KOP85" s="1"/>
      <c r="KOQ85" s="1"/>
      <c r="KOR85" s="1"/>
      <c r="KOS85" s="1"/>
      <c r="KOT85" s="1"/>
      <c r="KOU85" s="1"/>
      <c r="KOV85" s="1"/>
      <c r="KOW85" s="1"/>
      <c r="KOX85" s="1"/>
      <c r="KOY85" s="1"/>
      <c r="KOZ85" s="1"/>
      <c r="KPA85" s="1"/>
      <c r="KPB85" s="1"/>
      <c r="KPC85" s="1"/>
      <c r="KPD85" s="1"/>
      <c r="KPE85" s="1"/>
      <c r="KPF85" s="1"/>
      <c r="KPG85" s="1"/>
      <c r="KPH85" s="1"/>
      <c r="KPI85" s="1"/>
      <c r="KPJ85" s="1"/>
      <c r="KPK85" s="1"/>
      <c r="KPL85" s="1"/>
      <c r="KPM85" s="1"/>
      <c r="KPN85" s="1"/>
      <c r="KPO85" s="1"/>
      <c r="KPP85" s="1"/>
      <c r="KPQ85" s="1"/>
      <c r="KPR85" s="1"/>
      <c r="KPS85" s="1"/>
      <c r="KPT85" s="1"/>
      <c r="KPU85" s="1"/>
      <c r="KPV85" s="1"/>
      <c r="KPW85" s="1"/>
      <c r="KPX85" s="1"/>
      <c r="KPY85" s="1"/>
      <c r="KPZ85" s="1"/>
      <c r="KQA85" s="1"/>
      <c r="KQB85" s="1"/>
      <c r="KQC85" s="1"/>
      <c r="KQD85" s="1"/>
      <c r="KQE85" s="1"/>
      <c r="KQF85" s="1"/>
      <c r="KQG85" s="1"/>
      <c r="KQH85" s="1"/>
      <c r="KQI85" s="1"/>
      <c r="KQJ85" s="1"/>
      <c r="KQK85" s="1"/>
      <c r="KQL85" s="1"/>
      <c r="KQM85" s="1"/>
      <c r="KQN85" s="1"/>
      <c r="KQO85" s="1"/>
      <c r="KQP85" s="1"/>
      <c r="KQQ85" s="1"/>
      <c r="KQR85" s="1"/>
      <c r="KQS85" s="1"/>
      <c r="KQT85" s="1"/>
      <c r="KQU85" s="1"/>
      <c r="KQV85" s="1"/>
      <c r="KQW85" s="1"/>
      <c r="KQX85" s="1"/>
      <c r="KQY85" s="1"/>
      <c r="KQZ85" s="1"/>
      <c r="KRA85" s="1"/>
      <c r="KRB85" s="1"/>
      <c r="KRC85" s="1"/>
      <c r="KRD85" s="1"/>
      <c r="KRE85" s="1"/>
      <c r="KRF85" s="1"/>
      <c r="KRG85" s="1"/>
      <c r="KRH85" s="1"/>
      <c r="KRI85" s="1"/>
      <c r="KRJ85" s="1"/>
      <c r="KRK85" s="1"/>
      <c r="KRL85" s="1"/>
      <c r="KRM85" s="1"/>
      <c r="KRN85" s="1"/>
      <c r="KRO85" s="1"/>
      <c r="KRP85" s="1"/>
      <c r="KRQ85" s="1"/>
      <c r="KRR85" s="1"/>
      <c r="KRS85" s="1"/>
      <c r="KRT85" s="1"/>
      <c r="KRU85" s="1"/>
      <c r="KRV85" s="1"/>
      <c r="KRW85" s="1"/>
      <c r="KRX85" s="1"/>
      <c r="KRY85" s="1"/>
      <c r="KRZ85" s="1"/>
      <c r="KSA85" s="1"/>
      <c r="KSB85" s="1"/>
      <c r="KSC85" s="1"/>
      <c r="KSD85" s="1"/>
      <c r="KSE85" s="1"/>
      <c r="KSF85" s="1"/>
      <c r="KSG85" s="1"/>
      <c r="KSH85" s="1"/>
      <c r="KSI85" s="1"/>
      <c r="KSJ85" s="1"/>
      <c r="KSK85" s="1"/>
      <c r="KSL85" s="1"/>
      <c r="KSM85" s="1"/>
      <c r="KSN85" s="1"/>
      <c r="KSO85" s="1"/>
      <c r="KSP85" s="1"/>
      <c r="KSQ85" s="1"/>
      <c r="KSR85" s="1"/>
      <c r="KSS85" s="1"/>
      <c r="KST85" s="1"/>
      <c r="KSU85" s="1"/>
      <c r="KSV85" s="1"/>
      <c r="KSW85" s="1"/>
      <c r="KSX85" s="1"/>
      <c r="KSY85" s="1"/>
      <c r="KSZ85" s="1"/>
      <c r="KTA85" s="1"/>
      <c r="KTB85" s="1"/>
      <c r="KTC85" s="1"/>
      <c r="KTD85" s="1"/>
      <c r="KTE85" s="1"/>
      <c r="KTF85" s="1"/>
      <c r="KTG85" s="1"/>
      <c r="KTH85" s="1"/>
      <c r="KTI85" s="1"/>
      <c r="KTJ85" s="1"/>
      <c r="KTK85" s="1"/>
      <c r="KTL85" s="1"/>
      <c r="KTM85" s="1"/>
      <c r="KTN85" s="1"/>
      <c r="KTO85" s="1"/>
      <c r="KTP85" s="1"/>
      <c r="KTQ85" s="1"/>
      <c r="KTR85" s="1"/>
      <c r="KTS85" s="1"/>
      <c r="KTT85" s="1"/>
      <c r="KTU85" s="1"/>
      <c r="KTV85" s="1"/>
      <c r="KTW85" s="1"/>
      <c r="KTX85" s="1"/>
      <c r="KTY85" s="1"/>
      <c r="KTZ85" s="1"/>
      <c r="KUA85" s="1"/>
      <c r="KUB85" s="1"/>
      <c r="KUC85" s="1"/>
      <c r="KUD85" s="1"/>
      <c r="KUE85" s="1"/>
      <c r="KUF85" s="1"/>
      <c r="KUG85" s="1"/>
      <c r="KUH85" s="1"/>
      <c r="KUI85" s="1"/>
      <c r="KUJ85" s="1"/>
      <c r="KUK85" s="1"/>
      <c r="KUL85" s="1"/>
      <c r="KUM85" s="1"/>
      <c r="KUN85" s="1"/>
      <c r="KUO85" s="1"/>
      <c r="KUP85" s="1"/>
      <c r="KUQ85" s="1"/>
      <c r="KUR85" s="1"/>
      <c r="KUS85" s="1"/>
      <c r="KUT85" s="1"/>
      <c r="KUU85" s="1"/>
      <c r="KUV85" s="1"/>
      <c r="KUW85" s="1"/>
      <c r="KUX85" s="1"/>
      <c r="KUY85" s="1"/>
      <c r="KUZ85" s="1"/>
      <c r="KVA85" s="1"/>
      <c r="KVB85" s="1"/>
      <c r="KVC85" s="1"/>
      <c r="KVD85" s="1"/>
      <c r="KVE85" s="1"/>
      <c r="KVF85" s="1"/>
      <c r="KVG85" s="1"/>
      <c r="KVH85" s="1"/>
      <c r="KVI85" s="1"/>
      <c r="KVJ85" s="1"/>
      <c r="KVK85" s="1"/>
      <c r="KVL85" s="1"/>
      <c r="KVM85" s="1"/>
      <c r="KVN85" s="1"/>
      <c r="KVO85" s="1"/>
      <c r="KVP85" s="1"/>
      <c r="KVQ85" s="1"/>
      <c r="KVR85" s="1"/>
      <c r="KVS85" s="1"/>
      <c r="KVT85" s="1"/>
      <c r="KVU85" s="1"/>
      <c r="KVV85" s="1"/>
      <c r="KVW85" s="1"/>
      <c r="KVX85" s="1"/>
      <c r="KVY85" s="1"/>
      <c r="KVZ85" s="1"/>
      <c r="KWA85" s="1"/>
      <c r="KWB85" s="1"/>
      <c r="KWC85" s="1"/>
      <c r="KWD85" s="1"/>
      <c r="KWE85" s="1"/>
      <c r="KWF85" s="1"/>
      <c r="KWG85" s="1"/>
      <c r="KWH85" s="1"/>
      <c r="KWI85" s="1"/>
      <c r="KWJ85" s="1"/>
      <c r="KWK85" s="1"/>
      <c r="KWL85" s="1"/>
      <c r="KWM85" s="1"/>
      <c r="KWN85" s="1"/>
      <c r="KWO85" s="1"/>
      <c r="KWP85" s="1"/>
      <c r="KWQ85" s="1"/>
      <c r="KWR85" s="1"/>
      <c r="KWS85" s="1"/>
      <c r="KWT85" s="1"/>
      <c r="KWU85" s="1"/>
      <c r="KWV85" s="1"/>
      <c r="KWW85" s="1"/>
      <c r="KWX85" s="1"/>
      <c r="KWY85" s="1"/>
      <c r="KWZ85" s="1"/>
      <c r="KXA85" s="1"/>
      <c r="KXB85" s="1"/>
      <c r="KXC85" s="1"/>
      <c r="KXD85" s="1"/>
      <c r="KXE85" s="1"/>
      <c r="KXF85" s="1"/>
      <c r="KXG85" s="1"/>
      <c r="KXH85" s="1"/>
      <c r="KXI85" s="1"/>
      <c r="KXJ85" s="1"/>
      <c r="KXK85" s="1"/>
      <c r="KXL85" s="1"/>
      <c r="KXM85" s="1"/>
      <c r="KXN85" s="1"/>
      <c r="KXO85" s="1"/>
      <c r="KXP85" s="1"/>
      <c r="KXQ85" s="1"/>
      <c r="KXR85" s="1"/>
      <c r="KXS85" s="1"/>
      <c r="KXT85" s="1"/>
      <c r="KXU85" s="1"/>
      <c r="KXV85" s="1"/>
      <c r="KXW85" s="1"/>
      <c r="KXX85" s="1"/>
      <c r="KXY85" s="1"/>
      <c r="KXZ85" s="1"/>
      <c r="KYA85" s="1"/>
      <c r="KYB85" s="1"/>
      <c r="KYC85" s="1"/>
      <c r="KYD85" s="1"/>
      <c r="KYE85" s="1"/>
      <c r="KYF85" s="1"/>
      <c r="KYG85" s="1"/>
      <c r="KYH85" s="1"/>
      <c r="KYI85" s="1"/>
      <c r="KYJ85" s="1"/>
      <c r="KYK85" s="1"/>
      <c r="KYL85" s="1"/>
      <c r="KYM85" s="1"/>
      <c r="KYN85" s="1"/>
      <c r="KYO85" s="1"/>
      <c r="KYP85" s="1"/>
      <c r="KYQ85" s="1"/>
      <c r="KYR85" s="1"/>
      <c r="KYS85" s="1"/>
      <c r="KYT85" s="1"/>
      <c r="KYU85" s="1"/>
      <c r="KYV85" s="1"/>
      <c r="KYW85" s="1"/>
      <c r="KYX85" s="1"/>
      <c r="KYY85" s="1"/>
      <c r="KYZ85" s="1"/>
      <c r="KZA85" s="1"/>
      <c r="KZB85" s="1"/>
      <c r="KZC85" s="1"/>
      <c r="KZD85" s="1"/>
      <c r="KZE85" s="1"/>
      <c r="KZF85" s="1"/>
      <c r="KZG85" s="1"/>
      <c r="KZH85" s="1"/>
      <c r="KZI85" s="1"/>
      <c r="KZJ85" s="1"/>
      <c r="KZK85" s="1"/>
      <c r="KZL85" s="1"/>
      <c r="KZM85" s="1"/>
      <c r="KZN85" s="1"/>
      <c r="KZO85" s="1"/>
      <c r="KZP85" s="1"/>
      <c r="KZQ85" s="1"/>
      <c r="KZR85" s="1"/>
      <c r="KZS85" s="1"/>
      <c r="KZT85" s="1"/>
      <c r="KZU85" s="1"/>
      <c r="KZV85" s="1"/>
      <c r="KZW85" s="1"/>
      <c r="KZX85" s="1"/>
      <c r="KZY85" s="1"/>
      <c r="KZZ85" s="1"/>
      <c r="LAA85" s="1"/>
      <c r="LAB85" s="1"/>
      <c r="LAC85" s="1"/>
      <c r="LAD85" s="1"/>
      <c r="LAE85" s="1"/>
      <c r="LAF85" s="1"/>
      <c r="LAG85" s="1"/>
      <c r="LAH85" s="1"/>
      <c r="LAI85" s="1"/>
      <c r="LAJ85" s="1"/>
      <c r="LAK85" s="1"/>
      <c r="LAL85" s="1"/>
      <c r="LAM85" s="1"/>
      <c r="LAN85" s="1"/>
      <c r="LAO85" s="1"/>
      <c r="LAP85" s="1"/>
      <c r="LAQ85" s="1"/>
      <c r="LAR85" s="1"/>
      <c r="LAS85" s="1"/>
      <c r="LAT85" s="1"/>
      <c r="LAU85" s="1"/>
      <c r="LAV85" s="1"/>
      <c r="LAW85" s="1"/>
      <c r="LAX85" s="1"/>
      <c r="LAY85" s="1"/>
      <c r="LAZ85" s="1"/>
      <c r="LBA85" s="1"/>
      <c r="LBB85" s="1"/>
      <c r="LBC85" s="1"/>
      <c r="LBD85" s="1"/>
      <c r="LBE85" s="1"/>
      <c r="LBF85" s="1"/>
      <c r="LBG85" s="1"/>
      <c r="LBH85" s="1"/>
      <c r="LBI85" s="1"/>
      <c r="LBJ85" s="1"/>
      <c r="LBK85" s="1"/>
      <c r="LBL85" s="1"/>
      <c r="LBM85" s="1"/>
      <c r="LBN85" s="1"/>
      <c r="LBO85" s="1"/>
      <c r="LBP85" s="1"/>
      <c r="LBQ85" s="1"/>
      <c r="LBR85" s="1"/>
      <c r="LBS85" s="1"/>
      <c r="LBT85" s="1"/>
      <c r="LBU85" s="1"/>
      <c r="LBV85" s="1"/>
      <c r="LBW85" s="1"/>
      <c r="LBX85" s="1"/>
      <c r="LBY85" s="1"/>
      <c r="LBZ85" s="1"/>
      <c r="LCA85" s="1"/>
      <c r="LCB85" s="1"/>
      <c r="LCC85" s="1"/>
      <c r="LCD85" s="1"/>
      <c r="LCE85" s="1"/>
      <c r="LCF85" s="1"/>
      <c r="LCG85" s="1"/>
      <c r="LCH85" s="1"/>
      <c r="LCI85" s="1"/>
      <c r="LCJ85" s="1"/>
      <c r="LCK85" s="1"/>
      <c r="LCL85" s="1"/>
      <c r="LCM85" s="1"/>
      <c r="LCN85" s="1"/>
      <c r="LCO85" s="1"/>
      <c r="LCP85" s="1"/>
      <c r="LCQ85" s="1"/>
      <c r="LCR85" s="1"/>
      <c r="LCS85" s="1"/>
      <c r="LCT85" s="1"/>
      <c r="LCU85" s="1"/>
      <c r="LCV85" s="1"/>
      <c r="LCW85" s="1"/>
      <c r="LCX85" s="1"/>
      <c r="LCY85" s="1"/>
      <c r="LCZ85" s="1"/>
      <c r="LDA85" s="1"/>
      <c r="LDB85" s="1"/>
      <c r="LDC85" s="1"/>
      <c r="LDD85" s="1"/>
      <c r="LDE85" s="1"/>
      <c r="LDF85" s="1"/>
      <c r="LDG85" s="1"/>
      <c r="LDH85" s="1"/>
      <c r="LDI85" s="1"/>
      <c r="LDJ85" s="1"/>
      <c r="LDK85" s="1"/>
      <c r="LDL85" s="1"/>
      <c r="LDM85" s="1"/>
      <c r="LDN85" s="1"/>
      <c r="LDO85" s="1"/>
      <c r="LDP85" s="1"/>
      <c r="LDQ85" s="1"/>
      <c r="LDR85" s="1"/>
      <c r="LDS85" s="1"/>
      <c r="LDT85" s="1"/>
      <c r="LDU85" s="1"/>
      <c r="LDV85" s="1"/>
      <c r="LDW85" s="1"/>
      <c r="LDX85" s="1"/>
      <c r="LDY85" s="1"/>
      <c r="LDZ85" s="1"/>
      <c r="LEA85" s="1"/>
      <c r="LEB85" s="1"/>
      <c r="LEC85" s="1"/>
      <c r="LED85" s="1"/>
      <c r="LEE85" s="1"/>
      <c r="LEF85" s="1"/>
      <c r="LEG85" s="1"/>
      <c r="LEH85" s="1"/>
      <c r="LEI85" s="1"/>
      <c r="LEJ85" s="1"/>
      <c r="LEK85" s="1"/>
      <c r="LEL85" s="1"/>
      <c r="LEM85" s="1"/>
      <c r="LEN85" s="1"/>
      <c r="LEO85" s="1"/>
      <c r="LEP85" s="1"/>
      <c r="LEQ85" s="1"/>
      <c r="LER85" s="1"/>
      <c r="LES85" s="1"/>
      <c r="LET85" s="1"/>
      <c r="LEU85" s="1"/>
      <c r="LEV85" s="1"/>
      <c r="LEW85" s="1"/>
      <c r="LEX85" s="1"/>
      <c r="LEY85" s="1"/>
      <c r="LEZ85" s="1"/>
      <c r="LFA85" s="1"/>
      <c r="LFB85" s="1"/>
      <c r="LFC85" s="1"/>
      <c r="LFD85" s="1"/>
      <c r="LFE85" s="1"/>
      <c r="LFF85" s="1"/>
      <c r="LFG85" s="1"/>
      <c r="LFH85" s="1"/>
      <c r="LFI85" s="1"/>
      <c r="LFJ85" s="1"/>
      <c r="LFK85" s="1"/>
      <c r="LFL85" s="1"/>
      <c r="LFM85" s="1"/>
      <c r="LFN85" s="1"/>
      <c r="LFO85" s="1"/>
      <c r="LFP85" s="1"/>
      <c r="LFQ85" s="1"/>
      <c r="LFR85" s="1"/>
      <c r="LFS85" s="1"/>
      <c r="LFT85" s="1"/>
      <c r="LFU85" s="1"/>
      <c r="LFV85" s="1"/>
      <c r="LFW85" s="1"/>
      <c r="LFX85" s="1"/>
      <c r="LFY85" s="1"/>
      <c r="LFZ85" s="1"/>
      <c r="LGA85" s="1"/>
      <c r="LGB85" s="1"/>
      <c r="LGC85" s="1"/>
      <c r="LGD85" s="1"/>
      <c r="LGE85" s="1"/>
      <c r="LGF85" s="1"/>
      <c r="LGG85" s="1"/>
      <c r="LGH85" s="1"/>
      <c r="LGI85" s="1"/>
      <c r="LGJ85" s="1"/>
      <c r="LGK85" s="1"/>
      <c r="LGL85" s="1"/>
      <c r="LGM85" s="1"/>
      <c r="LGN85" s="1"/>
      <c r="LGO85" s="1"/>
      <c r="LGP85" s="1"/>
      <c r="LGQ85" s="1"/>
      <c r="LGR85" s="1"/>
      <c r="LGS85" s="1"/>
      <c r="LGT85" s="1"/>
      <c r="LGU85" s="1"/>
      <c r="LGV85" s="1"/>
      <c r="LGW85" s="1"/>
      <c r="LGX85" s="1"/>
      <c r="LGY85" s="1"/>
      <c r="LGZ85" s="1"/>
      <c r="LHA85" s="1"/>
      <c r="LHB85" s="1"/>
      <c r="LHC85" s="1"/>
      <c r="LHD85" s="1"/>
      <c r="LHE85" s="1"/>
      <c r="LHF85" s="1"/>
      <c r="LHG85" s="1"/>
      <c r="LHH85" s="1"/>
      <c r="LHI85" s="1"/>
      <c r="LHJ85" s="1"/>
      <c r="LHK85" s="1"/>
      <c r="LHL85" s="1"/>
      <c r="LHM85" s="1"/>
      <c r="LHN85" s="1"/>
      <c r="LHO85" s="1"/>
      <c r="LHP85" s="1"/>
      <c r="LHQ85" s="1"/>
      <c r="LHR85" s="1"/>
      <c r="LHS85" s="1"/>
      <c r="LHT85" s="1"/>
      <c r="LHU85" s="1"/>
      <c r="LHV85" s="1"/>
      <c r="LHW85" s="1"/>
      <c r="LHX85" s="1"/>
      <c r="LHY85" s="1"/>
      <c r="LHZ85" s="1"/>
      <c r="LIA85" s="1"/>
      <c r="LIB85" s="1"/>
      <c r="LIC85" s="1"/>
      <c r="LID85" s="1"/>
      <c r="LIE85" s="1"/>
      <c r="LIF85" s="1"/>
      <c r="LIG85" s="1"/>
      <c r="LIH85" s="1"/>
      <c r="LII85" s="1"/>
      <c r="LIJ85" s="1"/>
      <c r="LIK85" s="1"/>
      <c r="LIL85" s="1"/>
      <c r="LIM85" s="1"/>
      <c r="LIN85" s="1"/>
      <c r="LIO85" s="1"/>
      <c r="LIP85" s="1"/>
      <c r="LIQ85" s="1"/>
      <c r="LIR85" s="1"/>
      <c r="LIS85" s="1"/>
      <c r="LIT85" s="1"/>
      <c r="LIU85" s="1"/>
      <c r="LIV85" s="1"/>
      <c r="LIW85" s="1"/>
      <c r="LIX85" s="1"/>
      <c r="LIY85" s="1"/>
      <c r="LIZ85" s="1"/>
      <c r="LJA85" s="1"/>
      <c r="LJB85" s="1"/>
      <c r="LJC85" s="1"/>
      <c r="LJD85" s="1"/>
      <c r="LJE85" s="1"/>
      <c r="LJF85" s="1"/>
      <c r="LJG85" s="1"/>
      <c r="LJH85" s="1"/>
      <c r="LJI85" s="1"/>
      <c r="LJJ85" s="1"/>
      <c r="LJK85" s="1"/>
      <c r="LJL85" s="1"/>
      <c r="LJM85" s="1"/>
      <c r="LJN85" s="1"/>
      <c r="LJO85" s="1"/>
      <c r="LJP85" s="1"/>
      <c r="LJQ85" s="1"/>
      <c r="LJR85" s="1"/>
      <c r="LJS85" s="1"/>
      <c r="LJT85" s="1"/>
      <c r="LJU85" s="1"/>
      <c r="LJV85" s="1"/>
      <c r="LJW85" s="1"/>
      <c r="LJX85" s="1"/>
      <c r="LJY85" s="1"/>
      <c r="LJZ85" s="1"/>
      <c r="LKA85" s="1"/>
      <c r="LKB85" s="1"/>
      <c r="LKC85" s="1"/>
      <c r="LKD85" s="1"/>
      <c r="LKE85" s="1"/>
      <c r="LKF85" s="1"/>
      <c r="LKG85" s="1"/>
      <c r="LKH85" s="1"/>
      <c r="LKI85" s="1"/>
      <c r="LKJ85" s="1"/>
      <c r="LKK85" s="1"/>
      <c r="LKL85" s="1"/>
      <c r="LKM85" s="1"/>
      <c r="LKN85" s="1"/>
      <c r="LKO85" s="1"/>
      <c r="LKP85" s="1"/>
      <c r="LKQ85" s="1"/>
      <c r="LKR85" s="1"/>
      <c r="LKS85" s="1"/>
      <c r="LKT85" s="1"/>
      <c r="LKU85" s="1"/>
      <c r="LKV85" s="1"/>
      <c r="LKW85" s="1"/>
      <c r="LKX85" s="1"/>
      <c r="LKY85" s="1"/>
      <c r="LKZ85" s="1"/>
      <c r="LLA85" s="1"/>
      <c r="LLB85" s="1"/>
      <c r="LLC85" s="1"/>
      <c r="LLD85" s="1"/>
      <c r="LLE85" s="1"/>
      <c r="LLF85" s="1"/>
      <c r="LLG85" s="1"/>
      <c r="LLH85" s="1"/>
      <c r="LLI85" s="1"/>
      <c r="LLJ85" s="1"/>
      <c r="LLK85" s="1"/>
      <c r="LLL85" s="1"/>
      <c r="LLM85" s="1"/>
      <c r="LLN85" s="1"/>
      <c r="LLO85" s="1"/>
      <c r="LLP85" s="1"/>
      <c r="LLQ85" s="1"/>
      <c r="LLR85" s="1"/>
      <c r="LLS85" s="1"/>
      <c r="LLT85" s="1"/>
      <c r="LLU85" s="1"/>
      <c r="LLV85" s="1"/>
      <c r="LLW85" s="1"/>
      <c r="LLX85" s="1"/>
      <c r="LLY85" s="1"/>
      <c r="LLZ85" s="1"/>
      <c r="LMA85" s="1"/>
      <c r="LMB85" s="1"/>
      <c r="LMC85" s="1"/>
      <c r="LMD85" s="1"/>
      <c r="LME85" s="1"/>
      <c r="LMF85" s="1"/>
      <c r="LMG85" s="1"/>
      <c r="LMH85" s="1"/>
      <c r="LMI85" s="1"/>
      <c r="LMJ85" s="1"/>
      <c r="LMK85" s="1"/>
      <c r="LML85" s="1"/>
      <c r="LMM85" s="1"/>
      <c r="LMN85" s="1"/>
      <c r="LMO85" s="1"/>
      <c r="LMP85" s="1"/>
      <c r="LMQ85" s="1"/>
      <c r="LMR85" s="1"/>
      <c r="LMS85" s="1"/>
      <c r="LMT85" s="1"/>
      <c r="LMU85" s="1"/>
      <c r="LMV85" s="1"/>
      <c r="LMW85" s="1"/>
      <c r="LMX85" s="1"/>
      <c r="LMY85" s="1"/>
      <c r="LMZ85" s="1"/>
      <c r="LNA85" s="1"/>
      <c r="LNB85" s="1"/>
      <c r="LNC85" s="1"/>
      <c r="LND85" s="1"/>
      <c r="LNE85" s="1"/>
      <c r="LNF85" s="1"/>
      <c r="LNG85" s="1"/>
      <c r="LNH85" s="1"/>
      <c r="LNI85" s="1"/>
      <c r="LNJ85" s="1"/>
      <c r="LNK85" s="1"/>
      <c r="LNL85" s="1"/>
      <c r="LNM85" s="1"/>
      <c r="LNN85" s="1"/>
      <c r="LNO85" s="1"/>
      <c r="LNP85" s="1"/>
      <c r="LNQ85" s="1"/>
      <c r="LNR85" s="1"/>
      <c r="LNS85" s="1"/>
      <c r="LNT85" s="1"/>
      <c r="LNU85" s="1"/>
      <c r="LNV85" s="1"/>
      <c r="LNW85" s="1"/>
      <c r="LNX85" s="1"/>
      <c r="LNY85" s="1"/>
      <c r="LNZ85" s="1"/>
      <c r="LOA85" s="1"/>
      <c r="LOB85" s="1"/>
      <c r="LOC85" s="1"/>
      <c r="LOD85" s="1"/>
      <c r="LOE85" s="1"/>
      <c r="LOF85" s="1"/>
      <c r="LOG85" s="1"/>
      <c r="LOH85" s="1"/>
      <c r="LOI85" s="1"/>
      <c r="LOJ85" s="1"/>
      <c r="LOK85" s="1"/>
      <c r="LOL85" s="1"/>
      <c r="LOM85" s="1"/>
      <c r="LON85" s="1"/>
      <c r="LOO85" s="1"/>
      <c r="LOP85" s="1"/>
      <c r="LOQ85" s="1"/>
      <c r="LOR85" s="1"/>
      <c r="LOS85" s="1"/>
      <c r="LOT85" s="1"/>
      <c r="LOU85" s="1"/>
      <c r="LOV85" s="1"/>
      <c r="LOW85" s="1"/>
      <c r="LOX85" s="1"/>
      <c r="LOY85" s="1"/>
      <c r="LOZ85" s="1"/>
      <c r="LPA85" s="1"/>
      <c r="LPB85" s="1"/>
      <c r="LPC85" s="1"/>
      <c r="LPD85" s="1"/>
      <c r="LPE85" s="1"/>
      <c r="LPF85" s="1"/>
      <c r="LPG85" s="1"/>
      <c r="LPH85" s="1"/>
      <c r="LPI85" s="1"/>
      <c r="LPJ85" s="1"/>
      <c r="LPK85" s="1"/>
      <c r="LPL85" s="1"/>
      <c r="LPM85" s="1"/>
      <c r="LPN85" s="1"/>
      <c r="LPO85" s="1"/>
      <c r="LPP85" s="1"/>
      <c r="LPQ85" s="1"/>
      <c r="LPR85" s="1"/>
      <c r="LPS85" s="1"/>
      <c r="LPT85" s="1"/>
      <c r="LPU85" s="1"/>
      <c r="LPV85" s="1"/>
      <c r="LPW85" s="1"/>
      <c r="LPX85" s="1"/>
      <c r="LPY85" s="1"/>
      <c r="LPZ85" s="1"/>
      <c r="LQA85" s="1"/>
      <c r="LQB85" s="1"/>
      <c r="LQC85" s="1"/>
      <c r="LQD85" s="1"/>
      <c r="LQE85" s="1"/>
      <c r="LQF85" s="1"/>
      <c r="LQG85" s="1"/>
      <c r="LQH85" s="1"/>
      <c r="LQI85" s="1"/>
      <c r="LQJ85" s="1"/>
      <c r="LQK85" s="1"/>
      <c r="LQL85" s="1"/>
      <c r="LQM85" s="1"/>
      <c r="LQN85" s="1"/>
      <c r="LQO85" s="1"/>
      <c r="LQP85" s="1"/>
      <c r="LQQ85" s="1"/>
      <c r="LQR85" s="1"/>
      <c r="LQS85" s="1"/>
      <c r="LQT85" s="1"/>
      <c r="LQU85" s="1"/>
      <c r="LQV85" s="1"/>
      <c r="LQW85" s="1"/>
      <c r="LQX85" s="1"/>
      <c r="LQY85" s="1"/>
      <c r="LQZ85" s="1"/>
      <c r="LRA85" s="1"/>
      <c r="LRB85" s="1"/>
      <c r="LRC85" s="1"/>
      <c r="LRD85" s="1"/>
      <c r="LRE85" s="1"/>
      <c r="LRF85" s="1"/>
      <c r="LRG85" s="1"/>
      <c r="LRH85" s="1"/>
      <c r="LRI85" s="1"/>
      <c r="LRJ85" s="1"/>
      <c r="LRK85" s="1"/>
      <c r="LRL85" s="1"/>
      <c r="LRM85" s="1"/>
      <c r="LRN85" s="1"/>
      <c r="LRO85" s="1"/>
      <c r="LRP85" s="1"/>
      <c r="LRQ85" s="1"/>
      <c r="LRR85" s="1"/>
      <c r="LRS85" s="1"/>
      <c r="LRT85" s="1"/>
      <c r="LRU85" s="1"/>
      <c r="LRV85" s="1"/>
      <c r="LRW85" s="1"/>
      <c r="LRX85" s="1"/>
      <c r="LRY85" s="1"/>
      <c r="LRZ85" s="1"/>
      <c r="LSA85" s="1"/>
      <c r="LSB85" s="1"/>
      <c r="LSC85" s="1"/>
      <c r="LSD85" s="1"/>
      <c r="LSE85" s="1"/>
      <c r="LSF85" s="1"/>
      <c r="LSG85" s="1"/>
      <c r="LSH85" s="1"/>
      <c r="LSI85" s="1"/>
      <c r="LSJ85" s="1"/>
      <c r="LSK85" s="1"/>
      <c r="LSL85" s="1"/>
      <c r="LSM85" s="1"/>
      <c r="LSN85" s="1"/>
      <c r="LSO85" s="1"/>
      <c r="LSP85" s="1"/>
      <c r="LSQ85" s="1"/>
      <c r="LSR85" s="1"/>
      <c r="LSS85" s="1"/>
      <c r="LST85" s="1"/>
      <c r="LSU85" s="1"/>
      <c r="LSV85" s="1"/>
      <c r="LSW85" s="1"/>
      <c r="LSX85" s="1"/>
      <c r="LSY85" s="1"/>
      <c r="LSZ85" s="1"/>
      <c r="LTA85" s="1"/>
      <c r="LTB85" s="1"/>
      <c r="LTC85" s="1"/>
      <c r="LTD85" s="1"/>
      <c r="LTE85" s="1"/>
      <c r="LTF85" s="1"/>
      <c r="LTG85" s="1"/>
      <c r="LTH85" s="1"/>
      <c r="LTI85" s="1"/>
      <c r="LTJ85" s="1"/>
      <c r="LTK85" s="1"/>
      <c r="LTL85" s="1"/>
      <c r="LTM85" s="1"/>
      <c r="LTN85" s="1"/>
      <c r="LTO85" s="1"/>
      <c r="LTP85" s="1"/>
      <c r="LTQ85" s="1"/>
      <c r="LTR85" s="1"/>
      <c r="LTS85" s="1"/>
      <c r="LTT85" s="1"/>
      <c r="LTU85" s="1"/>
      <c r="LTV85" s="1"/>
      <c r="LTW85" s="1"/>
      <c r="LTX85" s="1"/>
      <c r="LTY85" s="1"/>
      <c r="LTZ85" s="1"/>
      <c r="LUA85" s="1"/>
      <c r="LUB85" s="1"/>
      <c r="LUC85" s="1"/>
      <c r="LUD85" s="1"/>
      <c r="LUE85" s="1"/>
      <c r="LUF85" s="1"/>
      <c r="LUG85" s="1"/>
      <c r="LUH85" s="1"/>
      <c r="LUI85" s="1"/>
      <c r="LUJ85" s="1"/>
      <c r="LUK85" s="1"/>
      <c r="LUL85" s="1"/>
      <c r="LUM85" s="1"/>
      <c r="LUN85" s="1"/>
      <c r="LUO85" s="1"/>
      <c r="LUP85" s="1"/>
      <c r="LUQ85" s="1"/>
      <c r="LUR85" s="1"/>
      <c r="LUS85" s="1"/>
      <c r="LUT85" s="1"/>
      <c r="LUU85" s="1"/>
      <c r="LUV85" s="1"/>
      <c r="LUW85" s="1"/>
      <c r="LUX85" s="1"/>
      <c r="LUY85" s="1"/>
      <c r="LUZ85" s="1"/>
      <c r="LVA85" s="1"/>
      <c r="LVB85" s="1"/>
      <c r="LVC85" s="1"/>
      <c r="LVD85" s="1"/>
      <c r="LVE85" s="1"/>
      <c r="LVF85" s="1"/>
      <c r="LVG85" s="1"/>
      <c r="LVH85" s="1"/>
      <c r="LVI85" s="1"/>
      <c r="LVJ85" s="1"/>
      <c r="LVK85" s="1"/>
      <c r="LVL85" s="1"/>
      <c r="LVM85" s="1"/>
      <c r="LVN85" s="1"/>
      <c r="LVO85" s="1"/>
      <c r="LVP85" s="1"/>
      <c r="LVQ85" s="1"/>
      <c r="LVR85" s="1"/>
      <c r="LVS85" s="1"/>
      <c r="LVT85" s="1"/>
      <c r="LVU85" s="1"/>
      <c r="LVV85" s="1"/>
      <c r="LVW85" s="1"/>
      <c r="LVX85" s="1"/>
      <c r="LVY85" s="1"/>
      <c r="LVZ85" s="1"/>
      <c r="LWA85" s="1"/>
      <c r="LWB85" s="1"/>
      <c r="LWC85" s="1"/>
      <c r="LWD85" s="1"/>
      <c r="LWE85" s="1"/>
      <c r="LWF85" s="1"/>
      <c r="LWG85" s="1"/>
      <c r="LWH85" s="1"/>
      <c r="LWI85" s="1"/>
      <c r="LWJ85" s="1"/>
      <c r="LWK85" s="1"/>
      <c r="LWL85" s="1"/>
      <c r="LWM85" s="1"/>
      <c r="LWN85" s="1"/>
      <c r="LWO85" s="1"/>
      <c r="LWP85" s="1"/>
      <c r="LWQ85" s="1"/>
      <c r="LWR85" s="1"/>
      <c r="LWS85" s="1"/>
      <c r="LWT85" s="1"/>
      <c r="LWU85" s="1"/>
      <c r="LWV85" s="1"/>
      <c r="LWW85" s="1"/>
      <c r="LWX85" s="1"/>
      <c r="LWY85" s="1"/>
      <c r="LWZ85" s="1"/>
      <c r="LXA85" s="1"/>
      <c r="LXB85" s="1"/>
      <c r="LXC85" s="1"/>
      <c r="LXD85" s="1"/>
      <c r="LXE85" s="1"/>
      <c r="LXF85" s="1"/>
      <c r="LXG85" s="1"/>
      <c r="LXH85" s="1"/>
      <c r="LXI85" s="1"/>
      <c r="LXJ85" s="1"/>
      <c r="LXK85" s="1"/>
      <c r="LXL85" s="1"/>
      <c r="LXM85" s="1"/>
      <c r="LXN85" s="1"/>
      <c r="LXO85" s="1"/>
      <c r="LXP85" s="1"/>
      <c r="LXQ85" s="1"/>
      <c r="LXR85" s="1"/>
      <c r="LXS85" s="1"/>
      <c r="LXT85" s="1"/>
      <c r="LXU85" s="1"/>
      <c r="LXV85" s="1"/>
      <c r="LXW85" s="1"/>
      <c r="LXX85" s="1"/>
      <c r="LXY85" s="1"/>
      <c r="LXZ85" s="1"/>
      <c r="LYA85" s="1"/>
      <c r="LYB85" s="1"/>
      <c r="LYC85" s="1"/>
      <c r="LYD85" s="1"/>
      <c r="LYE85" s="1"/>
      <c r="LYF85" s="1"/>
      <c r="LYG85" s="1"/>
      <c r="LYH85" s="1"/>
      <c r="LYI85" s="1"/>
      <c r="LYJ85" s="1"/>
      <c r="LYK85" s="1"/>
      <c r="LYL85" s="1"/>
      <c r="LYM85" s="1"/>
      <c r="LYN85" s="1"/>
      <c r="LYO85" s="1"/>
      <c r="LYP85" s="1"/>
      <c r="LYQ85" s="1"/>
      <c r="LYR85" s="1"/>
      <c r="LYS85" s="1"/>
      <c r="LYT85" s="1"/>
      <c r="LYU85" s="1"/>
      <c r="LYV85" s="1"/>
      <c r="LYW85" s="1"/>
      <c r="LYX85" s="1"/>
      <c r="LYY85" s="1"/>
      <c r="LYZ85" s="1"/>
      <c r="LZA85" s="1"/>
      <c r="LZB85" s="1"/>
      <c r="LZC85" s="1"/>
      <c r="LZD85" s="1"/>
      <c r="LZE85" s="1"/>
      <c r="LZF85" s="1"/>
      <c r="LZG85" s="1"/>
      <c r="LZH85" s="1"/>
      <c r="LZI85" s="1"/>
      <c r="LZJ85" s="1"/>
      <c r="LZK85" s="1"/>
      <c r="LZL85" s="1"/>
      <c r="LZM85" s="1"/>
      <c r="LZN85" s="1"/>
      <c r="LZO85" s="1"/>
      <c r="LZP85" s="1"/>
      <c r="LZQ85" s="1"/>
      <c r="LZR85" s="1"/>
      <c r="LZS85" s="1"/>
      <c r="LZT85" s="1"/>
      <c r="LZU85" s="1"/>
      <c r="LZV85" s="1"/>
      <c r="LZW85" s="1"/>
      <c r="LZX85" s="1"/>
      <c r="LZY85" s="1"/>
      <c r="LZZ85" s="1"/>
      <c r="MAA85" s="1"/>
      <c r="MAB85" s="1"/>
      <c r="MAC85" s="1"/>
      <c r="MAD85" s="1"/>
      <c r="MAE85" s="1"/>
      <c r="MAF85" s="1"/>
      <c r="MAG85" s="1"/>
      <c r="MAH85" s="1"/>
      <c r="MAI85" s="1"/>
      <c r="MAJ85" s="1"/>
      <c r="MAK85" s="1"/>
      <c r="MAL85" s="1"/>
      <c r="MAM85" s="1"/>
      <c r="MAN85" s="1"/>
      <c r="MAO85" s="1"/>
      <c r="MAP85" s="1"/>
      <c r="MAQ85" s="1"/>
      <c r="MAR85" s="1"/>
      <c r="MAS85" s="1"/>
      <c r="MAT85" s="1"/>
      <c r="MAU85" s="1"/>
      <c r="MAV85" s="1"/>
      <c r="MAW85" s="1"/>
      <c r="MAX85" s="1"/>
      <c r="MAY85" s="1"/>
      <c r="MAZ85" s="1"/>
      <c r="MBA85" s="1"/>
      <c r="MBB85" s="1"/>
      <c r="MBC85" s="1"/>
      <c r="MBD85" s="1"/>
      <c r="MBE85" s="1"/>
      <c r="MBF85" s="1"/>
      <c r="MBG85" s="1"/>
      <c r="MBH85" s="1"/>
      <c r="MBI85" s="1"/>
      <c r="MBJ85" s="1"/>
      <c r="MBK85" s="1"/>
      <c r="MBL85" s="1"/>
      <c r="MBM85" s="1"/>
      <c r="MBN85" s="1"/>
      <c r="MBO85" s="1"/>
      <c r="MBP85" s="1"/>
      <c r="MBQ85" s="1"/>
      <c r="MBR85" s="1"/>
      <c r="MBS85" s="1"/>
      <c r="MBT85" s="1"/>
      <c r="MBU85" s="1"/>
      <c r="MBV85" s="1"/>
      <c r="MBW85" s="1"/>
      <c r="MBX85" s="1"/>
      <c r="MBY85" s="1"/>
      <c r="MBZ85" s="1"/>
      <c r="MCA85" s="1"/>
      <c r="MCB85" s="1"/>
      <c r="MCC85" s="1"/>
      <c r="MCD85" s="1"/>
      <c r="MCE85" s="1"/>
      <c r="MCF85" s="1"/>
      <c r="MCG85" s="1"/>
      <c r="MCH85" s="1"/>
      <c r="MCI85" s="1"/>
      <c r="MCJ85" s="1"/>
      <c r="MCK85" s="1"/>
      <c r="MCL85" s="1"/>
      <c r="MCM85" s="1"/>
      <c r="MCN85" s="1"/>
      <c r="MCO85" s="1"/>
      <c r="MCP85" s="1"/>
      <c r="MCQ85" s="1"/>
      <c r="MCR85" s="1"/>
      <c r="MCS85" s="1"/>
      <c r="MCT85" s="1"/>
      <c r="MCU85" s="1"/>
      <c r="MCV85" s="1"/>
      <c r="MCW85" s="1"/>
      <c r="MCX85" s="1"/>
      <c r="MCY85" s="1"/>
      <c r="MCZ85" s="1"/>
      <c r="MDA85" s="1"/>
      <c r="MDB85" s="1"/>
      <c r="MDC85" s="1"/>
      <c r="MDD85" s="1"/>
      <c r="MDE85" s="1"/>
      <c r="MDF85" s="1"/>
      <c r="MDG85" s="1"/>
      <c r="MDH85" s="1"/>
      <c r="MDI85" s="1"/>
      <c r="MDJ85" s="1"/>
      <c r="MDK85" s="1"/>
      <c r="MDL85" s="1"/>
      <c r="MDM85" s="1"/>
      <c r="MDN85" s="1"/>
      <c r="MDO85" s="1"/>
      <c r="MDP85" s="1"/>
      <c r="MDQ85" s="1"/>
      <c r="MDR85" s="1"/>
      <c r="MDS85" s="1"/>
      <c r="MDT85" s="1"/>
      <c r="MDU85" s="1"/>
      <c r="MDV85" s="1"/>
      <c r="MDW85" s="1"/>
      <c r="MDX85" s="1"/>
      <c r="MDY85" s="1"/>
      <c r="MDZ85" s="1"/>
      <c r="MEA85" s="1"/>
      <c r="MEB85" s="1"/>
      <c r="MEC85" s="1"/>
      <c r="MED85" s="1"/>
      <c r="MEE85" s="1"/>
      <c r="MEF85" s="1"/>
      <c r="MEG85" s="1"/>
      <c r="MEH85" s="1"/>
      <c r="MEI85" s="1"/>
      <c r="MEJ85" s="1"/>
      <c r="MEK85" s="1"/>
      <c r="MEL85" s="1"/>
      <c r="MEM85" s="1"/>
      <c r="MEN85" s="1"/>
      <c r="MEO85" s="1"/>
      <c r="MEP85" s="1"/>
      <c r="MEQ85" s="1"/>
      <c r="MER85" s="1"/>
      <c r="MES85" s="1"/>
      <c r="MET85" s="1"/>
      <c r="MEU85" s="1"/>
      <c r="MEV85" s="1"/>
      <c r="MEW85" s="1"/>
      <c r="MEX85" s="1"/>
      <c r="MEY85" s="1"/>
      <c r="MEZ85" s="1"/>
      <c r="MFA85" s="1"/>
      <c r="MFB85" s="1"/>
      <c r="MFC85" s="1"/>
      <c r="MFD85" s="1"/>
      <c r="MFE85" s="1"/>
      <c r="MFF85" s="1"/>
      <c r="MFG85" s="1"/>
      <c r="MFH85" s="1"/>
      <c r="MFI85" s="1"/>
      <c r="MFJ85" s="1"/>
      <c r="MFK85" s="1"/>
      <c r="MFL85" s="1"/>
      <c r="MFM85" s="1"/>
      <c r="MFN85" s="1"/>
      <c r="MFO85" s="1"/>
      <c r="MFP85" s="1"/>
      <c r="MFQ85" s="1"/>
      <c r="MFR85" s="1"/>
      <c r="MFS85" s="1"/>
      <c r="MFT85" s="1"/>
      <c r="MFU85" s="1"/>
      <c r="MFV85" s="1"/>
      <c r="MFW85" s="1"/>
      <c r="MFX85" s="1"/>
      <c r="MFY85" s="1"/>
      <c r="MFZ85" s="1"/>
      <c r="MGA85" s="1"/>
      <c r="MGB85" s="1"/>
      <c r="MGC85" s="1"/>
      <c r="MGD85" s="1"/>
      <c r="MGE85" s="1"/>
      <c r="MGF85" s="1"/>
      <c r="MGG85" s="1"/>
      <c r="MGH85" s="1"/>
      <c r="MGI85" s="1"/>
      <c r="MGJ85" s="1"/>
      <c r="MGK85" s="1"/>
      <c r="MGL85" s="1"/>
      <c r="MGM85" s="1"/>
      <c r="MGN85" s="1"/>
      <c r="MGO85" s="1"/>
      <c r="MGP85" s="1"/>
      <c r="MGQ85" s="1"/>
      <c r="MGR85" s="1"/>
      <c r="MGS85" s="1"/>
      <c r="MGT85" s="1"/>
      <c r="MGU85" s="1"/>
      <c r="MGV85" s="1"/>
      <c r="MGW85" s="1"/>
      <c r="MGX85" s="1"/>
      <c r="MGY85" s="1"/>
      <c r="MGZ85" s="1"/>
      <c r="MHA85" s="1"/>
      <c r="MHB85" s="1"/>
      <c r="MHC85" s="1"/>
      <c r="MHD85" s="1"/>
      <c r="MHE85" s="1"/>
      <c r="MHF85" s="1"/>
      <c r="MHG85" s="1"/>
      <c r="MHH85" s="1"/>
      <c r="MHI85" s="1"/>
      <c r="MHJ85" s="1"/>
      <c r="MHK85" s="1"/>
      <c r="MHL85" s="1"/>
      <c r="MHM85" s="1"/>
      <c r="MHN85" s="1"/>
      <c r="MHO85" s="1"/>
      <c r="MHP85" s="1"/>
      <c r="MHQ85" s="1"/>
      <c r="MHR85" s="1"/>
      <c r="MHS85" s="1"/>
      <c r="MHT85" s="1"/>
      <c r="MHU85" s="1"/>
      <c r="MHV85" s="1"/>
      <c r="MHW85" s="1"/>
      <c r="MHX85" s="1"/>
      <c r="MHY85" s="1"/>
      <c r="MHZ85" s="1"/>
      <c r="MIA85" s="1"/>
      <c r="MIB85" s="1"/>
      <c r="MIC85" s="1"/>
      <c r="MID85" s="1"/>
      <c r="MIE85" s="1"/>
      <c r="MIF85" s="1"/>
      <c r="MIG85" s="1"/>
      <c r="MIH85" s="1"/>
      <c r="MII85" s="1"/>
      <c r="MIJ85" s="1"/>
      <c r="MIK85" s="1"/>
      <c r="MIL85" s="1"/>
      <c r="MIM85" s="1"/>
      <c r="MIN85" s="1"/>
      <c r="MIO85" s="1"/>
      <c r="MIP85" s="1"/>
      <c r="MIQ85" s="1"/>
      <c r="MIR85" s="1"/>
      <c r="MIS85" s="1"/>
      <c r="MIT85" s="1"/>
      <c r="MIU85" s="1"/>
      <c r="MIV85" s="1"/>
      <c r="MIW85" s="1"/>
      <c r="MIX85" s="1"/>
      <c r="MIY85" s="1"/>
      <c r="MIZ85" s="1"/>
      <c r="MJA85" s="1"/>
      <c r="MJB85" s="1"/>
      <c r="MJC85" s="1"/>
      <c r="MJD85" s="1"/>
      <c r="MJE85" s="1"/>
      <c r="MJF85" s="1"/>
      <c r="MJG85" s="1"/>
      <c r="MJH85" s="1"/>
      <c r="MJI85" s="1"/>
      <c r="MJJ85" s="1"/>
      <c r="MJK85" s="1"/>
      <c r="MJL85" s="1"/>
      <c r="MJM85" s="1"/>
      <c r="MJN85" s="1"/>
      <c r="MJO85" s="1"/>
      <c r="MJP85" s="1"/>
      <c r="MJQ85" s="1"/>
      <c r="MJR85" s="1"/>
      <c r="MJS85" s="1"/>
      <c r="MJT85" s="1"/>
      <c r="MJU85" s="1"/>
      <c r="MJV85" s="1"/>
      <c r="MJW85" s="1"/>
      <c r="MJX85" s="1"/>
      <c r="MJY85" s="1"/>
      <c r="MJZ85" s="1"/>
      <c r="MKA85" s="1"/>
      <c r="MKB85" s="1"/>
      <c r="MKC85" s="1"/>
      <c r="MKD85" s="1"/>
      <c r="MKE85" s="1"/>
      <c r="MKF85" s="1"/>
      <c r="MKG85" s="1"/>
      <c r="MKH85" s="1"/>
      <c r="MKI85" s="1"/>
      <c r="MKJ85" s="1"/>
      <c r="MKK85" s="1"/>
      <c r="MKL85" s="1"/>
      <c r="MKM85" s="1"/>
      <c r="MKN85" s="1"/>
      <c r="MKO85" s="1"/>
      <c r="MKP85" s="1"/>
      <c r="MKQ85" s="1"/>
      <c r="MKR85" s="1"/>
      <c r="MKS85" s="1"/>
      <c r="MKT85" s="1"/>
      <c r="MKU85" s="1"/>
      <c r="MKV85" s="1"/>
      <c r="MKW85" s="1"/>
      <c r="MKX85" s="1"/>
      <c r="MKY85" s="1"/>
      <c r="MKZ85" s="1"/>
      <c r="MLA85" s="1"/>
      <c r="MLB85" s="1"/>
      <c r="MLC85" s="1"/>
      <c r="MLD85" s="1"/>
      <c r="MLE85" s="1"/>
      <c r="MLF85" s="1"/>
      <c r="MLG85" s="1"/>
      <c r="MLH85" s="1"/>
      <c r="MLI85" s="1"/>
      <c r="MLJ85" s="1"/>
      <c r="MLK85" s="1"/>
      <c r="MLL85" s="1"/>
      <c r="MLM85" s="1"/>
      <c r="MLN85" s="1"/>
      <c r="MLO85" s="1"/>
      <c r="MLP85" s="1"/>
      <c r="MLQ85" s="1"/>
      <c r="MLR85" s="1"/>
      <c r="MLS85" s="1"/>
      <c r="MLT85" s="1"/>
      <c r="MLU85" s="1"/>
      <c r="MLV85" s="1"/>
      <c r="MLW85" s="1"/>
      <c r="MLX85" s="1"/>
      <c r="MLY85" s="1"/>
      <c r="MLZ85" s="1"/>
      <c r="MMA85" s="1"/>
      <c r="MMB85" s="1"/>
      <c r="MMC85" s="1"/>
      <c r="MMD85" s="1"/>
      <c r="MME85" s="1"/>
      <c r="MMF85" s="1"/>
      <c r="MMG85" s="1"/>
      <c r="MMH85" s="1"/>
      <c r="MMI85" s="1"/>
      <c r="MMJ85" s="1"/>
      <c r="MMK85" s="1"/>
      <c r="MML85" s="1"/>
      <c r="MMM85" s="1"/>
      <c r="MMN85" s="1"/>
      <c r="MMO85" s="1"/>
      <c r="MMP85" s="1"/>
      <c r="MMQ85" s="1"/>
      <c r="MMR85" s="1"/>
      <c r="MMS85" s="1"/>
      <c r="MMT85" s="1"/>
      <c r="MMU85" s="1"/>
      <c r="MMV85" s="1"/>
      <c r="MMW85" s="1"/>
      <c r="MMX85" s="1"/>
      <c r="MMY85" s="1"/>
      <c r="MMZ85" s="1"/>
      <c r="MNA85" s="1"/>
      <c r="MNB85" s="1"/>
      <c r="MNC85" s="1"/>
      <c r="MND85" s="1"/>
      <c r="MNE85" s="1"/>
      <c r="MNF85" s="1"/>
      <c r="MNG85" s="1"/>
      <c r="MNH85" s="1"/>
      <c r="MNI85" s="1"/>
      <c r="MNJ85" s="1"/>
      <c r="MNK85" s="1"/>
      <c r="MNL85" s="1"/>
      <c r="MNM85" s="1"/>
      <c r="MNN85" s="1"/>
      <c r="MNO85" s="1"/>
      <c r="MNP85" s="1"/>
      <c r="MNQ85" s="1"/>
      <c r="MNR85" s="1"/>
      <c r="MNS85" s="1"/>
      <c r="MNT85" s="1"/>
      <c r="MNU85" s="1"/>
      <c r="MNV85" s="1"/>
      <c r="MNW85" s="1"/>
      <c r="MNX85" s="1"/>
      <c r="MNY85" s="1"/>
      <c r="MNZ85" s="1"/>
      <c r="MOA85" s="1"/>
      <c r="MOB85" s="1"/>
      <c r="MOC85" s="1"/>
      <c r="MOD85" s="1"/>
      <c r="MOE85" s="1"/>
      <c r="MOF85" s="1"/>
      <c r="MOG85" s="1"/>
      <c r="MOH85" s="1"/>
      <c r="MOI85" s="1"/>
      <c r="MOJ85" s="1"/>
      <c r="MOK85" s="1"/>
      <c r="MOL85" s="1"/>
      <c r="MOM85" s="1"/>
      <c r="MON85" s="1"/>
      <c r="MOO85" s="1"/>
      <c r="MOP85" s="1"/>
      <c r="MOQ85" s="1"/>
      <c r="MOR85" s="1"/>
      <c r="MOS85" s="1"/>
      <c r="MOT85" s="1"/>
      <c r="MOU85" s="1"/>
      <c r="MOV85" s="1"/>
      <c r="MOW85" s="1"/>
      <c r="MOX85" s="1"/>
      <c r="MOY85" s="1"/>
      <c r="MOZ85" s="1"/>
      <c r="MPA85" s="1"/>
      <c r="MPB85" s="1"/>
      <c r="MPC85" s="1"/>
      <c r="MPD85" s="1"/>
      <c r="MPE85" s="1"/>
      <c r="MPF85" s="1"/>
      <c r="MPG85" s="1"/>
      <c r="MPH85" s="1"/>
      <c r="MPI85" s="1"/>
      <c r="MPJ85" s="1"/>
      <c r="MPK85" s="1"/>
      <c r="MPL85" s="1"/>
      <c r="MPM85" s="1"/>
      <c r="MPN85" s="1"/>
      <c r="MPO85" s="1"/>
      <c r="MPP85" s="1"/>
      <c r="MPQ85" s="1"/>
      <c r="MPR85" s="1"/>
      <c r="MPS85" s="1"/>
      <c r="MPT85" s="1"/>
      <c r="MPU85" s="1"/>
      <c r="MPV85" s="1"/>
      <c r="MPW85" s="1"/>
      <c r="MPX85" s="1"/>
      <c r="MPY85" s="1"/>
      <c r="MPZ85" s="1"/>
      <c r="MQA85" s="1"/>
      <c r="MQB85" s="1"/>
      <c r="MQC85" s="1"/>
      <c r="MQD85" s="1"/>
      <c r="MQE85" s="1"/>
      <c r="MQF85" s="1"/>
      <c r="MQG85" s="1"/>
      <c r="MQH85" s="1"/>
      <c r="MQI85" s="1"/>
      <c r="MQJ85" s="1"/>
      <c r="MQK85" s="1"/>
      <c r="MQL85" s="1"/>
      <c r="MQM85" s="1"/>
      <c r="MQN85" s="1"/>
      <c r="MQO85" s="1"/>
      <c r="MQP85" s="1"/>
      <c r="MQQ85" s="1"/>
      <c r="MQR85" s="1"/>
      <c r="MQS85" s="1"/>
      <c r="MQT85" s="1"/>
      <c r="MQU85" s="1"/>
      <c r="MQV85" s="1"/>
      <c r="MQW85" s="1"/>
      <c r="MQX85" s="1"/>
      <c r="MQY85" s="1"/>
      <c r="MQZ85" s="1"/>
      <c r="MRA85" s="1"/>
      <c r="MRB85" s="1"/>
      <c r="MRC85" s="1"/>
      <c r="MRD85" s="1"/>
      <c r="MRE85" s="1"/>
      <c r="MRF85" s="1"/>
      <c r="MRG85" s="1"/>
      <c r="MRH85" s="1"/>
      <c r="MRI85" s="1"/>
      <c r="MRJ85" s="1"/>
      <c r="MRK85" s="1"/>
      <c r="MRL85" s="1"/>
      <c r="MRM85" s="1"/>
      <c r="MRN85" s="1"/>
      <c r="MRO85" s="1"/>
      <c r="MRP85" s="1"/>
      <c r="MRQ85" s="1"/>
      <c r="MRR85" s="1"/>
      <c r="MRS85" s="1"/>
      <c r="MRT85" s="1"/>
      <c r="MRU85" s="1"/>
      <c r="MRV85" s="1"/>
      <c r="MRW85" s="1"/>
      <c r="MRX85" s="1"/>
      <c r="MRY85" s="1"/>
      <c r="MRZ85" s="1"/>
      <c r="MSA85" s="1"/>
      <c r="MSB85" s="1"/>
      <c r="MSC85" s="1"/>
      <c r="MSD85" s="1"/>
      <c r="MSE85" s="1"/>
      <c r="MSF85" s="1"/>
      <c r="MSG85" s="1"/>
      <c r="MSH85" s="1"/>
      <c r="MSI85" s="1"/>
      <c r="MSJ85" s="1"/>
      <c r="MSK85" s="1"/>
      <c r="MSL85" s="1"/>
      <c r="MSM85" s="1"/>
      <c r="MSN85" s="1"/>
      <c r="MSO85" s="1"/>
      <c r="MSP85" s="1"/>
      <c r="MSQ85" s="1"/>
      <c r="MSR85" s="1"/>
      <c r="MSS85" s="1"/>
      <c r="MST85" s="1"/>
      <c r="MSU85" s="1"/>
      <c r="MSV85" s="1"/>
      <c r="MSW85" s="1"/>
      <c r="MSX85" s="1"/>
      <c r="MSY85" s="1"/>
      <c r="MSZ85" s="1"/>
      <c r="MTA85" s="1"/>
      <c r="MTB85" s="1"/>
      <c r="MTC85" s="1"/>
      <c r="MTD85" s="1"/>
      <c r="MTE85" s="1"/>
      <c r="MTF85" s="1"/>
      <c r="MTG85" s="1"/>
      <c r="MTH85" s="1"/>
      <c r="MTI85" s="1"/>
      <c r="MTJ85" s="1"/>
      <c r="MTK85" s="1"/>
      <c r="MTL85" s="1"/>
      <c r="MTM85" s="1"/>
      <c r="MTN85" s="1"/>
      <c r="MTO85" s="1"/>
      <c r="MTP85" s="1"/>
      <c r="MTQ85" s="1"/>
      <c r="MTR85" s="1"/>
      <c r="MTS85" s="1"/>
      <c r="MTT85" s="1"/>
      <c r="MTU85" s="1"/>
      <c r="MTV85" s="1"/>
      <c r="MTW85" s="1"/>
      <c r="MTX85" s="1"/>
      <c r="MTY85" s="1"/>
      <c r="MTZ85" s="1"/>
      <c r="MUA85" s="1"/>
      <c r="MUB85" s="1"/>
      <c r="MUC85" s="1"/>
      <c r="MUD85" s="1"/>
      <c r="MUE85" s="1"/>
      <c r="MUF85" s="1"/>
      <c r="MUG85" s="1"/>
      <c r="MUH85" s="1"/>
      <c r="MUI85" s="1"/>
      <c r="MUJ85" s="1"/>
      <c r="MUK85" s="1"/>
      <c r="MUL85" s="1"/>
      <c r="MUM85" s="1"/>
      <c r="MUN85" s="1"/>
      <c r="MUO85" s="1"/>
      <c r="MUP85" s="1"/>
      <c r="MUQ85" s="1"/>
      <c r="MUR85" s="1"/>
      <c r="MUS85" s="1"/>
      <c r="MUT85" s="1"/>
      <c r="MUU85" s="1"/>
      <c r="MUV85" s="1"/>
      <c r="MUW85" s="1"/>
      <c r="MUX85" s="1"/>
      <c r="MUY85" s="1"/>
      <c r="MUZ85" s="1"/>
      <c r="MVA85" s="1"/>
      <c r="MVB85" s="1"/>
      <c r="MVC85" s="1"/>
      <c r="MVD85" s="1"/>
      <c r="MVE85" s="1"/>
      <c r="MVF85" s="1"/>
      <c r="MVG85" s="1"/>
      <c r="MVH85" s="1"/>
      <c r="MVI85" s="1"/>
      <c r="MVJ85" s="1"/>
      <c r="MVK85" s="1"/>
      <c r="MVL85" s="1"/>
      <c r="MVM85" s="1"/>
      <c r="MVN85" s="1"/>
      <c r="MVO85" s="1"/>
      <c r="MVP85" s="1"/>
      <c r="MVQ85" s="1"/>
      <c r="MVR85" s="1"/>
      <c r="MVS85" s="1"/>
      <c r="MVT85" s="1"/>
      <c r="MVU85" s="1"/>
      <c r="MVV85" s="1"/>
      <c r="MVW85" s="1"/>
      <c r="MVX85" s="1"/>
      <c r="MVY85" s="1"/>
      <c r="MVZ85" s="1"/>
      <c r="MWA85" s="1"/>
      <c r="MWB85" s="1"/>
      <c r="MWC85" s="1"/>
      <c r="MWD85" s="1"/>
      <c r="MWE85" s="1"/>
      <c r="MWF85" s="1"/>
      <c r="MWG85" s="1"/>
      <c r="MWH85" s="1"/>
      <c r="MWI85" s="1"/>
      <c r="MWJ85" s="1"/>
      <c r="MWK85" s="1"/>
      <c r="MWL85" s="1"/>
      <c r="MWM85" s="1"/>
      <c r="MWN85" s="1"/>
      <c r="MWO85" s="1"/>
      <c r="MWP85" s="1"/>
      <c r="MWQ85" s="1"/>
      <c r="MWR85" s="1"/>
      <c r="MWS85" s="1"/>
      <c r="MWT85" s="1"/>
      <c r="MWU85" s="1"/>
      <c r="MWV85" s="1"/>
      <c r="MWW85" s="1"/>
      <c r="MWX85" s="1"/>
      <c r="MWY85" s="1"/>
      <c r="MWZ85" s="1"/>
      <c r="MXA85" s="1"/>
      <c r="MXB85" s="1"/>
      <c r="MXC85" s="1"/>
      <c r="MXD85" s="1"/>
      <c r="MXE85" s="1"/>
      <c r="MXF85" s="1"/>
      <c r="MXG85" s="1"/>
      <c r="MXH85" s="1"/>
      <c r="MXI85" s="1"/>
      <c r="MXJ85" s="1"/>
      <c r="MXK85" s="1"/>
      <c r="MXL85" s="1"/>
      <c r="MXM85" s="1"/>
      <c r="MXN85" s="1"/>
      <c r="MXO85" s="1"/>
      <c r="MXP85" s="1"/>
      <c r="MXQ85" s="1"/>
      <c r="MXR85" s="1"/>
      <c r="MXS85" s="1"/>
      <c r="MXT85" s="1"/>
      <c r="MXU85" s="1"/>
      <c r="MXV85" s="1"/>
      <c r="MXW85" s="1"/>
      <c r="MXX85" s="1"/>
      <c r="MXY85" s="1"/>
      <c r="MXZ85" s="1"/>
      <c r="MYA85" s="1"/>
      <c r="MYB85" s="1"/>
      <c r="MYC85" s="1"/>
      <c r="MYD85" s="1"/>
      <c r="MYE85" s="1"/>
      <c r="MYF85" s="1"/>
      <c r="MYG85" s="1"/>
      <c r="MYH85" s="1"/>
      <c r="MYI85" s="1"/>
      <c r="MYJ85" s="1"/>
      <c r="MYK85" s="1"/>
      <c r="MYL85" s="1"/>
      <c r="MYM85" s="1"/>
      <c r="MYN85" s="1"/>
      <c r="MYO85" s="1"/>
      <c r="MYP85" s="1"/>
      <c r="MYQ85" s="1"/>
      <c r="MYR85" s="1"/>
      <c r="MYS85" s="1"/>
      <c r="MYT85" s="1"/>
      <c r="MYU85" s="1"/>
      <c r="MYV85" s="1"/>
      <c r="MYW85" s="1"/>
      <c r="MYX85" s="1"/>
      <c r="MYY85" s="1"/>
      <c r="MYZ85" s="1"/>
      <c r="MZA85" s="1"/>
      <c r="MZB85" s="1"/>
      <c r="MZC85" s="1"/>
      <c r="MZD85" s="1"/>
      <c r="MZE85" s="1"/>
      <c r="MZF85" s="1"/>
      <c r="MZG85" s="1"/>
      <c r="MZH85" s="1"/>
      <c r="MZI85" s="1"/>
      <c r="MZJ85" s="1"/>
      <c r="MZK85" s="1"/>
      <c r="MZL85" s="1"/>
      <c r="MZM85" s="1"/>
      <c r="MZN85" s="1"/>
      <c r="MZO85" s="1"/>
      <c r="MZP85" s="1"/>
      <c r="MZQ85" s="1"/>
      <c r="MZR85" s="1"/>
      <c r="MZS85" s="1"/>
      <c r="MZT85" s="1"/>
      <c r="MZU85" s="1"/>
      <c r="MZV85" s="1"/>
      <c r="MZW85" s="1"/>
      <c r="MZX85" s="1"/>
      <c r="MZY85" s="1"/>
      <c r="MZZ85" s="1"/>
      <c r="NAA85" s="1"/>
      <c r="NAB85" s="1"/>
      <c r="NAC85" s="1"/>
      <c r="NAD85" s="1"/>
      <c r="NAE85" s="1"/>
      <c r="NAF85" s="1"/>
      <c r="NAG85" s="1"/>
      <c r="NAH85" s="1"/>
      <c r="NAI85" s="1"/>
      <c r="NAJ85" s="1"/>
      <c r="NAK85" s="1"/>
      <c r="NAL85" s="1"/>
      <c r="NAM85" s="1"/>
      <c r="NAN85" s="1"/>
      <c r="NAO85" s="1"/>
      <c r="NAP85" s="1"/>
      <c r="NAQ85" s="1"/>
      <c r="NAR85" s="1"/>
      <c r="NAS85" s="1"/>
      <c r="NAT85" s="1"/>
      <c r="NAU85" s="1"/>
      <c r="NAV85" s="1"/>
      <c r="NAW85" s="1"/>
      <c r="NAX85" s="1"/>
      <c r="NAY85" s="1"/>
      <c r="NAZ85" s="1"/>
      <c r="NBA85" s="1"/>
      <c r="NBB85" s="1"/>
      <c r="NBC85" s="1"/>
      <c r="NBD85" s="1"/>
      <c r="NBE85" s="1"/>
      <c r="NBF85" s="1"/>
      <c r="NBG85" s="1"/>
      <c r="NBH85" s="1"/>
      <c r="NBI85" s="1"/>
      <c r="NBJ85" s="1"/>
      <c r="NBK85" s="1"/>
      <c r="NBL85" s="1"/>
      <c r="NBM85" s="1"/>
      <c r="NBN85" s="1"/>
      <c r="NBO85" s="1"/>
      <c r="NBP85" s="1"/>
      <c r="NBQ85" s="1"/>
      <c r="NBR85" s="1"/>
      <c r="NBS85" s="1"/>
      <c r="NBT85" s="1"/>
      <c r="NBU85" s="1"/>
      <c r="NBV85" s="1"/>
      <c r="NBW85" s="1"/>
      <c r="NBX85" s="1"/>
      <c r="NBY85" s="1"/>
      <c r="NBZ85" s="1"/>
      <c r="NCA85" s="1"/>
      <c r="NCB85" s="1"/>
      <c r="NCC85" s="1"/>
      <c r="NCD85" s="1"/>
      <c r="NCE85" s="1"/>
      <c r="NCF85" s="1"/>
      <c r="NCG85" s="1"/>
      <c r="NCH85" s="1"/>
      <c r="NCI85" s="1"/>
      <c r="NCJ85" s="1"/>
      <c r="NCK85" s="1"/>
      <c r="NCL85" s="1"/>
      <c r="NCM85" s="1"/>
      <c r="NCN85" s="1"/>
      <c r="NCO85" s="1"/>
      <c r="NCP85" s="1"/>
      <c r="NCQ85" s="1"/>
      <c r="NCR85" s="1"/>
      <c r="NCS85" s="1"/>
      <c r="NCT85" s="1"/>
      <c r="NCU85" s="1"/>
      <c r="NCV85" s="1"/>
      <c r="NCW85" s="1"/>
      <c r="NCX85" s="1"/>
      <c r="NCY85" s="1"/>
      <c r="NCZ85" s="1"/>
      <c r="NDA85" s="1"/>
      <c r="NDB85" s="1"/>
      <c r="NDC85" s="1"/>
      <c r="NDD85" s="1"/>
      <c r="NDE85" s="1"/>
      <c r="NDF85" s="1"/>
      <c r="NDG85" s="1"/>
      <c r="NDH85" s="1"/>
      <c r="NDI85" s="1"/>
      <c r="NDJ85" s="1"/>
      <c r="NDK85" s="1"/>
      <c r="NDL85" s="1"/>
      <c r="NDM85" s="1"/>
      <c r="NDN85" s="1"/>
      <c r="NDO85" s="1"/>
      <c r="NDP85" s="1"/>
      <c r="NDQ85" s="1"/>
      <c r="NDR85" s="1"/>
      <c r="NDS85" s="1"/>
      <c r="NDT85" s="1"/>
      <c r="NDU85" s="1"/>
      <c r="NDV85" s="1"/>
      <c r="NDW85" s="1"/>
      <c r="NDX85" s="1"/>
      <c r="NDY85" s="1"/>
      <c r="NDZ85" s="1"/>
      <c r="NEA85" s="1"/>
      <c r="NEB85" s="1"/>
      <c r="NEC85" s="1"/>
      <c r="NED85" s="1"/>
      <c r="NEE85" s="1"/>
      <c r="NEF85" s="1"/>
      <c r="NEG85" s="1"/>
      <c r="NEH85" s="1"/>
      <c r="NEI85" s="1"/>
      <c r="NEJ85" s="1"/>
      <c r="NEK85" s="1"/>
      <c r="NEL85" s="1"/>
      <c r="NEM85" s="1"/>
      <c r="NEN85" s="1"/>
      <c r="NEO85" s="1"/>
      <c r="NEP85" s="1"/>
      <c r="NEQ85" s="1"/>
      <c r="NER85" s="1"/>
      <c r="NES85" s="1"/>
      <c r="NET85" s="1"/>
      <c r="NEU85" s="1"/>
      <c r="NEV85" s="1"/>
      <c r="NEW85" s="1"/>
      <c r="NEX85" s="1"/>
      <c r="NEY85" s="1"/>
      <c r="NEZ85" s="1"/>
      <c r="NFA85" s="1"/>
      <c r="NFB85" s="1"/>
      <c r="NFC85" s="1"/>
      <c r="NFD85" s="1"/>
      <c r="NFE85" s="1"/>
      <c r="NFF85" s="1"/>
      <c r="NFG85" s="1"/>
      <c r="NFH85" s="1"/>
      <c r="NFI85" s="1"/>
      <c r="NFJ85" s="1"/>
      <c r="NFK85" s="1"/>
      <c r="NFL85" s="1"/>
      <c r="NFM85" s="1"/>
      <c r="NFN85" s="1"/>
      <c r="NFO85" s="1"/>
      <c r="NFP85" s="1"/>
      <c r="NFQ85" s="1"/>
      <c r="NFR85" s="1"/>
      <c r="NFS85" s="1"/>
      <c r="NFT85" s="1"/>
      <c r="NFU85" s="1"/>
      <c r="NFV85" s="1"/>
      <c r="NFW85" s="1"/>
      <c r="NFX85" s="1"/>
      <c r="NFY85" s="1"/>
      <c r="NFZ85" s="1"/>
      <c r="NGA85" s="1"/>
      <c r="NGB85" s="1"/>
      <c r="NGC85" s="1"/>
      <c r="NGD85" s="1"/>
      <c r="NGE85" s="1"/>
      <c r="NGF85" s="1"/>
      <c r="NGG85" s="1"/>
      <c r="NGH85" s="1"/>
      <c r="NGI85" s="1"/>
      <c r="NGJ85" s="1"/>
      <c r="NGK85" s="1"/>
      <c r="NGL85" s="1"/>
      <c r="NGM85" s="1"/>
      <c r="NGN85" s="1"/>
      <c r="NGO85" s="1"/>
      <c r="NGP85" s="1"/>
      <c r="NGQ85" s="1"/>
      <c r="NGR85" s="1"/>
      <c r="NGS85" s="1"/>
      <c r="NGT85" s="1"/>
      <c r="NGU85" s="1"/>
      <c r="NGV85" s="1"/>
      <c r="NGW85" s="1"/>
      <c r="NGX85" s="1"/>
      <c r="NGY85" s="1"/>
      <c r="NGZ85" s="1"/>
      <c r="NHA85" s="1"/>
      <c r="NHB85" s="1"/>
      <c r="NHC85" s="1"/>
      <c r="NHD85" s="1"/>
      <c r="NHE85" s="1"/>
      <c r="NHF85" s="1"/>
      <c r="NHG85" s="1"/>
      <c r="NHH85" s="1"/>
      <c r="NHI85" s="1"/>
      <c r="NHJ85" s="1"/>
      <c r="NHK85" s="1"/>
      <c r="NHL85" s="1"/>
      <c r="NHM85" s="1"/>
      <c r="NHN85" s="1"/>
      <c r="NHO85" s="1"/>
      <c r="NHP85" s="1"/>
      <c r="NHQ85" s="1"/>
      <c r="NHR85" s="1"/>
      <c r="NHS85" s="1"/>
      <c r="NHT85" s="1"/>
      <c r="NHU85" s="1"/>
      <c r="NHV85" s="1"/>
      <c r="NHW85" s="1"/>
      <c r="NHX85" s="1"/>
      <c r="NHY85" s="1"/>
      <c r="NHZ85" s="1"/>
      <c r="NIA85" s="1"/>
      <c r="NIB85" s="1"/>
      <c r="NIC85" s="1"/>
      <c r="NID85" s="1"/>
      <c r="NIE85" s="1"/>
      <c r="NIF85" s="1"/>
      <c r="NIG85" s="1"/>
      <c r="NIH85" s="1"/>
      <c r="NII85" s="1"/>
      <c r="NIJ85" s="1"/>
      <c r="NIK85" s="1"/>
      <c r="NIL85" s="1"/>
      <c r="NIM85" s="1"/>
      <c r="NIN85" s="1"/>
      <c r="NIO85" s="1"/>
      <c r="NIP85" s="1"/>
      <c r="NIQ85" s="1"/>
      <c r="NIR85" s="1"/>
      <c r="NIS85" s="1"/>
      <c r="NIT85" s="1"/>
      <c r="NIU85" s="1"/>
      <c r="NIV85" s="1"/>
      <c r="NIW85" s="1"/>
      <c r="NIX85" s="1"/>
      <c r="NIY85" s="1"/>
      <c r="NIZ85" s="1"/>
      <c r="NJA85" s="1"/>
      <c r="NJB85" s="1"/>
      <c r="NJC85" s="1"/>
      <c r="NJD85" s="1"/>
      <c r="NJE85" s="1"/>
      <c r="NJF85" s="1"/>
      <c r="NJG85" s="1"/>
      <c r="NJH85" s="1"/>
      <c r="NJI85" s="1"/>
      <c r="NJJ85" s="1"/>
      <c r="NJK85" s="1"/>
      <c r="NJL85" s="1"/>
      <c r="NJM85" s="1"/>
      <c r="NJN85" s="1"/>
      <c r="NJO85" s="1"/>
      <c r="NJP85" s="1"/>
      <c r="NJQ85" s="1"/>
      <c r="NJR85" s="1"/>
      <c r="NJS85" s="1"/>
      <c r="NJT85" s="1"/>
      <c r="NJU85" s="1"/>
      <c r="NJV85" s="1"/>
      <c r="NJW85" s="1"/>
      <c r="NJX85" s="1"/>
      <c r="NJY85" s="1"/>
      <c r="NJZ85" s="1"/>
      <c r="NKA85" s="1"/>
      <c r="NKB85" s="1"/>
      <c r="NKC85" s="1"/>
      <c r="NKD85" s="1"/>
      <c r="NKE85" s="1"/>
      <c r="NKF85" s="1"/>
      <c r="NKG85" s="1"/>
      <c r="NKH85" s="1"/>
      <c r="NKI85" s="1"/>
      <c r="NKJ85" s="1"/>
      <c r="NKK85" s="1"/>
      <c r="NKL85" s="1"/>
      <c r="NKM85" s="1"/>
      <c r="NKN85" s="1"/>
      <c r="NKO85" s="1"/>
      <c r="NKP85" s="1"/>
      <c r="NKQ85" s="1"/>
      <c r="NKR85" s="1"/>
      <c r="NKS85" s="1"/>
      <c r="NKT85" s="1"/>
      <c r="NKU85" s="1"/>
      <c r="NKV85" s="1"/>
      <c r="NKW85" s="1"/>
      <c r="NKX85" s="1"/>
      <c r="NKY85" s="1"/>
      <c r="NKZ85" s="1"/>
      <c r="NLA85" s="1"/>
      <c r="NLB85" s="1"/>
      <c r="NLC85" s="1"/>
      <c r="NLD85" s="1"/>
      <c r="NLE85" s="1"/>
      <c r="NLF85" s="1"/>
      <c r="NLG85" s="1"/>
      <c r="NLH85" s="1"/>
      <c r="NLI85" s="1"/>
      <c r="NLJ85" s="1"/>
      <c r="NLK85" s="1"/>
      <c r="NLL85" s="1"/>
      <c r="NLM85" s="1"/>
      <c r="NLN85" s="1"/>
      <c r="NLO85" s="1"/>
      <c r="NLP85" s="1"/>
      <c r="NLQ85" s="1"/>
      <c r="NLR85" s="1"/>
      <c r="NLS85" s="1"/>
      <c r="NLT85" s="1"/>
      <c r="NLU85" s="1"/>
      <c r="NLV85" s="1"/>
      <c r="NLW85" s="1"/>
      <c r="NLX85" s="1"/>
      <c r="NLY85" s="1"/>
      <c r="NLZ85" s="1"/>
      <c r="NMA85" s="1"/>
      <c r="NMB85" s="1"/>
      <c r="NMC85" s="1"/>
      <c r="NMD85" s="1"/>
      <c r="NME85" s="1"/>
      <c r="NMF85" s="1"/>
      <c r="NMG85" s="1"/>
      <c r="NMH85" s="1"/>
      <c r="NMI85" s="1"/>
      <c r="NMJ85" s="1"/>
      <c r="NMK85" s="1"/>
      <c r="NML85" s="1"/>
      <c r="NMM85" s="1"/>
      <c r="NMN85" s="1"/>
      <c r="NMO85" s="1"/>
      <c r="NMP85" s="1"/>
      <c r="NMQ85" s="1"/>
      <c r="NMR85" s="1"/>
      <c r="NMS85" s="1"/>
      <c r="NMT85" s="1"/>
      <c r="NMU85" s="1"/>
      <c r="NMV85" s="1"/>
      <c r="NMW85" s="1"/>
      <c r="NMX85" s="1"/>
      <c r="NMY85" s="1"/>
      <c r="NMZ85" s="1"/>
      <c r="NNA85" s="1"/>
      <c r="NNB85" s="1"/>
      <c r="NNC85" s="1"/>
      <c r="NND85" s="1"/>
      <c r="NNE85" s="1"/>
      <c r="NNF85" s="1"/>
      <c r="NNG85" s="1"/>
      <c r="NNH85" s="1"/>
      <c r="NNI85" s="1"/>
      <c r="NNJ85" s="1"/>
      <c r="NNK85" s="1"/>
      <c r="NNL85" s="1"/>
      <c r="NNM85" s="1"/>
      <c r="NNN85" s="1"/>
      <c r="NNO85" s="1"/>
      <c r="NNP85" s="1"/>
      <c r="NNQ85" s="1"/>
      <c r="NNR85" s="1"/>
      <c r="NNS85" s="1"/>
      <c r="NNT85" s="1"/>
      <c r="NNU85" s="1"/>
      <c r="NNV85" s="1"/>
      <c r="NNW85" s="1"/>
      <c r="NNX85" s="1"/>
      <c r="NNY85" s="1"/>
      <c r="NNZ85" s="1"/>
      <c r="NOA85" s="1"/>
      <c r="NOB85" s="1"/>
      <c r="NOC85" s="1"/>
      <c r="NOD85" s="1"/>
      <c r="NOE85" s="1"/>
      <c r="NOF85" s="1"/>
      <c r="NOG85" s="1"/>
      <c r="NOH85" s="1"/>
      <c r="NOI85" s="1"/>
      <c r="NOJ85" s="1"/>
      <c r="NOK85" s="1"/>
      <c r="NOL85" s="1"/>
      <c r="NOM85" s="1"/>
      <c r="NON85" s="1"/>
      <c r="NOO85" s="1"/>
      <c r="NOP85" s="1"/>
      <c r="NOQ85" s="1"/>
      <c r="NOR85" s="1"/>
      <c r="NOS85" s="1"/>
      <c r="NOT85" s="1"/>
      <c r="NOU85" s="1"/>
      <c r="NOV85" s="1"/>
      <c r="NOW85" s="1"/>
      <c r="NOX85" s="1"/>
      <c r="NOY85" s="1"/>
      <c r="NOZ85" s="1"/>
      <c r="NPA85" s="1"/>
      <c r="NPB85" s="1"/>
      <c r="NPC85" s="1"/>
      <c r="NPD85" s="1"/>
      <c r="NPE85" s="1"/>
      <c r="NPF85" s="1"/>
      <c r="NPG85" s="1"/>
      <c r="NPH85" s="1"/>
      <c r="NPI85" s="1"/>
      <c r="NPJ85" s="1"/>
      <c r="NPK85" s="1"/>
      <c r="NPL85" s="1"/>
      <c r="NPM85" s="1"/>
      <c r="NPN85" s="1"/>
      <c r="NPO85" s="1"/>
      <c r="NPP85" s="1"/>
      <c r="NPQ85" s="1"/>
      <c r="NPR85" s="1"/>
      <c r="NPS85" s="1"/>
      <c r="NPT85" s="1"/>
      <c r="NPU85" s="1"/>
      <c r="NPV85" s="1"/>
      <c r="NPW85" s="1"/>
      <c r="NPX85" s="1"/>
      <c r="NPY85" s="1"/>
      <c r="NPZ85" s="1"/>
      <c r="NQA85" s="1"/>
      <c r="NQB85" s="1"/>
      <c r="NQC85" s="1"/>
      <c r="NQD85" s="1"/>
      <c r="NQE85" s="1"/>
      <c r="NQF85" s="1"/>
      <c r="NQG85" s="1"/>
      <c r="NQH85" s="1"/>
      <c r="NQI85" s="1"/>
      <c r="NQJ85" s="1"/>
      <c r="NQK85" s="1"/>
      <c r="NQL85" s="1"/>
      <c r="NQM85" s="1"/>
      <c r="NQN85" s="1"/>
      <c r="NQO85" s="1"/>
      <c r="NQP85" s="1"/>
      <c r="NQQ85" s="1"/>
      <c r="NQR85" s="1"/>
      <c r="NQS85" s="1"/>
      <c r="NQT85" s="1"/>
      <c r="NQU85" s="1"/>
      <c r="NQV85" s="1"/>
      <c r="NQW85" s="1"/>
      <c r="NQX85" s="1"/>
      <c r="NQY85" s="1"/>
      <c r="NQZ85" s="1"/>
      <c r="NRA85" s="1"/>
      <c r="NRB85" s="1"/>
      <c r="NRC85" s="1"/>
      <c r="NRD85" s="1"/>
      <c r="NRE85" s="1"/>
      <c r="NRF85" s="1"/>
      <c r="NRG85" s="1"/>
      <c r="NRH85" s="1"/>
      <c r="NRI85" s="1"/>
      <c r="NRJ85" s="1"/>
      <c r="NRK85" s="1"/>
      <c r="NRL85" s="1"/>
      <c r="NRM85" s="1"/>
      <c r="NRN85" s="1"/>
      <c r="NRO85" s="1"/>
      <c r="NRP85" s="1"/>
      <c r="NRQ85" s="1"/>
      <c r="NRR85" s="1"/>
      <c r="NRS85" s="1"/>
      <c r="NRT85" s="1"/>
      <c r="NRU85" s="1"/>
      <c r="NRV85" s="1"/>
      <c r="NRW85" s="1"/>
      <c r="NRX85" s="1"/>
      <c r="NRY85" s="1"/>
      <c r="NRZ85" s="1"/>
      <c r="NSA85" s="1"/>
      <c r="NSB85" s="1"/>
      <c r="NSC85" s="1"/>
      <c r="NSD85" s="1"/>
      <c r="NSE85" s="1"/>
      <c r="NSF85" s="1"/>
      <c r="NSG85" s="1"/>
      <c r="NSH85" s="1"/>
      <c r="NSI85" s="1"/>
      <c r="NSJ85" s="1"/>
      <c r="NSK85" s="1"/>
      <c r="NSL85" s="1"/>
      <c r="NSM85" s="1"/>
      <c r="NSN85" s="1"/>
      <c r="NSO85" s="1"/>
      <c r="NSP85" s="1"/>
      <c r="NSQ85" s="1"/>
      <c r="NSR85" s="1"/>
      <c r="NSS85" s="1"/>
      <c r="NST85" s="1"/>
      <c r="NSU85" s="1"/>
      <c r="NSV85" s="1"/>
      <c r="NSW85" s="1"/>
      <c r="NSX85" s="1"/>
      <c r="NSY85" s="1"/>
      <c r="NSZ85" s="1"/>
      <c r="NTA85" s="1"/>
      <c r="NTB85" s="1"/>
      <c r="NTC85" s="1"/>
      <c r="NTD85" s="1"/>
      <c r="NTE85" s="1"/>
      <c r="NTF85" s="1"/>
      <c r="NTG85" s="1"/>
      <c r="NTH85" s="1"/>
      <c r="NTI85" s="1"/>
      <c r="NTJ85" s="1"/>
      <c r="NTK85" s="1"/>
      <c r="NTL85" s="1"/>
      <c r="NTM85" s="1"/>
      <c r="NTN85" s="1"/>
      <c r="NTO85" s="1"/>
      <c r="NTP85" s="1"/>
      <c r="NTQ85" s="1"/>
      <c r="NTR85" s="1"/>
      <c r="NTS85" s="1"/>
      <c r="NTT85" s="1"/>
      <c r="NTU85" s="1"/>
      <c r="NTV85" s="1"/>
      <c r="NTW85" s="1"/>
      <c r="NTX85" s="1"/>
      <c r="NTY85" s="1"/>
      <c r="NTZ85" s="1"/>
      <c r="NUA85" s="1"/>
      <c r="NUB85" s="1"/>
      <c r="NUC85" s="1"/>
      <c r="NUD85" s="1"/>
      <c r="NUE85" s="1"/>
      <c r="NUF85" s="1"/>
      <c r="NUG85" s="1"/>
      <c r="NUH85" s="1"/>
      <c r="NUI85" s="1"/>
      <c r="NUJ85" s="1"/>
      <c r="NUK85" s="1"/>
      <c r="NUL85" s="1"/>
      <c r="NUM85" s="1"/>
      <c r="NUN85" s="1"/>
      <c r="NUO85" s="1"/>
      <c r="NUP85" s="1"/>
      <c r="NUQ85" s="1"/>
      <c r="NUR85" s="1"/>
      <c r="NUS85" s="1"/>
      <c r="NUT85" s="1"/>
      <c r="NUU85" s="1"/>
      <c r="NUV85" s="1"/>
      <c r="NUW85" s="1"/>
      <c r="NUX85" s="1"/>
      <c r="NUY85" s="1"/>
      <c r="NUZ85" s="1"/>
      <c r="NVA85" s="1"/>
      <c r="NVB85" s="1"/>
      <c r="NVC85" s="1"/>
      <c r="NVD85" s="1"/>
      <c r="NVE85" s="1"/>
      <c r="NVF85" s="1"/>
      <c r="NVG85" s="1"/>
      <c r="NVH85" s="1"/>
      <c r="NVI85" s="1"/>
      <c r="NVJ85" s="1"/>
      <c r="NVK85" s="1"/>
      <c r="NVL85" s="1"/>
      <c r="NVM85" s="1"/>
      <c r="NVN85" s="1"/>
      <c r="NVO85" s="1"/>
      <c r="NVP85" s="1"/>
      <c r="NVQ85" s="1"/>
      <c r="NVR85" s="1"/>
      <c r="NVS85" s="1"/>
      <c r="NVT85" s="1"/>
      <c r="NVU85" s="1"/>
      <c r="NVV85" s="1"/>
      <c r="NVW85" s="1"/>
      <c r="NVX85" s="1"/>
      <c r="NVY85" s="1"/>
      <c r="NVZ85" s="1"/>
      <c r="NWA85" s="1"/>
      <c r="NWB85" s="1"/>
      <c r="NWC85" s="1"/>
      <c r="NWD85" s="1"/>
      <c r="NWE85" s="1"/>
      <c r="NWF85" s="1"/>
      <c r="NWG85" s="1"/>
      <c r="NWH85" s="1"/>
      <c r="NWI85" s="1"/>
      <c r="NWJ85" s="1"/>
      <c r="NWK85" s="1"/>
      <c r="NWL85" s="1"/>
      <c r="NWM85" s="1"/>
      <c r="NWN85" s="1"/>
      <c r="NWO85" s="1"/>
      <c r="NWP85" s="1"/>
      <c r="NWQ85" s="1"/>
      <c r="NWR85" s="1"/>
      <c r="NWS85" s="1"/>
      <c r="NWT85" s="1"/>
      <c r="NWU85" s="1"/>
      <c r="NWV85" s="1"/>
      <c r="NWW85" s="1"/>
      <c r="NWX85" s="1"/>
      <c r="NWY85" s="1"/>
      <c r="NWZ85" s="1"/>
      <c r="NXA85" s="1"/>
      <c r="NXB85" s="1"/>
      <c r="NXC85" s="1"/>
      <c r="NXD85" s="1"/>
      <c r="NXE85" s="1"/>
      <c r="NXF85" s="1"/>
      <c r="NXG85" s="1"/>
      <c r="NXH85" s="1"/>
      <c r="NXI85" s="1"/>
      <c r="NXJ85" s="1"/>
      <c r="NXK85" s="1"/>
      <c r="NXL85" s="1"/>
      <c r="NXM85" s="1"/>
      <c r="NXN85" s="1"/>
      <c r="NXO85" s="1"/>
      <c r="NXP85" s="1"/>
      <c r="NXQ85" s="1"/>
      <c r="NXR85" s="1"/>
      <c r="NXS85" s="1"/>
      <c r="NXT85" s="1"/>
      <c r="NXU85" s="1"/>
      <c r="NXV85" s="1"/>
      <c r="NXW85" s="1"/>
      <c r="NXX85" s="1"/>
      <c r="NXY85" s="1"/>
      <c r="NXZ85" s="1"/>
      <c r="NYA85" s="1"/>
      <c r="NYB85" s="1"/>
      <c r="NYC85" s="1"/>
      <c r="NYD85" s="1"/>
      <c r="NYE85" s="1"/>
      <c r="NYF85" s="1"/>
      <c r="NYG85" s="1"/>
      <c r="NYH85" s="1"/>
      <c r="NYI85" s="1"/>
      <c r="NYJ85" s="1"/>
      <c r="NYK85" s="1"/>
      <c r="NYL85" s="1"/>
      <c r="NYM85" s="1"/>
      <c r="NYN85" s="1"/>
      <c r="NYO85" s="1"/>
      <c r="NYP85" s="1"/>
      <c r="NYQ85" s="1"/>
      <c r="NYR85" s="1"/>
      <c r="NYS85" s="1"/>
      <c r="NYT85" s="1"/>
      <c r="NYU85" s="1"/>
      <c r="NYV85" s="1"/>
      <c r="NYW85" s="1"/>
      <c r="NYX85" s="1"/>
      <c r="NYY85" s="1"/>
      <c r="NYZ85" s="1"/>
      <c r="NZA85" s="1"/>
      <c r="NZB85" s="1"/>
      <c r="NZC85" s="1"/>
      <c r="NZD85" s="1"/>
      <c r="NZE85" s="1"/>
      <c r="NZF85" s="1"/>
      <c r="NZG85" s="1"/>
      <c r="NZH85" s="1"/>
      <c r="NZI85" s="1"/>
      <c r="NZJ85" s="1"/>
      <c r="NZK85" s="1"/>
      <c r="NZL85" s="1"/>
      <c r="NZM85" s="1"/>
      <c r="NZN85" s="1"/>
      <c r="NZO85" s="1"/>
      <c r="NZP85" s="1"/>
      <c r="NZQ85" s="1"/>
      <c r="NZR85" s="1"/>
      <c r="NZS85" s="1"/>
      <c r="NZT85" s="1"/>
      <c r="NZU85" s="1"/>
      <c r="NZV85" s="1"/>
      <c r="NZW85" s="1"/>
      <c r="NZX85" s="1"/>
      <c r="NZY85" s="1"/>
      <c r="NZZ85" s="1"/>
      <c r="OAA85" s="1"/>
      <c r="OAB85" s="1"/>
      <c r="OAC85" s="1"/>
      <c r="OAD85" s="1"/>
      <c r="OAE85" s="1"/>
      <c r="OAF85" s="1"/>
      <c r="OAG85" s="1"/>
      <c r="OAH85" s="1"/>
      <c r="OAI85" s="1"/>
      <c r="OAJ85" s="1"/>
      <c r="OAK85" s="1"/>
      <c r="OAL85" s="1"/>
      <c r="OAM85" s="1"/>
      <c r="OAN85" s="1"/>
      <c r="OAO85" s="1"/>
      <c r="OAP85" s="1"/>
      <c r="OAQ85" s="1"/>
      <c r="OAR85" s="1"/>
      <c r="OAS85" s="1"/>
      <c r="OAT85" s="1"/>
      <c r="OAU85" s="1"/>
      <c r="OAV85" s="1"/>
      <c r="OAW85" s="1"/>
      <c r="OAX85" s="1"/>
      <c r="OAY85" s="1"/>
      <c r="OAZ85" s="1"/>
      <c r="OBA85" s="1"/>
      <c r="OBB85" s="1"/>
      <c r="OBC85" s="1"/>
      <c r="OBD85" s="1"/>
      <c r="OBE85" s="1"/>
      <c r="OBF85" s="1"/>
      <c r="OBG85" s="1"/>
      <c r="OBH85" s="1"/>
      <c r="OBI85" s="1"/>
      <c r="OBJ85" s="1"/>
      <c r="OBK85" s="1"/>
      <c r="OBL85" s="1"/>
      <c r="OBM85" s="1"/>
      <c r="OBN85" s="1"/>
      <c r="OBO85" s="1"/>
      <c r="OBP85" s="1"/>
      <c r="OBQ85" s="1"/>
      <c r="OBR85" s="1"/>
      <c r="OBS85" s="1"/>
      <c r="OBT85" s="1"/>
      <c r="OBU85" s="1"/>
      <c r="OBV85" s="1"/>
      <c r="OBW85" s="1"/>
      <c r="OBX85" s="1"/>
      <c r="OBY85" s="1"/>
      <c r="OBZ85" s="1"/>
      <c r="OCA85" s="1"/>
      <c r="OCB85" s="1"/>
      <c r="OCC85" s="1"/>
      <c r="OCD85" s="1"/>
      <c r="OCE85" s="1"/>
      <c r="OCF85" s="1"/>
      <c r="OCG85" s="1"/>
      <c r="OCH85" s="1"/>
      <c r="OCI85" s="1"/>
      <c r="OCJ85" s="1"/>
      <c r="OCK85" s="1"/>
      <c r="OCL85" s="1"/>
      <c r="OCM85" s="1"/>
      <c r="OCN85" s="1"/>
      <c r="OCO85" s="1"/>
      <c r="OCP85" s="1"/>
      <c r="OCQ85" s="1"/>
      <c r="OCR85" s="1"/>
      <c r="OCS85" s="1"/>
      <c r="OCT85" s="1"/>
      <c r="OCU85" s="1"/>
      <c r="OCV85" s="1"/>
      <c r="OCW85" s="1"/>
      <c r="OCX85" s="1"/>
      <c r="OCY85" s="1"/>
      <c r="OCZ85" s="1"/>
      <c r="ODA85" s="1"/>
      <c r="ODB85" s="1"/>
      <c r="ODC85" s="1"/>
      <c r="ODD85" s="1"/>
      <c r="ODE85" s="1"/>
      <c r="ODF85" s="1"/>
      <c r="ODG85" s="1"/>
      <c r="ODH85" s="1"/>
      <c r="ODI85" s="1"/>
      <c r="ODJ85" s="1"/>
      <c r="ODK85" s="1"/>
      <c r="ODL85" s="1"/>
      <c r="ODM85" s="1"/>
      <c r="ODN85" s="1"/>
      <c r="ODO85" s="1"/>
      <c r="ODP85" s="1"/>
      <c r="ODQ85" s="1"/>
      <c r="ODR85" s="1"/>
      <c r="ODS85" s="1"/>
      <c r="ODT85" s="1"/>
      <c r="ODU85" s="1"/>
      <c r="ODV85" s="1"/>
      <c r="ODW85" s="1"/>
      <c r="ODX85" s="1"/>
      <c r="ODY85" s="1"/>
      <c r="ODZ85" s="1"/>
      <c r="OEA85" s="1"/>
      <c r="OEB85" s="1"/>
      <c r="OEC85" s="1"/>
      <c r="OED85" s="1"/>
      <c r="OEE85" s="1"/>
      <c r="OEF85" s="1"/>
      <c r="OEG85" s="1"/>
      <c r="OEH85" s="1"/>
      <c r="OEI85" s="1"/>
      <c r="OEJ85" s="1"/>
      <c r="OEK85" s="1"/>
      <c r="OEL85" s="1"/>
      <c r="OEM85" s="1"/>
      <c r="OEN85" s="1"/>
      <c r="OEO85" s="1"/>
      <c r="OEP85" s="1"/>
      <c r="OEQ85" s="1"/>
      <c r="OER85" s="1"/>
      <c r="OES85" s="1"/>
      <c r="OET85" s="1"/>
      <c r="OEU85" s="1"/>
      <c r="OEV85" s="1"/>
      <c r="OEW85" s="1"/>
      <c r="OEX85" s="1"/>
      <c r="OEY85" s="1"/>
      <c r="OEZ85" s="1"/>
      <c r="OFA85" s="1"/>
      <c r="OFB85" s="1"/>
      <c r="OFC85" s="1"/>
      <c r="OFD85" s="1"/>
      <c r="OFE85" s="1"/>
      <c r="OFF85" s="1"/>
      <c r="OFG85" s="1"/>
      <c r="OFH85" s="1"/>
      <c r="OFI85" s="1"/>
      <c r="OFJ85" s="1"/>
      <c r="OFK85" s="1"/>
      <c r="OFL85" s="1"/>
      <c r="OFM85" s="1"/>
      <c r="OFN85" s="1"/>
      <c r="OFO85" s="1"/>
      <c r="OFP85" s="1"/>
      <c r="OFQ85" s="1"/>
      <c r="OFR85" s="1"/>
      <c r="OFS85" s="1"/>
      <c r="OFT85" s="1"/>
      <c r="OFU85" s="1"/>
      <c r="OFV85" s="1"/>
      <c r="OFW85" s="1"/>
      <c r="OFX85" s="1"/>
      <c r="OFY85" s="1"/>
      <c r="OFZ85" s="1"/>
      <c r="OGA85" s="1"/>
      <c r="OGB85" s="1"/>
      <c r="OGC85" s="1"/>
      <c r="OGD85" s="1"/>
      <c r="OGE85" s="1"/>
      <c r="OGF85" s="1"/>
      <c r="OGG85" s="1"/>
      <c r="OGH85" s="1"/>
      <c r="OGI85" s="1"/>
      <c r="OGJ85" s="1"/>
      <c r="OGK85" s="1"/>
      <c r="OGL85" s="1"/>
      <c r="OGM85" s="1"/>
      <c r="OGN85" s="1"/>
      <c r="OGO85" s="1"/>
      <c r="OGP85" s="1"/>
      <c r="OGQ85" s="1"/>
      <c r="OGR85" s="1"/>
      <c r="OGS85" s="1"/>
      <c r="OGT85" s="1"/>
      <c r="OGU85" s="1"/>
      <c r="OGV85" s="1"/>
      <c r="OGW85" s="1"/>
      <c r="OGX85" s="1"/>
      <c r="OGY85" s="1"/>
      <c r="OGZ85" s="1"/>
      <c r="OHA85" s="1"/>
      <c r="OHB85" s="1"/>
      <c r="OHC85" s="1"/>
      <c r="OHD85" s="1"/>
      <c r="OHE85" s="1"/>
      <c r="OHF85" s="1"/>
      <c r="OHG85" s="1"/>
      <c r="OHH85" s="1"/>
      <c r="OHI85" s="1"/>
      <c r="OHJ85" s="1"/>
      <c r="OHK85" s="1"/>
      <c r="OHL85" s="1"/>
      <c r="OHM85" s="1"/>
      <c r="OHN85" s="1"/>
      <c r="OHO85" s="1"/>
      <c r="OHP85" s="1"/>
      <c r="OHQ85" s="1"/>
      <c r="OHR85" s="1"/>
      <c r="OHS85" s="1"/>
      <c r="OHT85" s="1"/>
      <c r="OHU85" s="1"/>
      <c r="OHV85" s="1"/>
      <c r="OHW85" s="1"/>
      <c r="OHX85" s="1"/>
      <c r="OHY85" s="1"/>
      <c r="OHZ85" s="1"/>
      <c r="OIA85" s="1"/>
      <c r="OIB85" s="1"/>
      <c r="OIC85" s="1"/>
      <c r="OID85" s="1"/>
      <c r="OIE85" s="1"/>
      <c r="OIF85" s="1"/>
      <c r="OIG85" s="1"/>
      <c r="OIH85" s="1"/>
      <c r="OII85" s="1"/>
      <c r="OIJ85" s="1"/>
      <c r="OIK85" s="1"/>
      <c r="OIL85" s="1"/>
      <c r="OIM85" s="1"/>
      <c r="OIN85" s="1"/>
      <c r="OIO85" s="1"/>
      <c r="OIP85" s="1"/>
      <c r="OIQ85" s="1"/>
      <c r="OIR85" s="1"/>
      <c r="OIS85" s="1"/>
      <c r="OIT85" s="1"/>
      <c r="OIU85" s="1"/>
      <c r="OIV85" s="1"/>
      <c r="OIW85" s="1"/>
      <c r="OIX85" s="1"/>
      <c r="OIY85" s="1"/>
      <c r="OIZ85" s="1"/>
      <c r="OJA85" s="1"/>
      <c r="OJB85" s="1"/>
      <c r="OJC85" s="1"/>
      <c r="OJD85" s="1"/>
      <c r="OJE85" s="1"/>
      <c r="OJF85" s="1"/>
      <c r="OJG85" s="1"/>
      <c r="OJH85" s="1"/>
      <c r="OJI85" s="1"/>
      <c r="OJJ85" s="1"/>
      <c r="OJK85" s="1"/>
      <c r="OJL85" s="1"/>
      <c r="OJM85" s="1"/>
      <c r="OJN85" s="1"/>
      <c r="OJO85" s="1"/>
      <c r="OJP85" s="1"/>
      <c r="OJQ85" s="1"/>
      <c r="OJR85" s="1"/>
      <c r="OJS85" s="1"/>
      <c r="OJT85" s="1"/>
      <c r="OJU85" s="1"/>
      <c r="OJV85" s="1"/>
      <c r="OJW85" s="1"/>
      <c r="OJX85" s="1"/>
      <c r="OJY85" s="1"/>
      <c r="OJZ85" s="1"/>
      <c r="OKA85" s="1"/>
      <c r="OKB85" s="1"/>
      <c r="OKC85" s="1"/>
      <c r="OKD85" s="1"/>
      <c r="OKE85" s="1"/>
      <c r="OKF85" s="1"/>
      <c r="OKG85" s="1"/>
      <c r="OKH85" s="1"/>
      <c r="OKI85" s="1"/>
      <c r="OKJ85" s="1"/>
      <c r="OKK85" s="1"/>
      <c r="OKL85" s="1"/>
      <c r="OKM85" s="1"/>
      <c r="OKN85" s="1"/>
      <c r="OKO85" s="1"/>
      <c r="OKP85" s="1"/>
      <c r="OKQ85" s="1"/>
      <c r="OKR85" s="1"/>
      <c r="OKS85" s="1"/>
      <c r="OKT85" s="1"/>
      <c r="OKU85" s="1"/>
      <c r="OKV85" s="1"/>
      <c r="OKW85" s="1"/>
      <c r="OKX85" s="1"/>
      <c r="OKY85" s="1"/>
      <c r="OKZ85" s="1"/>
      <c r="OLA85" s="1"/>
      <c r="OLB85" s="1"/>
      <c r="OLC85" s="1"/>
      <c r="OLD85" s="1"/>
      <c r="OLE85" s="1"/>
      <c r="OLF85" s="1"/>
      <c r="OLG85" s="1"/>
      <c r="OLH85" s="1"/>
      <c r="OLI85" s="1"/>
      <c r="OLJ85" s="1"/>
      <c r="OLK85" s="1"/>
      <c r="OLL85" s="1"/>
      <c r="OLM85" s="1"/>
      <c r="OLN85" s="1"/>
      <c r="OLO85" s="1"/>
      <c r="OLP85" s="1"/>
      <c r="OLQ85" s="1"/>
      <c r="OLR85" s="1"/>
      <c r="OLS85" s="1"/>
      <c r="OLT85" s="1"/>
      <c r="OLU85" s="1"/>
      <c r="OLV85" s="1"/>
      <c r="OLW85" s="1"/>
      <c r="OLX85" s="1"/>
      <c r="OLY85" s="1"/>
      <c r="OLZ85" s="1"/>
      <c r="OMA85" s="1"/>
      <c r="OMB85" s="1"/>
      <c r="OMC85" s="1"/>
      <c r="OMD85" s="1"/>
      <c r="OME85" s="1"/>
      <c r="OMF85" s="1"/>
      <c r="OMG85" s="1"/>
      <c r="OMH85" s="1"/>
      <c r="OMI85" s="1"/>
      <c r="OMJ85" s="1"/>
      <c r="OMK85" s="1"/>
      <c r="OML85" s="1"/>
      <c r="OMM85" s="1"/>
      <c r="OMN85" s="1"/>
      <c r="OMO85" s="1"/>
      <c r="OMP85" s="1"/>
      <c r="OMQ85" s="1"/>
      <c r="OMR85" s="1"/>
      <c r="OMS85" s="1"/>
      <c r="OMT85" s="1"/>
      <c r="OMU85" s="1"/>
      <c r="OMV85" s="1"/>
      <c r="OMW85" s="1"/>
      <c r="OMX85" s="1"/>
      <c r="OMY85" s="1"/>
      <c r="OMZ85" s="1"/>
      <c r="ONA85" s="1"/>
      <c r="ONB85" s="1"/>
      <c r="ONC85" s="1"/>
      <c r="OND85" s="1"/>
      <c r="ONE85" s="1"/>
      <c r="ONF85" s="1"/>
      <c r="ONG85" s="1"/>
      <c r="ONH85" s="1"/>
      <c r="ONI85" s="1"/>
      <c r="ONJ85" s="1"/>
      <c r="ONK85" s="1"/>
      <c r="ONL85" s="1"/>
      <c r="ONM85" s="1"/>
      <c r="ONN85" s="1"/>
      <c r="ONO85" s="1"/>
      <c r="ONP85" s="1"/>
      <c r="ONQ85" s="1"/>
      <c r="ONR85" s="1"/>
      <c r="ONS85" s="1"/>
      <c r="ONT85" s="1"/>
      <c r="ONU85" s="1"/>
      <c r="ONV85" s="1"/>
      <c r="ONW85" s="1"/>
      <c r="ONX85" s="1"/>
      <c r="ONY85" s="1"/>
      <c r="ONZ85" s="1"/>
      <c r="OOA85" s="1"/>
      <c r="OOB85" s="1"/>
      <c r="OOC85" s="1"/>
      <c r="OOD85" s="1"/>
      <c r="OOE85" s="1"/>
      <c r="OOF85" s="1"/>
      <c r="OOG85" s="1"/>
      <c r="OOH85" s="1"/>
      <c r="OOI85" s="1"/>
      <c r="OOJ85" s="1"/>
      <c r="OOK85" s="1"/>
      <c r="OOL85" s="1"/>
      <c r="OOM85" s="1"/>
      <c r="OON85" s="1"/>
      <c r="OOO85" s="1"/>
      <c r="OOP85" s="1"/>
      <c r="OOQ85" s="1"/>
      <c r="OOR85" s="1"/>
      <c r="OOS85" s="1"/>
      <c r="OOT85" s="1"/>
      <c r="OOU85" s="1"/>
      <c r="OOV85" s="1"/>
      <c r="OOW85" s="1"/>
      <c r="OOX85" s="1"/>
      <c r="OOY85" s="1"/>
      <c r="OOZ85" s="1"/>
      <c r="OPA85" s="1"/>
      <c r="OPB85" s="1"/>
      <c r="OPC85" s="1"/>
      <c r="OPD85" s="1"/>
      <c r="OPE85" s="1"/>
      <c r="OPF85" s="1"/>
      <c r="OPG85" s="1"/>
      <c r="OPH85" s="1"/>
      <c r="OPI85" s="1"/>
      <c r="OPJ85" s="1"/>
      <c r="OPK85" s="1"/>
      <c r="OPL85" s="1"/>
      <c r="OPM85" s="1"/>
      <c r="OPN85" s="1"/>
      <c r="OPO85" s="1"/>
      <c r="OPP85" s="1"/>
      <c r="OPQ85" s="1"/>
      <c r="OPR85" s="1"/>
      <c r="OPS85" s="1"/>
      <c r="OPT85" s="1"/>
      <c r="OPU85" s="1"/>
      <c r="OPV85" s="1"/>
      <c r="OPW85" s="1"/>
      <c r="OPX85" s="1"/>
      <c r="OPY85" s="1"/>
      <c r="OPZ85" s="1"/>
      <c r="OQA85" s="1"/>
      <c r="OQB85" s="1"/>
      <c r="OQC85" s="1"/>
      <c r="OQD85" s="1"/>
      <c r="OQE85" s="1"/>
      <c r="OQF85" s="1"/>
      <c r="OQG85" s="1"/>
      <c r="OQH85" s="1"/>
      <c r="OQI85" s="1"/>
      <c r="OQJ85" s="1"/>
      <c r="OQK85" s="1"/>
      <c r="OQL85" s="1"/>
      <c r="OQM85" s="1"/>
      <c r="OQN85" s="1"/>
      <c r="OQO85" s="1"/>
      <c r="OQP85" s="1"/>
      <c r="OQQ85" s="1"/>
      <c r="OQR85" s="1"/>
      <c r="OQS85" s="1"/>
      <c r="OQT85" s="1"/>
      <c r="OQU85" s="1"/>
      <c r="OQV85" s="1"/>
      <c r="OQW85" s="1"/>
      <c r="OQX85" s="1"/>
      <c r="OQY85" s="1"/>
      <c r="OQZ85" s="1"/>
      <c r="ORA85" s="1"/>
      <c r="ORB85" s="1"/>
      <c r="ORC85" s="1"/>
      <c r="ORD85" s="1"/>
      <c r="ORE85" s="1"/>
      <c r="ORF85" s="1"/>
      <c r="ORG85" s="1"/>
      <c r="ORH85" s="1"/>
      <c r="ORI85" s="1"/>
      <c r="ORJ85" s="1"/>
      <c r="ORK85" s="1"/>
      <c r="ORL85" s="1"/>
      <c r="ORM85" s="1"/>
      <c r="ORN85" s="1"/>
      <c r="ORO85" s="1"/>
      <c r="ORP85" s="1"/>
      <c r="ORQ85" s="1"/>
      <c r="ORR85" s="1"/>
      <c r="ORS85" s="1"/>
      <c r="ORT85" s="1"/>
      <c r="ORU85" s="1"/>
      <c r="ORV85" s="1"/>
      <c r="ORW85" s="1"/>
      <c r="ORX85" s="1"/>
      <c r="ORY85" s="1"/>
      <c r="ORZ85" s="1"/>
      <c r="OSA85" s="1"/>
      <c r="OSB85" s="1"/>
      <c r="OSC85" s="1"/>
      <c r="OSD85" s="1"/>
      <c r="OSE85" s="1"/>
      <c r="OSF85" s="1"/>
      <c r="OSG85" s="1"/>
      <c r="OSH85" s="1"/>
      <c r="OSI85" s="1"/>
      <c r="OSJ85" s="1"/>
      <c r="OSK85" s="1"/>
      <c r="OSL85" s="1"/>
      <c r="OSM85" s="1"/>
      <c r="OSN85" s="1"/>
      <c r="OSO85" s="1"/>
      <c r="OSP85" s="1"/>
      <c r="OSQ85" s="1"/>
      <c r="OSR85" s="1"/>
      <c r="OSS85" s="1"/>
      <c r="OST85" s="1"/>
      <c r="OSU85" s="1"/>
      <c r="OSV85" s="1"/>
      <c r="OSW85" s="1"/>
      <c r="OSX85" s="1"/>
      <c r="OSY85" s="1"/>
      <c r="OSZ85" s="1"/>
      <c r="OTA85" s="1"/>
      <c r="OTB85" s="1"/>
      <c r="OTC85" s="1"/>
      <c r="OTD85" s="1"/>
      <c r="OTE85" s="1"/>
      <c r="OTF85" s="1"/>
      <c r="OTG85" s="1"/>
      <c r="OTH85" s="1"/>
      <c r="OTI85" s="1"/>
      <c r="OTJ85" s="1"/>
      <c r="OTK85" s="1"/>
      <c r="OTL85" s="1"/>
      <c r="OTM85" s="1"/>
      <c r="OTN85" s="1"/>
      <c r="OTO85" s="1"/>
      <c r="OTP85" s="1"/>
      <c r="OTQ85" s="1"/>
      <c r="OTR85" s="1"/>
      <c r="OTS85" s="1"/>
      <c r="OTT85" s="1"/>
      <c r="OTU85" s="1"/>
      <c r="OTV85" s="1"/>
      <c r="OTW85" s="1"/>
      <c r="OTX85" s="1"/>
      <c r="OTY85" s="1"/>
      <c r="OTZ85" s="1"/>
      <c r="OUA85" s="1"/>
      <c r="OUB85" s="1"/>
      <c r="OUC85" s="1"/>
      <c r="OUD85" s="1"/>
      <c r="OUE85" s="1"/>
      <c r="OUF85" s="1"/>
      <c r="OUG85" s="1"/>
      <c r="OUH85" s="1"/>
      <c r="OUI85" s="1"/>
      <c r="OUJ85" s="1"/>
      <c r="OUK85" s="1"/>
      <c r="OUL85" s="1"/>
      <c r="OUM85" s="1"/>
      <c r="OUN85" s="1"/>
      <c r="OUO85" s="1"/>
      <c r="OUP85" s="1"/>
      <c r="OUQ85" s="1"/>
      <c r="OUR85" s="1"/>
      <c r="OUS85" s="1"/>
      <c r="OUT85" s="1"/>
      <c r="OUU85" s="1"/>
      <c r="OUV85" s="1"/>
      <c r="OUW85" s="1"/>
      <c r="OUX85" s="1"/>
      <c r="OUY85" s="1"/>
      <c r="OUZ85" s="1"/>
      <c r="OVA85" s="1"/>
      <c r="OVB85" s="1"/>
      <c r="OVC85" s="1"/>
      <c r="OVD85" s="1"/>
      <c r="OVE85" s="1"/>
      <c r="OVF85" s="1"/>
      <c r="OVG85" s="1"/>
      <c r="OVH85" s="1"/>
      <c r="OVI85" s="1"/>
      <c r="OVJ85" s="1"/>
      <c r="OVK85" s="1"/>
      <c r="OVL85" s="1"/>
      <c r="OVM85" s="1"/>
      <c r="OVN85" s="1"/>
      <c r="OVO85" s="1"/>
      <c r="OVP85" s="1"/>
      <c r="OVQ85" s="1"/>
      <c r="OVR85" s="1"/>
      <c r="OVS85" s="1"/>
      <c r="OVT85" s="1"/>
      <c r="OVU85" s="1"/>
      <c r="OVV85" s="1"/>
      <c r="OVW85" s="1"/>
      <c r="OVX85" s="1"/>
      <c r="OVY85" s="1"/>
      <c r="OVZ85" s="1"/>
      <c r="OWA85" s="1"/>
      <c r="OWB85" s="1"/>
      <c r="OWC85" s="1"/>
      <c r="OWD85" s="1"/>
      <c r="OWE85" s="1"/>
      <c r="OWF85" s="1"/>
      <c r="OWG85" s="1"/>
      <c r="OWH85" s="1"/>
      <c r="OWI85" s="1"/>
      <c r="OWJ85" s="1"/>
      <c r="OWK85" s="1"/>
      <c r="OWL85" s="1"/>
      <c r="OWM85" s="1"/>
      <c r="OWN85" s="1"/>
      <c r="OWO85" s="1"/>
      <c r="OWP85" s="1"/>
      <c r="OWQ85" s="1"/>
      <c r="OWR85" s="1"/>
      <c r="OWS85" s="1"/>
      <c r="OWT85" s="1"/>
      <c r="OWU85" s="1"/>
      <c r="OWV85" s="1"/>
      <c r="OWW85" s="1"/>
      <c r="OWX85" s="1"/>
      <c r="OWY85" s="1"/>
      <c r="OWZ85" s="1"/>
      <c r="OXA85" s="1"/>
      <c r="OXB85" s="1"/>
      <c r="OXC85" s="1"/>
      <c r="OXD85" s="1"/>
      <c r="OXE85" s="1"/>
      <c r="OXF85" s="1"/>
      <c r="OXG85" s="1"/>
      <c r="OXH85" s="1"/>
      <c r="OXI85" s="1"/>
      <c r="OXJ85" s="1"/>
      <c r="OXK85" s="1"/>
      <c r="OXL85" s="1"/>
      <c r="OXM85" s="1"/>
      <c r="OXN85" s="1"/>
      <c r="OXO85" s="1"/>
      <c r="OXP85" s="1"/>
      <c r="OXQ85" s="1"/>
      <c r="OXR85" s="1"/>
      <c r="OXS85" s="1"/>
      <c r="OXT85" s="1"/>
      <c r="OXU85" s="1"/>
      <c r="OXV85" s="1"/>
      <c r="OXW85" s="1"/>
      <c r="OXX85" s="1"/>
      <c r="OXY85" s="1"/>
      <c r="OXZ85" s="1"/>
      <c r="OYA85" s="1"/>
      <c r="OYB85" s="1"/>
      <c r="OYC85" s="1"/>
      <c r="OYD85" s="1"/>
      <c r="OYE85" s="1"/>
      <c r="OYF85" s="1"/>
      <c r="OYG85" s="1"/>
      <c r="OYH85" s="1"/>
      <c r="OYI85" s="1"/>
      <c r="OYJ85" s="1"/>
      <c r="OYK85" s="1"/>
      <c r="OYL85" s="1"/>
      <c r="OYM85" s="1"/>
      <c r="OYN85" s="1"/>
      <c r="OYO85" s="1"/>
      <c r="OYP85" s="1"/>
      <c r="OYQ85" s="1"/>
      <c r="OYR85" s="1"/>
      <c r="OYS85" s="1"/>
      <c r="OYT85" s="1"/>
      <c r="OYU85" s="1"/>
      <c r="OYV85" s="1"/>
      <c r="OYW85" s="1"/>
      <c r="OYX85" s="1"/>
      <c r="OYY85" s="1"/>
      <c r="OYZ85" s="1"/>
      <c r="OZA85" s="1"/>
      <c r="OZB85" s="1"/>
      <c r="OZC85" s="1"/>
      <c r="OZD85" s="1"/>
      <c r="OZE85" s="1"/>
      <c r="OZF85" s="1"/>
      <c r="OZG85" s="1"/>
      <c r="OZH85" s="1"/>
      <c r="OZI85" s="1"/>
      <c r="OZJ85" s="1"/>
      <c r="OZK85" s="1"/>
      <c r="OZL85" s="1"/>
      <c r="OZM85" s="1"/>
      <c r="OZN85" s="1"/>
      <c r="OZO85" s="1"/>
      <c r="OZP85" s="1"/>
      <c r="OZQ85" s="1"/>
      <c r="OZR85" s="1"/>
      <c r="OZS85" s="1"/>
      <c r="OZT85" s="1"/>
      <c r="OZU85" s="1"/>
      <c r="OZV85" s="1"/>
      <c r="OZW85" s="1"/>
      <c r="OZX85" s="1"/>
      <c r="OZY85" s="1"/>
      <c r="OZZ85" s="1"/>
      <c r="PAA85" s="1"/>
      <c r="PAB85" s="1"/>
      <c r="PAC85" s="1"/>
      <c r="PAD85" s="1"/>
      <c r="PAE85" s="1"/>
      <c r="PAF85" s="1"/>
      <c r="PAG85" s="1"/>
      <c r="PAH85" s="1"/>
      <c r="PAI85" s="1"/>
      <c r="PAJ85" s="1"/>
      <c r="PAK85" s="1"/>
      <c r="PAL85" s="1"/>
      <c r="PAM85" s="1"/>
      <c r="PAN85" s="1"/>
      <c r="PAO85" s="1"/>
      <c r="PAP85" s="1"/>
      <c r="PAQ85" s="1"/>
      <c r="PAR85" s="1"/>
      <c r="PAS85" s="1"/>
      <c r="PAT85" s="1"/>
      <c r="PAU85" s="1"/>
      <c r="PAV85" s="1"/>
      <c r="PAW85" s="1"/>
      <c r="PAX85" s="1"/>
      <c r="PAY85" s="1"/>
      <c r="PAZ85" s="1"/>
      <c r="PBA85" s="1"/>
      <c r="PBB85" s="1"/>
      <c r="PBC85" s="1"/>
      <c r="PBD85" s="1"/>
      <c r="PBE85" s="1"/>
      <c r="PBF85" s="1"/>
      <c r="PBG85" s="1"/>
      <c r="PBH85" s="1"/>
      <c r="PBI85" s="1"/>
      <c r="PBJ85" s="1"/>
      <c r="PBK85" s="1"/>
      <c r="PBL85" s="1"/>
      <c r="PBM85" s="1"/>
      <c r="PBN85" s="1"/>
      <c r="PBO85" s="1"/>
      <c r="PBP85" s="1"/>
      <c r="PBQ85" s="1"/>
      <c r="PBR85" s="1"/>
      <c r="PBS85" s="1"/>
      <c r="PBT85" s="1"/>
      <c r="PBU85" s="1"/>
      <c r="PBV85" s="1"/>
      <c r="PBW85" s="1"/>
      <c r="PBX85" s="1"/>
      <c r="PBY85" s="1"/>
      <c r="PBZ85" s="1"/>
      <c r="PCA85" s="1"/>
      <c r="PCB85" s="1"/>
      <c r="PCC85" s="1"/>
      <c r="PCD85" s="1"/>
      <c r="PCE85" s="1"/>
      <c r="PCF85" s="1"/>
      <c r="PCG85" s="1"/>
      <c r="PCH85" s="1"/>
      <c r="PCI85" s="1"/>
      <c r="PCJ85" s="1"/>
      <c r="PCK85" s="1"/>
      <c r="PCL85" s="1"/>
      <c r="PCM85" s="1"/>
      <c r="PCN85" s="1"/>
      <c r="PCO85" s="1"/>
      <c r="PCP85" s="1"/>
      <c r="PCQ85" s="1"/>
      <c r="PCR85" s="1"/>
      <c r="PCS85" s="1"/>
      <c r="PCT85" s="1"/>
      <c r="PCU85" s="1"/>
      <c r="PCV85" s="1"/>
      <c r="PCW85" s="1"/>
      <c r="PCX85" s="1"/>
      <c r="PCY85" s="1"/>
      <c r="PCZ85" s="1"/>
      <c r="PDA85" s="1"/>
      <c r="PDB85" s="1"/>
      <c r="PDC85" s="1"/>
      <c r="PDD85" s="1"/>
      <c r="PDE85" s="1"/>
      <c r="PDF85" s="1"/>
      <c r="PDG85" s="1"/>
      <c r="PDH85" s="1"/>
      <c r="PDI85" s="1"/>
      <c r="PDJ85" s="1"/>
      <c r="PDK85" s="1"/>
      <c r="PDL85" s="1"/>
      <c r="PDM85" s="1"/>
      <c r="PDN85" s="1"/>
      <c r="PDO85" s="1"/>
      <c r="PDP85" s="1"/>
      <c r="PDQ85" s="1"/>
      <c r="PDR85" s="1"/>
      <c r="PDS85" s="1"/>
      <c r="PDT85" s="1"/>
      <c r="PDU85" s="1"/>
      <c r="PDV85" s="1"/>
      <c r="PDW85" s="1"/>
      <c r="PDX85" s="1"/>
      <c r="PDY85" s="1"/>
      <c r="PDZ85" s="1"/>
      <c r="PEA85" s="1"/>
      <c r="PEB85" s="1"/>
      <c r="PEC85" s="1"/>
      <c r="PED85" s="1"/>
      <c r="PEE85" s="1"/>
      <c r="PEF85" s="1"/>
      <c r="PEG85" s="1"/>
      <c r="PEH85" s="1"/>
      <c r="PEI85" s="1"/>
      <c r="PEJ85" s="1"/>
      <c r="PEK85" s="1"/>
      <c r="PEL85" s="1"/>
      <c r="PEM85" s="1"/>
      <c r="PEN85" s="1"/>
      <c r="PEO85" s="1"/>
      <c r="PEP85" s="1"/>
      <c r="PEQ85" s="1"/>
      <c r="PER85" s="1"/>
      <c r="PES85" s="1"/>
      <c r="PET85" s="1"/>
      <c r="PEU85" s="1"/>
      <c r="PEV85" s="1"/>
      <c r="PEW85" s="1"/>
      <c r="PEX85" s="1"/>
      <c r="PEY85" s="1"/>
      <c r="PEZ85" s="1"/>
      <c r="PFA85" s="1"/>
      <c r="PFB85" s="1"/>
      <c r="PFC85" s="1"/>
      <c r="PFD85" s="1"/>
      <c r="PFE85" s="1"/>
      <c r="PFF85" s="1"/>
      <c r="PFG85" s="1"/>
      <c r="PFH85" s="1"/>
      <c r="PFI85" s="1"/>
      <c r="PFJ85" s="1"/>
      <c r="PFK85" s="1"/>
      <c r="PFL85" s="1"/>
      <c r="PFM85" s="1"/>
      <c r="PFN85" s="1"/>
      <c r="PFO85" s="1"/>
      <c r="PFP85" s="1"/>
      <c r="PFQ85" s="1"/>
      <c r="PFR85" s="1"/>
      <c r="PFS85" s="1"/>
      <c r="PFT85" s="1"/>
      <c r="PFU85" s="1"/>
      <c r="PFV85" s="1"/>
      <c r="PFW85" s="1"/>
      <c r="PFX85" s="1"/>
      <c r="PFY85" s="1"/>
      <c r="PFZ85" s="1"/>
      <c r="PGA85" s="1"/>
      <c r="PGB85" s="1"/>
      <c r="PGC85" s="1"/>
      <c r="PGD85" s="1"/>
      <c r="PGE85" s="1"/>
      <c r="PGF85" s="1"/>
      <c r="PGG85" s="1"/>
      <c r="PGH85" s="1"/>
      <c r="PGI85" s="1"/>
      <c r="PGJ85" s="1"/>
      <c r="PGK85" s="1"/>
      <c r="PGL85" s="1"/>
      <c r="PGM85" s="1"/>
      <c r="PGN85" s="1"/>
      <c r="PGO85" s="1"/>
      <c r="PGP85" s="1"/>
      <c r="PGQ85" s="1"/>
      <c r="PGR85" s="1"/>
      <c r="PGS85" s="1"/>
      <c r="PGT85" s="1"/>
      <c r="PGU85" s="1"/>
      <c r="PGV85" s="1"/>
      <c r="PGW85" s="1"/>
      <c r="PGX85" s="1"/>
      <c r="PGY85" s="1"/>
      <c r="PGZ85" s="1"/>
      <c r="PHA85" s="1"/>
      <c r="PHB85" s="1"/>
      <c r="PHC85" s="1"/>
      <c r="PHD85" s="1"/>
      <c r="PHE85" s="1"/>
      <c r="PHF85" s="1"/>
      <c r="PHG85" s="1"/>
      <c r="PHH85" s="1"/>
      <c r="PHI85" s="1"/>
      <c r="PHJ85" s="1"/>
      <c r="PHK85" s="1"/>
      <c r="PHL85" s="1"/>
      <c r="PHM85" s="1"/>
      <c r="PHN85" s="1"/>
      <c r="PHO85" s="1"/>
      <c r="PHP85" s="1"/>
      <c r="PHQ85" s="1"/>
      <c r="PHR85" s="1"/>
      <c r="PHS85" s="1"/>
      <c r="PHT85" s="1"/>
      <c r="PHU85" s="1"/>
      <c r="PHV85" s="1"/>
      <c r="PHW85" s="1"/>
      <c r="PHX85" s="1"/>
      <c r="PHY85" s="1"/>
      <c r="PHZ85" s="1"/>
      <c r="PIA85" s="1"/>
      <c r="PIB85" s="1"/>
      <c r="PIC85" s="1"/>
      <c r="PID85" s="1"/>
      <c r="PIE85" s="1"/>
      <c r="PIF85" s="1"/>
      <c r="PIG85" s="1"/>
      <c r="PIH85" s="1"/>
      <c r="PII85" s="1"/>
      <c r="PIJ85" s="1"/>
      <c r="PIK85" s="1"/>
      <c r="PIL85" s="1"/>
      <c r="PIM85" s="1"/>
      <c r="PIN85" s="1"/>
      <c r="PIO85" s="1"/>
      <c r="PIP85" s="1"/>
      <c r="PIQ85" s="1"/>
      <c r="PIR85" s="1"/>
      <c r="PIS85" s="1"/>
      <c r="PIT85" s="1"/>
      <c r="PIU85" s="1"/>
      <c r="PIV85" s="1"/>
      <c r="PIW85" s="1"/>
      <c r="PIX85" s="1"/>
      <c r="PIY85" s="1"/>
      <c r="PIZ85" s="1"/>
      <c r="PJA85" s="1"/>
      <c r="PJB85" s="1"/>
      <c r="PJC85" s="1"/>
      <c r="PJD85" s="1"/>
      <c r="PJE85" s="1"/>
      <c r="PJF85" s="1"/>
      <c r="PJG85" s="1"/>
      <c r="PJH85" s="1"/>
      <c r="PJI85" s="1"/>
      <c r="PJJ85" s="1"/>
      <c r="PJK85" s="1"/>
      <c r="PJL85" s="1"/>
      <c r="PJM85" s="1"/>
      <c r="PJN85" s="1"/>
      <c r="PJO85" s="1"/>
      <c r="PJP85" s="1"/>
      <c r="PJQ85" s="1"/>
      <c r="PJR85" s="1"/>
      <c r="PJS85" s="1"/>
      <c r="PJT85" s="1"/>
      <c r="PJU85" s="1"/>
      <c r="PJV85" s="1"/>
      <c r="PJW85" s="1"/>
      <c r="PJX85" s="1"/>
      <c r="PJY85" s="1"/>
      <c r="PJZ85" s="1"/>
      <c r="PKA85" s="1"/>
      <c r="PKB85" s="1"/>
      <c r="PKC85" s="1"/>
      <c r="PKD85" s="1"/>
      <c r="PKE85" s="1"/>
      <c r="PKF85" s="1"/>
      <c r="PKG85" s="1"/>
      <c r="PKH85" s="1"/>
      <c r="PKI85" s="1"/>
      <c r="PKJ85" s="1"/>
      <c r="PKK85" s="1"/>
      <c r="PKL85" s="1"/>
      <c r="PKM85" s="1"/>
      <c r="PKN85" s="1"/>
      <c r="PKO85" s="1"/>
      <c r="PKP85" s="1"/>
      <c r="PKQ85" s="1"/>
      <c r="PKR85" s="1"/>
      <c r="PKS85" s="1"/>
      <c r="PKT85" s="1"/>
      <c r="PKU85" s="1"/>
      <c r="PKV85" s="1"/>
      <c r="PKW85" s="1"/>
      <c r="PKX85" s="1"/>
      <c r="PKY85" s="1"/>
      <c r="PKZ85" s="1"/>
      <c r="PLA85" s="1"/>
      <c r="PLB85" s="1"/>
      <c r="PLC85" s="1"/>
      <c r="PLD85" s="1"/>
      <c r="PLE85" s="1"/>
      <c r="PLF85" s="1"/>
      <c r="PLG85" s="1"/>
      <c r="PLH85" s="1"/>
      <c r="PLI85" s="1"/>
      <c r="PLJ85" s="1"/>
      <c r="PLK85" s="1"/>
      <c r="PLL85" s="1"/>
      <c r="PLM85" s="1"/>
      <c r="PLN85" s="1"/>
      <c r="PLO85" s="1"/>
      <c r="PLP85" s="1"/>
      <c r="PLQ85" s="1"/>
      <c r="PLR85" s="1"/>
      <c r="PLS85" s="1"/>
      <c r="PLT85" s="1"/>
      <c r="PLU85" s="1"/>
      <c r="PLV85" s="1"/>
      <c r="PLW85" s="1"/>
      <c r="PLX85" s="1"/>
      <c r="PLY85" s="1"/>
      <c r="PLZ85" s="1"/>
      <c r="PMA85" s="1"/>
      <c r="PMB85" s="1"/>
      <c r="PMC85" s="1"/>
      <c r="PMD85" s="1"/>
      <c r="PME85" s="1"/>
      <c r="PMF85" s="1"/>
      <c r="PMG85" s="1"/>
      <c r="PMH85" s="1"/>
      <c r="PMI85" s="1"/>
      <c r="PMJ85" s="1"/>
      <c r="PMK85" s="1"/>
      <c r="PML85" s="1"/>
      <c r="PMM85" s="1"/>
      <c r="PMN85" s="1"/>
      <c r="PMO85" s="1"/>
      <c r="PMP85" s="1"/>
      <c r="PMQ85" s="1"/>
      <c r="PMR85" s="1"/>
      <c r="PMS85" s="1"/>
      <c r="PMT85" s="1"/>
      <c r="PMU85" s="1"/>
      <c r="PMV85" s="1"/>
      <c r="PMW85" s="1"/>
      <c r="PMX85" s="1"/>
      <c r="PMY85" s="1"/>
      <c r="PMZ85" s="1"/>
      <c r="PNA85" s="1"/>
      <c r="PNB85" s="1"/>
      <c r="PNC85" s="1"/>
      <c r="PND85" s="1"/>
      <c r="PNE85" s="1"/>
      <c r="PNF85" s="1"/>
      <c r="PNG85" s="1"/>
      <c r="PNH85" s="1"/>
      <c r="PNI85" s="1"/>
      <c r="PNJ85" s="1"/>
      <c r="PNK85" s="1"/>
      <c r="PNL85" s="1"/>
      <c r="PNM85" s="1"/>
      <c r="PNN85" s="1"/>
      <c r="PNO85" s="1"/>
      <c r="PNP85" s="1"/>
      <c r="PNQ85" s="1"/>
      <c r="PNR85" s="1"/>
      <c r="PNS85" s="1"/>
      <c r="PNT85" s="1"/>
      <c r="PNU85" s="1"/>
      <c r="PNV85" s="1"/>
      <c r="PNW85" s="1"/>
      <c r="PNX85" s="1"/>
      <c r="PNY85" s="1"/>
      <c r="PNZ85" s="1"/>
      <c r="POA85" s="1"/>
      <c r="POB85" s="1"/>
      <c r="POC85" s="1"/>
      <c r="POD85" s="1"/>
      <c r="POE85" s="1"/>
      <c r="POF85" s="1"/>
      <c r="POG85" s="1"/>
      <c r="POH85" s="1"/>
      <c r="POI85" s="1"/>
      <c r="POJ85" s="1"/>
      <c r="POK85" s="1"/>
      <c r="POL85" s="1"/>
      <c r="POM85" s="1"/>
      <c r="PON85" s="1"/>
      <c r="POO85" s="1"/>
      <c r="POP85" s="1"/>
      <c r="POQ85" s="1"/>
      <c r="POR85" s="1"/>
      <c r="POS85" s="1"/>
      <c r="POT85" s="1"/>
      <c r="POU85" s="1"/>
      <c r="POV85" s="1"/>
      <c r="POW85" s="1"/>
      <c r="POX85" s="1"/>
      <c r="POY85" s="1"/>
      <c r="POZ85" s="1"/>
      <c r="PPA85" s="1"/>
      <c r="PPB85" s="1"/>
      <c r="PPC85" s="1"/>
      <c r="PPD85" s="1"/>
      <c r="PPE85" s="1"/>
      <c r="PPF85" s="1"/>
      <c r="PPG85" s="1"/>
      <c r="PPH85" s="1"/>
      <c r="PPI85" s="1"/>
      <c r="PPJ85" s="1"/>
      <c r="PPK85" s="1"/>
      <c r="PPL85" s="1"/>
      <c r="PPM85" s="1"/>
      <c r="PPN85" s="1"/>
      <c r="PPO85" s="1"/>
      <c r="PPP85" s="1"/>
      <c r="PPQ85" s="1"/>
      <c r="PPR85" s="1"/>
      <c r="PPS85" s="1"/>
      <c r="PPT85" s="1"/>
      <c r="PPU85" s="1"/>
      <c r="PPV85" s="1"/>
      <c r="PPW85" s="1"/>
      <c r="PPX85" s="1"/>
      <c r="PPY85" s="1"/>
      <c r="PPZ85" s="1"/>
      <c r="PQA85" s="1"/>
      <c r="PQB85" s="1"/>
      <c r="PQC85" s="1"/>
      <c r="PQD85" s="1"/>
      <c r="PQE85" s="1"/>
      <c r="PQF85" s="1"/>
      <c r="PQG85" s="1"/>
      <c r="PQH85" s="1"/>
      <c r="PQI85" s="1"/>
      <c r="PQJ85" s="1"/>
      <c r="PQK85" s="1"/>
      <c r="PQL85" s="1"/>
      <c r="PQM85" s="1"/>
      <c r="PQN85" s="1"/>
      <c r="PQO85" s="1"/>
      <c r="PQP85" s="1"/>
      <c r="PQQ85" s="1"/>
      <c r="PQR85" s="1"/>
      <c r="PQS85" s="1"/>
      <c r="PQT85" s="1"/>
      <c r="PQU85" s="1"/>
      <c r="PQV85" s="1"/>
      <c r="PQW85" s="1"/>
      <c r="PQX85" s="1"/>
      <c r="PQY85" s="1"/>
      <c r="PQZ85" s="1"/>
      <c r="PRA85" s="1"/>
      <c r="PRB85" s="1"/>
      <c r="PRC85" s="1"/>
      <c r="PRD85" s="1"/>
      <c r="PRE85" s="1"/>
      <c r="PRF85" s="1"/>
      <c r="PRG85" s="1"/>
      <c r="PRH85" s="1"/>
      <c r="PRI85" s="1"/>
      <c r="PRJ85" s="1"/>
      <c r="PRK85" s="1"/>
      <c r="PRL85" s="1"/>
      <c r="PRM85" s="1"/>
      <c r="PRN85" s="1"/>
      <c r="PRO85" s="1"/>
      <c r="PRP85" s="1"/>
      <c r="PRQ85" s="1"/>
      <c r="PRR85" s="1"/>
      <c r="PRS85" s="1"/>
      <c r="PRT85" s="1"/>
      <c r="PRU85" s="1"/>
      <c r="PRV85" s="1"/>
      <c r="PRW85" s="1"/>
      <c r="PRX85" s="1"/>
      <c r="PRY85" s="1"/>
      <c r="PRZ85" s="1"/>
      <c r="PSA85" s="1"/>
      <c r="PSB85" s="1"/>
      <c r="PSC85" s="1"/>
      <c r="PSD85" s="1"/>
      <c r="PSE85" s="1"/>
      <c r="PSF85" s="1"/>
      <c r="PSG85" s="1"/>
      <c r="PSH85" s="1"/>
      <c r="PSI85" s="1"/>
      <c r="PSJ85" s="1"/>
      <c r="PSK85" s="1"/>
      <c r="PSL85" s="1"/>
      <c r="PSM85" s="1"/>
      <c r="PSN85" s="1"/>
      <c r="PSO85" s="1"/>
      <c r="PSP85" s="1"/>
      <c r="PSQ85" s="1"/>
      <c r="PSR85" s="1"/>
      <c r="PSS85" s="1"/>
      <c r="PST85" s="1"/>
      <c r="PSU85" s="1"/>
      <c r="PSV85" s="1"/>
      <c r="PSW85" s="1"/>
      <c r="PSX85" s="1"/>
      <c r="PSY85" s="1"/>
      <c r="PSZ85" s="1"/>
      <c r="PTA85" s="1"/>
      <c r="PTB85" s="1"/>
      <c r="PTC85" s="1"/>
      <c r="PTD85" s="1"/>
      <c r="PTE85" s="1"/>
      <c r="PTF85" s="1"/>
      <c r="PTG85" s="1"/>
      <c r="PTH85" s="1"/>
      <c r="PTI85" s="1"/>
      <c r="PTJ85" s="1"/>
      <c r="PTK85" s="1"/>
      <c r="PTL85" s="1"/>
      <c r="PTM85" s="1"/>
      <c r="PTN85" s="1"/>
      <c r="PTO85" s="1"/>
      <c r="PTP85" s="1"/>
      <c r="PTQ85" s="1"/>
      <c r="PTR85" s="1"/>
      <c r="PTS85" s="1"/>
      <c r="PTT85" s="1"/>
      <c r="PTU85" s="1"/>
      <c r="PTV85" s="1"/>
      <c r="PTW85" s="1"/>
      <c r="PTX85" s="1"/>
      <c r="PTY85" s="1"/>
      <c r="PTZ85" s="1"/>
      <c r="PUA85" s="1"/>
      <c r="PUB85" s="1"/>
      <c r="PUC85" s="1"/>
      <c r="PUD85" s="1"/>
      <c r="PUE85" s="1"/>
      <c r="PUF85" s="1"/>
      <c r="PUG85" s="1"/>
      <c r="PUH85" s="1"/>
      <c r="PUI85" s="1"/>
      <c r="PUJ85" s="1"/>
      <c r="PUK85" s="1"/>
      <c r="PUL85" s="1"/>
      <c r="PUM85" s="1"/>
      <c r="PUN85" s="1"/>
      <c r="PUO85" s="1"/>
      <c r="PUP85" s="1"/>
      <c r="PUQ85" s="1"/>
      <c r="PUR85" s="1"/>
      <c r="PUS85" s="1"/>
      <c r="PUT85" s="1"/>
      <c r="PUU85" s="1"/>
      <c r="PUV85" s="1"/>
      <c r="PUW85" s="1"/>
      <c r="PUX85" s="1"/>
      <c r="PUY85" s="1"/>
      <c r="PUZ85" s="1"/>
      <c r="PVA85" s="1"/>
      <c r="PVB85" s="1"/>
      <c r="PVC85" s="1"/>
      <c r="PVD85" s="1"/>
      <c r="PVE85" s="1"/>
      <c r="PVF85" s="1"/>
      <c r="PVG85" s="1"/>
      <c r="PVH85" s="1"/>
      <c r="PVI85" s="1"/>
      <c r="PVJ85" s="1"/>
      <c r="PVK85" s="1"/>
      <c r="PVL85" s="1"/>
      <c r="PVM85" s="1"/>
      <c r="PVN85" s="1"/>
      <c r="PVO85" s="1"/>
      <c r="PVP85" s="1"/>
      <c r="PVQ85" s="1"/>
      <c r="PVR85" s="1"/>
      <c r="PVS85" s="1"/>
      <c r="PVT85" s="1"/>
      <c r="PVU85" s="1"/>
      <c r="PVV85" s="1"/>
      <c r="PVW85" s="1"/>
      <c r="PVX85" s="1"/>
      <c r="PVY85" s="1"/>
      <c r="PVZ85" s="1"/>
      <c r="PWA85" s="1"/>
      <c r="PWB85" s="1"/>
      <c r="PWC85" s="1"/>
      <c r="PWD85" s="1"/>
      <c r="PWE85" s="1"/>
      <c r="PWF85" s="1"/>
      <c r="PWG85" s="1"/>
      <c r="PWH85" s="1"/>
      <c r="PWI85" s="1"/>
      <c r="PWJ85" s="1"/>
      <c r="PWK85" s="1"/>
      <c r="PWL85" s="1"/>
      <c r="PWM85" s="1"/>
      <c r="PWN85" s="1"/>
      <c r="PWO85" s="1"/>
      <c r="PWP85" s="1"/>
      <c r="PWQ85" s="1"/>
      <c r="PWR85" s="1"/>
      <c r="PWS85" s="1"/>
      <c r="PWT85" s="1"/>
      <c r="PWU85" s="1"/>
      <c r="PWV85" s="1"/>
      <c r="PWW85" s="1"/>
      <c r="PWX85" s="1"/>
      <c r="PWY85" s="1"/>
      <c r="PWZ85" s="1"/>
      <c r="PXA85" s="1"/>
      <c r="PXB85" s="1"/>
      <c r="PXC85" s="1"/>
      <c r="PXD85" s="1"/>
      <c r="PXE85" s="1"/>
      <c r="PXF85" s="1"/>
      <c r="PXG85" s="1"/>
      <c r="PXH85" s="1"/>
      <c r="PXI85" s="1"/>
      <c r="PXJ85" s="1"/>
      <c r="PXK85" s="1"/>
      <c r="PXL85" s="1"/>
      <c r="PXM85" s="1"/>
      <c r="PXN85" s="1"/>
      <c r="PXO85" s="1"/>
      <c r="PXP85" s="1"/>
      <c r="PXQ85" s="1"/>
      <c r="PXR85" s="1"/>
      <c r="PXS85" s="1"/>
      <c r="PXT85" s="1"/>
      <c r="PXU85" s="1"/>
      <c r="PXV85" s="1"/>
      <c r="PXW85" s="1"/>
      <c r="PXX85" s="1"/>
      <c r="PXY85" s="1"/>
      <c r="PXZ85" s="1"/>
      <c r="PYA85" s="1"/>
      <c r="PYB85" s="1"/>
      <c r="PYC85" s="1"/>
      <c r="PYD85" s="1"/>
      <c r="PYE85" s="1"/>
      <c r="PYF85" s="1"/>
      <c r="PYG85" s="1"/>
      <c r="PYH85" s="1"/>
      <c r="PYI85" s="1"/>
      <c r="PYJ85" s="1"/>
      <c r="PYK85" s="1"/>
      <c r="PYL85" s="1"/>
      <c r="PYM85" s="1"/>
      <c r="PYN85" s="1"/>
      <c r="PYO85" s="1"/>
      <c r="PYP85" s="1"/>
      <c r="PYQ85" s="1"/>
      <c r="PYR85" s="1"/>
      <c r="PYS85" s="1"/>
      <c r="PYT85" s="1"/>
      <c r="PYU85" s="1"/>
      <c r="PYV85" s="1"/>
      <c r="PYW85" s="1"/>
      <c r="PYX85" s="1"/>
      <c r="PYY85" s="1"/>
      <c r="PYZ85" s="1"/>
      <c r="PZA85" s="1"/>
      <c r="PZB85" s="1"/>
      <c r="PZC85" s="1"/>
      <c r="PZD85" s="1"/>
      <c r="PZE85" s="1"/>
      <c r="PZF85" s="1"/>
      <c r="PZG85" s="1"/>
      <c r="PZH85" s="1"/>
      <c r="PZI85" s="1"/>
      <c r="PZJ85" s="1"/>
      <c r="PZK85" s="1"/>
      <c r="PZL85" s="1"/>
      <c r="PZM85" s="1"/>
      <c r="PZN85" s="1"/>
      <c r="PZO85" s="1"/>
      <c r="PZP85" s="1"/>
      <c r="PZQ85" s="1"/>
      <c r="PZR85" s="1"/>
      <c r="PZS85" s="1"/>
      <c r="PZT85" s="1"/>
      <c r="PZU85" s="1"/>
      <c r="PZV85" s="1"/>
      <c r="PZW85" s="1"/>
      <c r="PZX85" s="1"/>
      <c r="PZY85" s="1"/>
      <c r="PZZ85" s="1"/>
      <c r="QAA85" s="1"/>
      <c r="QAB85" s="1"/>
      <c r="QAC85" s="1"/>
      <c r="QAD85" s="1"/>
      <c r="QAE85" s="1"/>
      <c r="QAF85" s="1"/>
      <c r="QAG85" s="1"/>
      <c r="QAH85" s="1"/>
      <c r="QAI85" s="1"/>
      <c r="QAJ85" s="1"/>
      <c r="QAK85" s="1"/>
      <c r="QAL85" s="1"/>
      <c r="QAM85" s="1"/>
      <c r="QAN85" s="1"/>
      <c r="QAO85" s="1"/>
      <c r="QAP85" s="1"/>
      <c r="QAQ85" s="1"/>
      <c r="QAR85" s="1"/>
      <c r="QAS85" s="1"/>
      <c r="QAT85" s="1"/>
      <c r="QAU85" s="1"/>
      <c r="QAV85" s="1"/>
      <c r="QAW85" s="1"/>
      <c r="QAX85" s="1"/>
      <c r="QAY85" s="1"/>
      <c r="QAZ85" s="1"/>
      <c r="QBA85" s="1"/>
      <c r="QBB85" s="1"/>
      <c r="QBC85" s="1"/>
      <c r="QBD85" s="1"/>
      <c r="QBE85" s="1"/>
      <c r="QBF85" s="1"/>
      <c r="QBG85" s="1"/>
      <c r="QBH85" s="1"/>
      <c r="QBI85" s="1"/>
      <c r="QBJ85" s="1"/>
      <c r="QBK85" s="1"/>
      <c r="QBL85" s="1"/>
      <c r="QBM85" s="1"/>
      <c r="QBN85" s="1"/>
      <c r="QBO85" s="1"/>
      <c r="QBP85" s="1"/>
      <c r="QBQ85" s="1"/>
      <c r="QBR85" s="1"/>
      <c r="QBS85" s="1"/>
      <c r="QBT85" s="1"/>
      <c r="QBU85" s="1"/>
      <c r="QBV85" s="1"/>
      <c r="QBW85" s="1"/>
      <c r="QBX85" s="1"/>
      <c r="QBY85" s="1"/>
      <c r="QBZ85" s="1"/>
      <c r="QCA85" s="1"/>
      <c r="QCB85" s="1"/>
      <c r="QCC85" s="1"/>
      <c r="QCD85" s="1"/>
      <c r="QCE85" s="1"/>
      <c r="QCF85" s="1"/>
      <c r="QCG85" s="1"/>
      <c r="QCH85" s="1"/>
      <c r="QCI85" s="1"/>
      <c r="QCJ85" s="1"/>
      <c r="QCK85" s="1"/>
      <c r="QCL85" s="1"/>
      <c r="QCM85" s="1"/>
      <c r="QCN85" s="1"/>
      <c r="QCO85" s="1"/>
      <c r="QCP85" s="1"/>
      <c r="QCQ85" s="1"/>
      <c r="QCR85" s="1"/>
      <c r="QCS85" s="1"/>
      <c r="QCT85" s="1"/>
      <c r="QCU85" s="1"/>
      <c r="QCV85" s="1"/>
      <c r="QCW85" s="1"/>
      <c r="QCX85" s="1"/>
      <c r="QCY85" s="1"/>
      <c r="QCZ85" s="1"/>
      <c r="QDA85" s="1"/>
      <c r="QDB85" s="1"/>
      <c r="QDC85" s="1"/>
      <c r="QDD85" s="1"/>
      <c r="QDE85" s="1"/>
      <c r="QDF85" s="1"/>
      <c r="QDG85" s="1"/>
      <c r="QDH85" s="1"/>
      <c r="QDI85" s="1"/>
      <c r="QDJ85" s="1"/>
      <c r="QDK85" s="1"/>
      <c r="QDL85" s="1"/>
      <c r="QDM85" s="1"/>
      <c r="QDN85" s="1"/>
      <c r="QDO85" s="1"/>
      <c r="QDP85" s="1"/>
      <c r="QDQ85" s="1"/>
      <c r="QDR85" s="1"/>
      <c r="QDS85" s="1"/>
      <c r="QDT85" s="1"/>
      <c r="QDU85" s="1"/>
      <c r="QDV85" s="1"/>
      <c r="QDW85" s="1"/>
      <c r="QDX85" s="1"/>
      <c r="QDY85" s="1"/>
      <c r="QDZ85" s="1"/>
      <c r="QEA85" s="1"/>
      <c r="QEB85" s="1"/>
      <c r="QEC85" s="1"/>
      <c r="QED85" s="1"/>
      <c r="QEE85" s="1"/>
      <c r="QEF85" s="1"/>
      <c r="QEG85" s="1"/>
      <c r="QEH85" s="1"/>
      <c r="QEI85" s="1"/>
      <c r="QEJ85" s="1"/>
      <c r="QEK85" s="1"/>
      <c r="QEL85" s="1"/>
      <c r="QEM85" s="1"/>
      <c r="QEN85" s="1"/>
      <c r="QEO85" s="1"/>
      <c r="QEP85" s="1"/>
      <c r="QEQ85" s="1"/>
      <c r="QER85" s="1"/>
      <c r="QES85" s="1"/>
      <c r="QET85" s="1"/>
      <c r="QEU85" s="1"/>
      <c r="QEV85" s="1"/>
      <c r="QEW85" s="1"/>
      <c r="QEX85" s="1"/>
      <c r="QEY85" s="1"/>
      <c r="QEZ85" s="1"/>
      <c r="QFA85" s="1"/>
      <c r="QFB85" s="1"/>
      <c r="QFC85" s="1"/>
      <c r="QFD85" s="1"/>
      <c r="QFE85" s="1"/>
      <c r="QFF85" s="1"/>
      <c r="QFG85" s="1"/>
      <c r="QFH85" s="1"/>
      <c r="QFI85" s="1"/>
      <c r="QFJ85" s="1"/>
      <c r="QFK85" s="1"/>
      <c r="QFL85" s="1"/>
      <c r="QFM85" s="1"/>
      <c r="QFN85" s="1"/>
      <c r="QFO85" s="1"/>
      <c r="QFP85" s="1"/>
      <c r="QFQ85" s="1"/>
      <c r="QFR85" s="1"/>
      <c r="QFS85" s="1"/>
      <c r="QFT85" s="1"/>
      <c r="QFU85" s="1"/>
      <c r="QFV85" s="1"/>
      <c r="QFW85" s="1"/>
      <c r="QFX85" s="1"/>
      <c r="QFY85" s="1"/>
      <c r="QFZ85" s="1"/>
      <c r="QGA85" s="1"/>
      <c r="QGB85" s="1"/>
      <c r="QGC85" s="1"/>
      <c r="QGD85" s="1"/>
      <c r="QGE85" s="1"/>
      <c r="QGF85" s="1"/>
      <c r="QGG85" s="1"/>
      <c r="QGH85" s="1"/>
      <c r="QGI85" s="1"/>
      <c r="QGJ85" s="1"/>
      <c r="QGK85" s="1"/>
      <c r="QGL85" s="1"/>
      <c r="QGM85" s="1"/>
      <c r="QGN85" s="1"/>
      <c r="QGO85" s="1"/>
      <c r="QGP85" s="1"/>
      <c r="QGQ85" s="1"/>
      <c r="QGR85" s="1"/>
      <c r="QGS85" s="1"/>
      <c r="QGT85" s="1"/>
      <c r="QGU85" s="1"/>
      <c r="QGV85" s="1"/>
      <c r="QGW85" s="1"/>
      <c r="QGX85" s="1"/>
      <c r="QGY85" s="1"/>
      <c r="QGZ85" s="1"/>
      <c r="QHA85" s="1"/>
      <c r="QHB85" s="1"/>
      <c r="QHC85" s="1"/>
      <c r="QHD85" s="1"/>
      <c r="QHE85" s="1"/>
      <c r="QHF85" s="1"/>
      <c r="QHG85" s="1"/>
      <c r="QHH85" s="1"/>
      <c r="QHI85" s="1"/>
      <c r="QHJ85" s="1"/>
      <c r="QHK85" s="1"/>
      <c r="QHL85" s="1"/>
      <c r="QHM85" s="1"/>
      <c r="QHN85" s="1"/>
      <c r="QHO85" s="1"/>
      <c r="QHP85" s="1"/>
      <c r="QHQ85" s="1"/>
      <c r="QHR85" s="1"/>
      <c r="QHS85" s="1"/>
      <c r="QHT85" s="1"/>
      <c r="QHU85" s="1"/>
      <c r="QHV85" s="1"/>
      <c r="QHW85" s="1"/>
      <c r="QHX85" s="1"/>
      <c r="QHY85" s="1"/>
      <c r="QHZ85" s="1"/>
      <c r="QIA85" s="1"/>
      <c r="QIB85" s="1"/>
      <c r="QIC85" s="1"/>
      <c r="QID85" s="1"/>
      <c r="QIE85" s="1"/>
      <c r="QIF85" s="1"/>
      <c r="QIG85" s="1"/>
      <c r="QIH85" s="1"/>
      <c r="QII85" s="1"/>
      <c r="QIJ85" s="1"/>
      <c r="QIK85" s="1"/>
      <c r="QIL85" s="1"/>
      <c r="QIM85" s="1"/>
      <c r="QIN85" s="1"/>
      <c r="QIO85" s="1"/>
      <c r="QIP85" s="1"/>
      <c r="QIQ85" s="1"/>
      <c r="QIR85" s="1"/>
      <c r="QIS85" s="1"/>
      <c r="QIT85" s="1"/>
      <c r="QIU85" s="1"/>
      <c r="QIV85" s="1"/>
      <c r="QIW85" s="1"/>
      <c r="QIX85" s="1"/>
      <c r="QIY85" s="1"/>
      <c r="QIZ85" s="1"/>
      <c r="QJA85" s="1"/>
      <c r="QJB85" s="1"/>
      <c r="QJC85" s="1"/>
      <c r="QJD85" s="1"/>
      <c r="QJE85" s="1"/>
      <c r="QJF85" s="1"/>
      <c r="QJG85" s="1"/>
      <c r="QJH85" s="1"/>
      <c r="QJI85" s="1"/>
      <c r="QJJ85" s="1"/>
      <c r="QJK85" s="1"/>
      <c r="QJL85" s="1"/>
      <c r="QJM85" s="1"/>
      <c r="QJN85" s="1"/>
      <c r="QJO85" s="1"/>
      <c r="QJP85" s="1"/>
      <c r="QJQ85" s="1"/>
      <c r="QJR85" s="1"/>
      <c r="QJS85" s="1"/>
      <c r="QJT85" s="1"/>
      <c r="QJU85" s="1"/>
      <c r="QJV85" s="1"/>
      <c r="QJW85" s="1"/>
      <c r="QJX85" s="1"/>
      <c r="QJY85" s="1"/>
      <c r="QJZ85" s="1"/>
      <c r="QKA85" s="1"/>
      <c r="QKB85" s="1"/>
      <c r="QKC85" s="1"/>
      <c r="QKD85" s="1"/>
      <c r="QKE85" s="1"/>
      <c r="QKF85" s="1"/>
      <c r="QKG85" s="1"/>
      <c r="QKH85" s="1"/>
      <c r="QKI85" s="1"/>
      <c r="QKJ85" s="1"/>
      <c r="QKK85" s="1"/>
      <c r="QKL85" s="1"/>
      <c r="QKM85" s="1"/>
      <c r="QKN85" s="1"/>
      <c r="QKO85" s="1"/>
      <c r="QKP85" s="1"/>
      <c r="QKQ85" s="1"/>
      <c r="QKR85" s="1"/>
      <c r="QKS85" s="1"/>
      <c r="QKT85" s="1"/>
      <c r="QKU85" s="1"/>
      <c r="QKV85" s="1"/>
      <c r="QKW85" s="1"/>
      <c r="QKX85" s="1"/>
      <c r="QKY85" s="1"/>
      <c r="QKZ85" s="1"/>
      <c r="QLA85" s="1"/>
      <c r="QLB85" s="1"/>
      <c r="QLC85" s="1"/>
      <c r="QLD85" s="1"/>
      <c r="QLE85" s="1"/>
      <c r="QLF85" s="1"/>
      <c r="QLG85" s="1"/>
      <c r="QLH85" s="1"/>
      <c r="QLI85" s="1"/>
      <c r="QLJ85" s="1"/>
      <c r="QLK85" s="1"/>
      <c r="QLL85" s="1"/>
      <c r="QLM85" s="1"/>
      <c r="QLN85" s="1"/>
      <c r="QLO85" s="1"/>
      <c r="QLP85" s="1"/>
      <c r="QLQ85" s="1"/>
      <c r="QLR85" s="1"/>
      <c r="QLS85" s="1"/>
      <c r="QLT85" s="1"/>
      <c r="QLU85" s="1"/>
      <c r="QLV85" s="1"/>
      <c r="QLW85" s="1"/>
      <c r="QLX85" s="1"/>
      <c r="QLY85" s="1"/>
      <c r="QLZ85" s="1"/>
      <c r="QMA85" s="1"/>
      <c r="QMB85" s="1"/>
      <c r="QMC85" s="1"/>
      <c r="QMD85" s="1"/>
      <c r="QME85" s="1"/>
      <c r="QMF85" s="1"/>
      <c r="QMG85" s="1"/>
      <c r="QMH85" s="1"/>
      <c r="QMI85" s="1"/>
      <c r="QMJ85" s="1"/>
      <c r="QMK85" s="1"/>
      <c r="QML85" s="1"/>
      <c r="QMM85" s="1"/>
      <c r="QMN85" s="1"/>
      <c r="QMO85" s="1"/>
      <c r="QMP85" s="1"/>
      <c r="QMQ85" s="1"/>
      <c r="QMR85" s="1"/>
      <c r="QMS85" s="1"/>
      <c r="QMT85" s="1"/>
      <c r="QMU85" s="1"/>
      <c r="QMV85" s="1"/>
      <c r="QMW85" s="1"/>
      <c r="QMX85" s="1"/>
      <c r="QMY85" s="1"/>
      <c r="QMZ85" s="1"/>
      <c r="QNA85" s="1"/>
      <c r="QNB85" s="1"/>
      <c r="QNC85" s="1"/>
      <c r="QND85" s="1"/>
      <c r="QNE85" s="1"/>
      <c r="QNF85" s="1"/>
      <c r="QNG85" s="1"/>
      <c r="QNH85" s="1"/>
      <c r="QNI85" s="1"/>
      <c r="QNJ85" s="1"/>
      <c r="QNK85" s="1"/>
      <c r="QNL85" s="1"/>
      <c r="QNM85" s="1"/>
      <c r="QNN85" s="1"/>
      <c r="QNO85" s="1"/>
      <c r="QNP85" s="1"/>
      <c r="QNQ85" s="1"/>
      <c r="QNR85" s="1"/>
      <c r="QNS85" s="1"/>
      <c r="QNT85" s="1"/>
      <c r="QNU85" s="1"/>
      <c r="QNV85" s="1"/>
      <c r="QNW85" s="1"/>
      <c r="QNX85" s="1"/>
      <c r="QNY85" s="1"/>
      <c r="QNZ85" s="1"/>
      <c r="QOA85" s="1"/>
      <c r="QOB85" s="1"/>
      <c r="QOC85" s="1"/>
      <c r="QOD85" s="1"/>
      <c r="QOE85" s="1"/>
      <c r="QOF85" s="1"/>
      <c r="QOG85" s="1"/>
      <c r="QOH85" s="1"/>
      <c r="QOI85" s="1"/>
      <c r="QOJ85" s="1"/>
      <c r="QOK85" s="1"/>
      <c r="QOL85" s="1"/>
      <c r="QOM85" s="1"/>
      <c r="QON85" s="1"/>
      <c r="QOO85" s="1"/>
      <c r="QOP85" s="1"/>
      <c r="QOQ85" s="1"/>
      <c r="QOR85" s="1"/>
      <c r="QOS85" s="1"/>
      <c r="QOT85" s="1"/>
      <c r="QOU85" s="1"/>
      <c r="QOV85" s="1"/>
      <c r="QOW85" s="1"/>
      <c r="QOX85" s="1"/>
      <c r="QOY85" s="1"/>
      <c r="QOZ85" s="1"/>
      <c r="QPA85" s="1"/>
      <c r="QPB85" s="1"/>
      <c r="QPC85" s="1"/>
      <c r="QPD85" s="1"/>
      <c r="QPE85" s="1"/>
      <c r="QPF85" s="1"/>
      <c r="QPG85" s="1"/>
      <c r="QPH85" s="1"/>
      <c r="QPI85" s="1"/>
      <c r="QPJ85" s="1"/>
      <c r="QPK85" s="1"/>
      <c r="QPL85" s="1"/>
      <c r="QPM85" s="1"/>
      <c r="QPN85" s="1"/>
      <c r="QPO85" s="1"/>
      <c r="QPP85" s="1"/>
      <c r="QPQ85" s="1"/>
      <c r="QPR85" s="1"/>
      <c r="QPS85" s="1"/>
      <c r="QPT85" s="1"/>
      <c r="QPU85" s="1"/>
      <c r="QPV85" s="1"/>
      <c r="QPW85" s="1"/>
      <c r="QPX85" s="1"/>
      <c r="QPY85" s="1"/>
      <c r="QPZ85" s="1"/>
      <c r="QQA85" s="1"/>
      <c r="QQB85" s="1"/>
      <c r="QQC85" s="1"/>
      <c r="QQD85" s="1"/>
      <c r="QQE85" s="1"/>
      <c r="QQF85" s="1"/>
      <c r="QQG85" s="1"/>
      <c r="QQH85" s="1"/>
      <c r="QQI85" s="1"/>
      <c r="QQJ85" s="1"/>
      <c r="QQK85" s="1"/>
      <c r="QQL85" s="1"/>
      <c r="QQM85" s="1"/>
      <c r="QQN85" s="1"/>
      <c r="QQO85" s="1"/>
      <c r="QQP85" s="1"/>
      <c r="QQQ85" s="1"/>
      <c r="QQR85" s="1"/>
      <c r="QQS85" s="1"/>
      <c r="QQT85" s="1"/>
      <c r="QQU85" s="1"/>
      <c r="QQV85" s="1"/>
      <c r="QQW85" s="1"/>
      <c r="QQX85" s="1"/>
      <c r="QQY85" s="1"/>
      <c r="QQZ85" s="1"/>
      <c r="QRA85" s="1"/>
      <c r="QRB85" s="1"/>
      <c r="QRC85" s="1"/>
      <c r="QRD85" s="1"/>
      <c r="QRE85" s="1"/>
      <c r="QRF85" s="1"/>
      <c r="QRG85" s="1"/>
      <c r="QRH85" s="1"/>
      <c r="QRI85" s="1"/>
      <c r="QRJ85" s="1"/>
      <c r="QRK85" s="1"/>
      <c r="QRL85" s="1"/>
      <c r="QRM85" s="1"/>
      <c r="QRN85" s="1"/>
      <c r="QRO85" s="1"/>
      <c r="QRP85" s="1"/>
      <c r="QRQ85" s="1"/>
      <c r="QRR85" s="1"/>
      <c r="QRS85" s="1"/>
      <c r="QRT85" s="1"/>
      <c r="QRU85" s="1"/>
      <c r="QRV85" s="1"/>
      <c r="QRW85" s="1"/>
      <c r="QRX85" s="1"/>
      <c r="QRY85" s="1"/>
      <c r="QRZ85" s="1"/>
      <c r="QSA85" s="1"/>
      <c r="QSB85" s="1"/>
      <c r="QSC85" s="1"/>
      <c r="QSD85" s="1"/>
      <c r="QSE85" s="1"/>
      <c r="QSF85" s="1"/>
      <c r="QSG85" s="1"/>
      <c r="QSH85" s="1"/>
      <c r="QSI85" s="1"/>
      <c r="QSJ85" s="1"/>
      <c r="QSK85" s="1"/>
      <c r="QSL85" s="1"/>
      <c r="QSM85" s="1"/>
      <c r="QSN85" s="1"/>
      <c r="QSO85" s="1"/>
      <c r="QSP85" s="1"/>
      <c r="QSQ85" s="1"/>
      <c r="QSR85" s="1"/>
      <c r="QSS85" s="1"/>
      <c r="QST85" s="1"/>
      <c r="QSU85" s="1"/>
      <c r="QSV85" s="1"/>
      <c r="QSW85" s="1"/>
      <c r="QSX85" s="1"/>
      <c r="QSY85" s="1"/>
      <c r="QSZ85" s="1"/>
      <c r="QTA85" s="1"/>
      <c r="QTB85" s="1"/>
      <c r="QTC85" s="1"/>
      <c r="QTD85" s="1"/>
      <c r="QTE85" s="1"/>
      <c r="QTF85" s="1"/>
      <c r="QTG85" s="1"/>
      <c r="QTH85" s="1"/>
      <c r="QTI85" s="1"/>
      <c r="QTJ85" s="1"/>
      <c r="QTK85" s="1"/>
      <c r="QTL85" s="1"/>
      <c r="QTM85" s="1"/>
      <c r="QTN85" s="1"/>
      <c r="QTO85" s="1"/>
      <c r="QTP85" s="1"/>
      <c r="QTQ85" s="1"/>
      <c r="QTR85" s="1"/>
      <c r="QTS85" s="1"/>
      <c r="QTT85" s="1"/>
      <c r="QTU85" s="1"/>
      <c r="QTV85" s="1"/>
      <c r="QTW85" s="1"/>
      <c r="QTX85" s="1"/>
      <c r="QTY85" s="1"/>
      <c r="QTZ85" s="1"/>
      <c r="QUA85" s="1"/>
      <c r="QUB85" s="1"/>
      <c r="QUC85" s="1"/>
      <c r="QUD85" s="1"/>
      <c r="QUE85" s="1"/>
      <c r="QUF85" s="1"/>
      <c r="QUG85" s="1"/>
      <c r="QUH85" s="1"/>
      <c r="QUI85" s="1"/>
      <c r="QUJ85" s="1"/>
      <c r="QUK85" s="1"/>
      <c r="QUL85" s="1"/>
      <c r="QUM85" s="1"/>
      <c r="QUN85" s="1"/>
      <c r="QUO85" s="1"/>
      <c r="QUP85" s="1"/>
      <c r="QUQ85" s="1"/>
      <c r="QUR85" s="1"/>
      <c r="QUS85" s="1"/>
      <c r="QUT85" s="1"/>
      <c r="QUU85" s="1"/>
      <c r="QUV85" s="1"/>
      <c r="QUW85" s="1"/>
      <c r="QUX85" s="1"/>
      <c r="QUY85" s="1"/>
      <c r="QUZ85" s="1"/>
      <c r="QVA85" s="1"/>
      <c r="QVB85" s="1"/>
      <c r="QVC85" s="1"/>
      <c r="QVD85" s="1"/>
      <c r="QVE85" s="1"/>
      <c r="QVF85" s="1"/>
      <c r="QVG85" s="1"/>
      <c r="QVH85" s="1"/>
      <c r="QVI85" s="1"/>
      <c r="QVJ85" s="1"/>
      <c r="QVK85" s="1"/>
      <c r="QVL85" s="1"/>
      <c r="QVM85" s="1"/>
      <c r="QVN85" s="1"/>
      <c r="QVO85" s="1"/>
      <c r="QVP85" s="1"/>
      <c r="QVQ85" s="1"/>
      <c r="QVR85" s="1"/>
      <c r="QVS85" s="1"/>
      <c r="QVT85" s="1"/>
      <c r="QVU85" s="1"/>
      <c r="QVV85" s="1"/>
      <c r="QVW85" s="1"/>
      <c r="QVX85" s="1"/>
      <c r="QVY85" s="1"/>
      <c r="QVZ85" s="1"/>
      <c r="QWA85" s="1"/>
      <c r="QWB85" s="1"/>
      <c r="QWC85" s="1"/>
      <c r="QWD85" s="1"/>
      <c r="QWE85" s="1"/>
      <c r="QWF85" s="1"/>
      <c r="QWG85" s="1"/>
      <c r="QWH85" s="1"/>
      <c r="QWI85" s="1"/>
      <c r="QWJ85" s="1"/>
      <c r="QWK85" s="1"/>
      <c r="QWL85" s="1"/>
      <c r="QWM85" s="1"/>
      <c r="QWN85" s="1"/>
      <c r="QWO85" s="1"/>
      <c r="QWP85" s="1"/>
      <c r="QWQ85" s="1"/>
      <c r="QWR85" s="1"/>
      <c r="QWS85" s="1"/>
      <c r="QWT85" s="1"/>
      <c r="QWU85" s="1"/>
      <c r="QWV85" s="1"/>
      <c r="QWW85" s="1"/>
      <c r="QWX85" s="1"/>
      <c r="QWY85" s="1"/>
      <c r="QWZ85" s="1"/>
      <c r="QXA85" s="1"/>
      <c r="QXB85" s="1"/>
      <c r="QXC85" s="1"/>
      <c r="QXD85" s="1"/>
      <c r="QXE85" s="1"/>
      <c r="QXF85" s="1"/>
      <c r="QXG85" s="1"/>
      <c r="QXH85" s="1"/>
      <c r="QXI85" s="1"/>
      <c r="QXJ85" s="1"/>
      <c r="QXK85" s="1"/>
      <c r="QXL85" s="1"/>
      <c r="QXM85" s="1"/>
      <c r="QXN85" s="1"/>
      <c r="QXO85" s="1"/>
      <c r="QXP85" s="1"/>
      <c r="QXQ85" s="1"/>
      <c r="QXR85" s="1"/>
      <c r="QXS85" s="1"/>
      <c r="QXT85" s="1"/>
      <c r="QXU85" s="1"/>
      <c r="QXV85" s="1"/>
      <c r="QXW85" s="1"/>
      <c r="QXX85" s="1"/>
      <c r="QXY85" s="1"/>
      <c r="QXZ85" s="1"/>
      <c r="QYA85" s="1"/>
      <c r="QYB85" s="1"/>
      <c r="QYC85" s="1"/>
      <c r="QYD85" s="1"/>
      <c r="QYE85" s="1"/>
      <c r="QYF85" s="1"/>
      <c r="QYG85" s="1"/>
      <c r="QYH85" s="1"/>
      <c r="QYI85" s="1"/>
      <c r="QYJ85" s="1"/>
      <c r="QYK85" s="1"/>
      <c r="QYL85" s="1"/>
      <c r="QYM85" s="1"/>
      <c r="QYN85" s="1"/>
      <c r="QYO85" s="1"/>
      <c r="QYP85" s="1"/>
      <c r="QYQ85" s="1"/>
      <c r="QYR85" s="1"/>
      <c r="QYS85" s="1"/>
      <c r="QYT85" s="1"/>
      <c r="QYU85" s="1"/>
      <c r="QYV85" s="1"/>
      <c r="QYW85" s="1"/>
      <c r="QYX85" s="1"/>
      <c r="QYY85" s="1"/>
      <c r="QYZ85" s="1"/>
      <c r="QZA85" s="1"/>
      <c r="QZB85" s="1"/>
      <c r="QZC85" s="1"/>
      <c r="QZD85" s="1"/>
      <c r="QZE85" s="1"/>
      <c r="QZF85" s="1"/>
      <c r="QZG85" s="1"/>
      <c r="QZH85" s="1"/>
      <c r="QZI85" s="1"/>
      <c r="QZJ85" s="1"/>
      <c r="QZK85" s="1"/>
      <c r="QZL85" s="1"/>
      <c r="QZM85" s="1"/>
      <c r="QZN85" s="1"/>
      <c r="QZO85" s="1"/>
      <c r="QZP85" s="1"/>
      <c r="QZQ85" s="1"/>
      <c r="QZR85" s="1"/>
      <c r="QZS85" s="1"/>
      <c r="QZT85" s="1"/>
      <c r="QZU85" s="1"/>
      <c r="QZV85" s="1"/>
      <c r="QZW85" s="1"/>
      <c r="QZX85" s="1"/>
      <c r="QZY85" s="1"/>
      <c r="QZZ85" s="1"/>
      <c r="RAA85" s="1"/>
      <c r="RAB85" s="1"/>
      <c r="RAC85" s="1"/>
      <c r="RAD85" s="1"/>
      <c r="RAE85" s="1"/>
      <c r="RAF85" s="1"/>
      <c r="RAG85" s="1"/>
      <c r="RAH85" s="1"/>
      <c r="RAI85" s="1"/>
      <c r="RAJ85" s="1"/>
      <c r="RAK85" s="1"/>
      <c r="RAL85" s="1"/>
      <c r="RAM85" s="1"/>
      <c r="RAN85" s="1"/>
      <c r="RAO85" s="1"/>
      <c r="RAP85" s="1"/>
      <c r="RAQ85" s="1"/>
      <c r="RAR85" s="1"/>
      <c r="RAS85" s="1"/>
      <c r="RAT85" s="1"/>
      <c r="RAU85" s="1"/>
      <c r="RAV85" s="1"/>
      <c r="RAW85" s="1"/>
      <c r="RAX85" s="1"/>
      <c r="RAY85" s="1"/>
      <c r="RAZ85" s="1"/>
      <c r="RBA85" s="1"/>
      <c r="RBB85" s="1"/>
      <c r="RBC85" s="1"/>
      <c r="RBD85" s="1"/>
      <c r="RBE85" s="1"/>
      <c r="RBF85" s="1"/>
      <c r="RBG85" s="1"/>
      <c r="RBH85" s="1"/>
      <c r="RBI85" s="1"/>
      <c r="RBJ85" s="1"/>
      <c r="RBK85" s="1"/>
      <c r="RBL85" s="1"/>
      <c r="RBM85" s="1"/>
      <c r="RBN85" s="1"/>
      <c r="RBO85" s="1"/>
      <c r="RBP85" s="1"/>
      <c r="RBQ85" s="1"/>
      <c r="RBR85" s="1"/>
      <c r="RBS85" s="1"/>
      <c r="RBT85" s="1"/>
      <c r="RBU85" s="1"/>
      <c r="RBV85" s="1"/>
      <c r="RBW85" s="1"/>
      <c r="RBX85" s="1"/>
      <c r="RBY85" s="1"/>
      <c r="RBZ85" s="1"/>
      <c r="RCA85" s="1"/>
      <c r="RCB85" s="1"/>
      <c r="RCC85" s="1"/>
      <c r="RCD85" s="1"/>
      <c r="RCE85" s="1"/>
      <c r="RCF85" s="1"/>
      <c r="RCG85" s="1"/>
      <c r="RCH85" s="1"/>
      <c r="RCI85" s="1"/>
      <c r="RCJ85" s="1"/>
      <c r="RCK85" s="1"/>
      <c r="RCL85" s="1"/>
      <c r="RCM85" s="1"/>
      <c r="RCN85" s="1"/>
      <c r="RCO85" s="1"/>
      <c r="RCP85" s="1"/>
      <c r="RCQ85" s="1"/>
      <c r="RCR85" s="1"/>
      <c r="RCS85" s="1"/>
      <c r="RCT85" s="1"/>
      <c r="RCU85" s="1"/>
      <c r="RCV85" s="1"/>
      <c r="RCW85" s="1"/>
      <c r="RCX85" s="1"/>
      <c r="RCY85" s="1"/>
      <c r="RCZ85" s="1"/>
      <c r="RDA85" s="1"/>
      <c r="RDB85" s="1"/>
      <c r="RDC85" s="1"/>
      <c r="RDD85" s="1"/>
      <c r="RDE85" s="1"/>
      <c r="RDF85" s="1"/>
      <c r="RDG85" s="1"/>
      <c r="RDH85" s="1"/>
      <c r="RDI85" s="1"/>
      <c r="RDJ85" s="1"/>
      <c r="RDK85" s="1"/>
      <c r="RDL85" s="1"/>
      <c r="RDM85" s="1"/>
      <c r="RDN85" s="1"/>
      <c r="RDO85" s="1"/>
      <c r="RDP85" s="1"/>
      <c r="RDQ85" s="1"/>
      <c r="RDR85" s="1"/>
      <c r="RDS85" s="1"/>
      <c r="RDT85" s="1"/>
      <c r="RDU85" s="1"/>
      <c r="RDV85" s="1"/>
      <c r="RDW85" s="1"/>
      <c r="RDX85" s="1"/>
      <c r="RDY85" s="1"/>
      <c r="RDZ85" s="1"/>
      <c r="REA85" s="1"/>
      <c r="REB85" s="1"/>
      <c r="REC85" s="1"/>
      <c r="RED85" s="1"/>
      <c r="REE85" s="1"/>
      <c r="REF85" s="1"/>
      <c r="REG85" s="1"/>
      <c r="REH85" s="1"/>
      <c r="REI85" s="1"/>
      <c r="REJ85" s="1"/>
      <c r="REK85" s="1"/>
      <c r="REL85" s="1"/>
      <c r="REM85" s="1"/>
      <c r="REN85" s="1"/>
      <c r="REO85" s="1"/>
      <c r="REP85" s="1"/>
      <c r="REQ85" s="1"/>
      <c r="RER85" s="1"/>
      <c r="RES85" s="1"/>
      <c r="RET85" s="1"/>
      <c r="REU85" s="1"/>
      <c r="REV85" s="1"/>
      <c r="REW85" s="1"/>
      <c r="REX85" s="1"/>
      <c r="REY85" s="1"/>
      <c r="REZ85" s="1"/>
      <c r="RFA85" s="1"/>
      <c r="RFB85" s="1"/>
      <c r="RFC85" s="1"/>
      <c r="RFD85" s="1"/>
      <c r="RFE85" s="1"/>
      <c r="RFF85" s="1"/>
      <c r="RFG85" s="1"/>
      <c r="RFH85" s="1"/>
      <c r="RFI85" s="1"/>
      <c r="RFJ85" s="1"/>
      <c r="RFK85" s="1"/>
      <c r="RFL85" s="1"/>
      <c r="RFM85" s="1"/>
      <c r="RFN85" s="1"/>
      <c r="RFO85" s="1"/>
      <c r="RFP85" s="1"/>
      <c r="RFQ85" s="1"/>
      <c r="RFR85" s="1"/>
      <c r="RFS85" s="1"/>
      <c r="RFT85" s="1"/>
      <c r="RFU85" s="1"/>
      <c r="RFV85" s="1"/>
      <c r="RFW85" s="1"/>
      <c r="RFX85" s="1"/>
      <c r="RFY85" s="1"/>
      <c r="RFZ85" s="1"/>
      <c r="RGA85" s="1"/>
      <c r="RGB85" s="1"/>
      <c r="RGC85" s="1"/>
      <c r="RGD85" s="1"/>
      <c r="RGE85" s="1"/>
      <c r="RGF85" s="1"/>
      <c r="RGG85" s="1"/>
      <c r="RGH85" s="1"/>
      <c r="RGI85" s="1"/>
      <c r="RGJ85" s="1"/>
      <c r="RGK85" s="1"/>
      <c r="RGL85" s="1"/>
      <c r="RGM85" s="1"/>
      <c r="RGN85" s="1"/>
      <c r="RGO85" s="1"/>
      <c r="RGP85" s="1"/>
      <c r="RGQ85" s="1"/>
      <c r="RGR85" s="1"/>
      <c r="RGS85" s="1"/>
      <c r="RGT85" s="1"/>
      <c r="RGU85" s="1"/>
      <c r="RGV85" s="1"/>
      <c r="RGW85" s="1"/>
      <c r="RGX85" s="1"/>
      <c r="RGY85" s="1"/>
      <c r="RGZ85" s="1"/>
      <c r="RHA85" s="1"/>
      <c r="RHB85" s="1"/>
      <c r="RHC85" s="1"/>
      <c r="RHD85" s="1"/>
      <c r="RHE85" s="1"/>
      <c r="RHF85" s="1"/>
      <c r="RHG85" s="1"/>
      <c r="RHH85" s="1"/>
      <c r="RHI85" s="1"/>
      <c r="RHJ85" s="1"/>
      <c r="RHK85" s="1"/>
      <c r="RHL85" s="1"/>
      <c r="RHM85" s="1"/>
      <c r="RHN85" s="1"/>
      <c r="RHO85" s="1"/>
      <c r="RHP85" s="1"/>
      <c r="RHQ85" s="1"/>
      <c r="RHR85" s="1"/>
      <c r="RHS85" s="1"/>
      <c r="RHT85" s="1"/>
      <c r="RHU85" s="1"/>
      <c r="RHV85" s="1"/>
      <c r="RHW85" s="1"/>
      <c r="RHX85" s="1"/>
      <c r="RHY85" s="1"/>
      <c r="RHZ85" s="1"/>
      <c r="RIA85" s="1"/>
      <c r="RIB85" s="1"/>
      <c r="RIC85" s="1"/>
      <c r="RID85" s="1"/>
      <c r="RIE85" s="1"/>
      <c r="RIF85" s="1"/>
      <c r="RIG85" s="1"/>
      <c r="RIH85" s="1"/>
      <c r="RII85" s="1"/>
      <c r="RIJ85" s="1"/>
      <c r="RIK85" s="1"/>
      <c r="RIL85" s="1"/>
      <c r="RIM85" s="1"/>
      <c r="RIN85" s="1"/>
      <c r="RIO85" s="1"/>
      <c r="RIP85" s="1"/>
      <c r="RIQ85" s="1"/>
      <c r="RIR85" s="1"/>
      <c r="RIS85" s="1"/>
      <c r="RIT85" s="1"/>
      <c r="RIU85" s="1"/>
      <c r="RIV85" s="1"/>
      <c r="RIW85" s="1"/>
      <c r="RIX85" s="1"/>
      <c r="RIY85" s="1"/>
      <c r="RIZ85" s="1"/>
      <c r="RJA85" s="1"/>
      <c r="RJB85" s="1"/>
      <c r="RJC85" s="1"/>
      <c r="RJD85" s="1"/>
      <c r="RJE85" s="1"/>
      <c r="RJF85" s="1"/>
      <c r="RJG85" s="1"/>
      <c r="RJH85" s="1"/>
      <c r="RJI85" s="1"/>
      <c r="RJJ85" s="1"/>
      <c r="RJK85" s="1"/>
      <c r="RJL85" s="1"/>
      <c r="RJM85" s="1"/>
      <c r="RJN85" s="1"/>
      <c r="RJO85" s="1"/>
      <c r="RJP85" s="1"/>
      <c r="RJQ85" s="1"/>
      <c r="RJR85" s="1"/>
      <c r="RJS85" s="1"/>
      <c r="RJT85" s="1"/>
      <c r="RJU85" s="1"/>
      <c r="RJV85" s="1"/>
      <c r="RJW85" s="1"/>
      <c r="RJX85" s="1"/>
      <c r="RJY85" s="1"/>
      <c r="RJZ85" s="1"/>
      <c r="RKA85" s="1"/>
      <c r="RKB85" s="1"/>
      <c r="RKC85" s="1"/>
      <c r="RKD85" s="1"/>
      <c r="RKE85" s="1"/>
      <c r="RKF85" s="1"/>
      <c r="RKG85" s="1"/>
      <c r="RKH85" s="1"/>
      <c r="RKI85" s="1"/>
      <c r="RKJ85" s="1"/>
      <c r="RKK85" s="1"/>
      <c r="RKL85" s="1"/>
      <c r="RKM85" s="1"/>
      <c r="RKN85" s="1"/>
      <c r="RKO85" s="1"/>
      <c r="RKP85" s="1"/>
      <c r="RKQ85" s="1"/>
      <c r="RKR85" s="1"/>
      <c r="RKS85" s="1"/>
      <c r="RKT85" s="1"/>
      <c r="RKU85" s="1"/>
      <c r="RKV85" s="1"/>
      <c r="RKW85" s="1"/>
      <c r="RKX85" s="1"/>
      <c r="RKY85" s="1"/>
      <c r="RKZ85" s="1"/>
      <c r="RLA85" s="1"/>
      <c r="RLB85" s="1"/>
      <c r="RLC85" s="1"/>
      <c r="RLD85" s="1"/>
      <c r="RLE85" s="1"/>
      <c r="RLF85" s="1"/>
      <c r="RLG85" s="1"/>
      <c r="RLH85" s="1"/>
      <c r="RLI85" s="1"/>
      <c r="RLJ85" s="1"/>
      <c r="RLK85" s="1"/>
      <c r="RLL85" s="1"/>
      <c r="RLM85" s="1"/>
      <c r="RLN85" s="1"/>
      <c r="RLO85" s="1"/>
      <c r="RLP85" s="1"/>
      <c r="RLQ85" s="1"/>
      <c r="RLR85" s="1"/>
      <c r="RLS85" s="1"/>
      <c r="RLT85" s="1"/>
      <c r="RLU85" s="1"/>
      <c r="RLV85" s="1"/>
      <c r="RLW85" s="1"/>
      <c r="RLX85" s="1"/>
      <c r="RLY85" s="1"/>
      <c r="RLZ85" s="1"/>
      <c r="RMA85" s="1"/>
      <c r="RMB85" s="1"/>
      <c r="RMC85" s="1"/>
      <c r="RMD85" s="1"/>
      <c r="RME85" s="1"/>
      <c r="RMF85" s="1"/>
      <c r="RMG85" s="1"/>
      <c r="RMH85" s="1"/>
      <c r="RMI85" s="1"/>
      <c r="RMJ85" s="1"/>
      <c r="RMK85" s="1"/>
      <c r="RML85" s="1"/>
      <c r="RMM85" s="1"/>
      <c r="RMN85" s="1"/>
      <c r="RMO85" s="1"/>
      <c r="RMP85" s="1"/>
      <c r="RMQ85" s="1"/>
      <c r="RMR85" s="1"/>
      <c r="RMS85" s="1"/>
      <c r="RMT85" s="1"/>
      <c r="RMU85" s="1"/>
      <c r="RMV85" s="1"/>
      <c r="RMW85" s="1"/>
      <c r="RMX85" s="1"/>
      <c r="RMY85" s="1"/>
      <c r="RMZ85" s="1"/>
      <c r="RNA85" s="1"/>
      <c r="RNB85" s="1"/>
      <c r="RNC85" s="1"/>
      <c r="RND85" s="1"/>
      <c r="RNE85" s="1"/>
      <c r="RNF85" s="1"/>
      <c r="RNG85" s="1"/>
      <c r="RNH85" s="1"/>
      <c r="RNI85" s="1"/>
      <c r="RNJ85" s="1"/>
      <c r="RNK85" s="1"/>
      <c r="RNL85" s="1"/>
      <c r="RNM85" s="1"/>
      <c r="RNN85" s="1"/>
      <c r="RNO85" s="1"/>
      <c r="RNP85" s="1"/>
      <c r="RNQ85" s="1"/>
      <c r="RNR85" s="1"/>
      <c r="RNS85" s="1"/>
      <c r="RNT85" s="1"/>
      <c r="RNU85" s="1"/>
      <c r="RNV85" s="1"/>
      <c r="RNW85" s="1"/>
      <c r="RNX85" s="1"/>
      <c r="RNY85" s="1"/>
      <c r="RNZ85" s="1"/>
      <c r="ROA85" s="1"/>
      <c r="ROB85" s="1"/>
      <c r="ROC85" s="1"/>
      <c r="ROD85" s="1"/>
      <c r="ROE85" s="1"/>
      <c r="ROF85" s="1"/>
      <c r="ROG85" s="1"/>
      <c r="ROH85" s="1"/>
      <c r="ROI85" s="1"/>
      <c r="ROJ85" s="1"/>
      <c r="ROK85" s="1"/>
      <c r="ROL85" s="1"/>
      <c r="ROM85" s="1"/>
      <c r="RON85" s="1"/>
      <c r="ROO85" s="1"/>
      <c r="ROP85" s="1"/>
      <c r="ROQ85" s="1"/>
      <c r="ROR85" s="1"/>
      <c r="ROS85" s="1"/>
      <c r="ROT85" s="1"/>
      <c r="ROU85" s="1"/>
      <c r="ROV85" s="1"/>
      <c r="ROW85" s="1"/>
      <c r="ROX85" s="1"/>
      <c r="ROY85" s="1"/>
      <c r="ROZ85" s="1"/>
      <c r="RPA85" s="1"/>
      <c r="RPB85" s="1"/>
      <c r="RPC85" s="1"/>
      <c r="RPD85" s="1"/>
      <c r="RPE85" s="1"/>
      <c r="RPF85" s="1"/>
      <c r="RPG85" s="1"/>
      <c r="RPH85" s="1"/>
      <c r="RPI85" s="1"/>
      <c r="RPJ85" s="1"/>
      <c r="RPK85" s="1"/>
      <c r="RPL85" s="1"/>
      <c r="RPM85" s="1"/>
      <c r="RPN85" s="1"/>
      <c r="RPO85" s="1"/>
      <c r="RPP85" s="1"/>
      <c r="RPQ85" s="1"/>
      <c r="RPR85" s="1"/>
      <c r="RPS85" s="1"/>
      <c r="RPT85" s="1"/>
      <c r="RPU85" s="1"/>
      <c r="RPV85" s="1"/>
      <c r="RPW85" s="1"/>
      <c r="RPX85" s="1"/>
      <c r="RPY85" s="1"/>
      <c r="RPZ85" s="1"/>
      <c r="RQA85" s="1"/>
      <c r="RQB85" s="1"/>
      <c r="RQC85" s="1"/>
      <c r="RQD85" s="1"/>
      <c r="RQE85" s="1"/>
      <c r="RQF85" s="1"/>
      <c r="RQG85" s="1"/>
      <c r="RQH85" s="1"/>
      <c r="RQI85" s="1"/>
      <c r="RQJ85" s="1"/>
      <c r="RQK85" s="1"/>
      <c r="RQL85" s="1"/>
      <c r="RQM85" s="1"/>
      <c r="RQN85" s="1"/>
      <c r="RQO85" s="1"/>
      <c r="RQP85" s="1"/>
      <c r="RQQ85" s="1"/>
      <c r="RQR85" s="1"/>
      <c r="RQS85" s="1"/>
      <c r="RQT85" s="1"/>
      <c r="RQU85" s="1"/>
      <c r="RQV85" s="1"/>
      <c r="RQW85" s="1"/>
      <c r="RQX85" s="1"/>
      <c r="RQY85" s="1"/>
      <c r="RQZ85" s="1"/>
      <c r="RRA85" s="1"/>
      <c r="RRB85" s="1"/>
      <c r="RRC85" s="1"/>
      <c r="RRD85" s="1"/>
      <c r="RRE85" s="1"/>
      <c r="RRF85" s="1"/>
      <c r="RRG85" s="1"/>
      <c r="RRH85" s="1"/>
      <c r="RRI85" s="1"/>
      <c r="RRJ85" s="1"/>
      <c r="RRK85" s="1"/>
      <c r="RRL85" s="1"/>
      <c r="RRM85" s="1"/>
      <c r="RRN85" s="1"/>
      <c r="RRO85" s="1"/>
      <c r="RRP85" s="1"/>
      <c r="RRQ85" s="1"/>
      <c r="RRR85" s="1"/>
      <c r="RRS85" s="1"/>
      <c r="RRT85" s="1"/>
      <c r="RRU85" s="1"/>
      <c r="RRV85" s="1"/>
      <c r="RRW85" s="1"/>
      <c r="RRX85" s="1"/>
      <c r="RRY85" s="1"/>
      <c r="RRZ85" s="1"/>
      <c r="RSA85" s="1"/>
      <c r="RSB85" s="1"/>
      <c r="RSC85" s="1"/>
      <c r="RSD85" s="1"/>
      <c r="RSE85" s="1"/>
      <c r="RSF85" s="1"/>
      <c r="RSG85" s="1"/>
      <c r="RSH85" s="1"/>
      <c r="RSI85" s="1"/>
      <c r="RSJ85" s="1"/>
      <c r="RSK85" s="1"/>
      <c r="RSL85" s="1"/>
      <c r="RSM85" s="1"/>
      <c r="RSN85" s="1"/>
      <c r="RSO85" s="1"/>
      <c r="RSP85" s="1"/>
      <c r="RSQ85" s="1"/>
      <c r="RSR85" s="1"/>
      <c r="RSS85" s="1"/>
      <c r="RST85" s="1"/>
      <c r="RSU85" s="1"/>
      <c r="RSV85" s="1"/>
      <c r="RSW85" s="1"/>
      <c r="RSX85" s="1"/>
      <c r="RSY85" s="1"/>
      <c r="RSZ85" s="1"/>
      <c r="RTA85" s="1"/>
      <c r="RTB85" s="1"/>
      <c r="RTC85" s="1"/>
      <c r="RTD85" s="1"/>
      <c r="RTE85" s="1"/>
      <c r="RTF85" s="1"/>
      <c r="RTG85" s="1"/>
      <c r="RTH85" s="1"/>
      <c r="RTI85" s="1"/>
      <c r="RTJ85" s="1"/>
      <c r="RTK85" s="1"/>
      <c r="RTL85" s="1"/>
      <c r="RTM85" s="1"/>
      <c r="RTN85" s="1"/>
      <c r="RTO85" s="1"/>
      <c r="RTP85" s="1"/>
      <c r="RTQ85" s="1"/>
      <c r="RTR85" s="1"/>
      <c r="RTS85" s="1"/>
      <c r="RTT85" s="1"/>
      <c r="RTU85" s="1"/>
      <c r="RTV85" s="1"/>
      <c r="RTW85" s="1"/>
      <c r="RTX85" s="1"/>
      <c r="RTY85" s="1"/>
      <c r="RTZ85" s="1"/>
      <c r="RUA85" s="1"/>
      <c r="RUB85" s="1"/>
      <c r="RUC85" s="1"/>
      <c r="RUD85" s="1"/>
      <c r="RUE85" s="1"/>
      <c r="RUF85" s="1"/>
      <c r="RUG85" s="1"/>
      <c r="RUH85" s="1"/>
      <c r="RUI85" s="1"/>
      <c r="RUJ85" s="1"/>
      <c r="RUK85" s="1"/>
      <c r="RUL85" s="1"/>
      <c r="RUM85" s="1"/>
      <c r="RUN85" s="1"/>
      <c r="RUO85" s="1"/>
      <c r="RUP85" s="1"/>
      <c r="RUQ85" s="1"/>
      <c r="RUR85" s="1"/>
      <c r="RUS85" s="1"/>
      <c r="RUT85" s="1"/>
      <c r="RUU85" s="1"/>
      <c r="RUV85" s="1"/>
      <c r="RUW85" s="1"/>
      <c r="RUX85" s="1"/>
      <c r="RUY85" s="1"/>
      <c r="RUZ85" s="1"/>
      <c r="RVA85" s="1"/>
      <c r="RVB85" s="1"/>
      <c r="RVC85" s="1"/>
      <c r="RVD85" s="1"/>
      <c r="RVE85" s="1"/>
      <c r="RVF85" s="1"/>
      <c r="RVG85" s="1"/>
      <c r="RVH85" s="1"/>
      <c r="RVI85" s="1"/>
      <c r="RVJ85" s="1"/>
      <c r="RVK85" s="1"/>
      <c r="RVL85" s="1"/>
      <c r="RVM85" s="1"/>
      <c r="RVN85" s="1"/>
      <c r="RVO85" s="1"/>
      <c r="RVP85" s="1"/>
      <c r="RVQ85" s="1"/>
      <c r="RVR85" s="1"/>
      <c r="RVS85" s="1"/>
      <c r="RVT85" s="1"/>
      <c r="RVU85" s="1"/>
      <c r="RVV85" s="1"/>
      <c r="RVW85" s="1"/>
      <c r="RVX85" s="1"/>
      <c r="RVY85" s="1"/>
      <c r="RVZ85" s="1"/>
      <c r="RWA85" s="1"/>
      <c r="RWB85" s="1"/>
      <c r="RWC85" s="1"/>
      <c r="RWD85" s="1"/>
      <c r="RWE85" s="1"/>
      <c r="RWF85" s="1"/>
      <c r="RWG85" s="1"/>
      <c r="RWH85" s="1"/>
      <c r="RWI85" s="1"/>
      <c r="RWJ85" s="1"/>
      <c r="RWK85" s="1"/>
      <c r="RWL85" s="1"/>
      <c r="RWM85" s="1"/>
      <c r="RWN85" s="1"/>
      <c r="RWO85" s="1"/>
      <c r="RWP85" s="1"/>
      <c r="RWQ85" s="1"/>
      <c r="RWR85" s="1"/>
      <c r="RWS85" s="1"/>
      <c r="RWT85" s="1"/>
      <c r="RWU85" s="1"/>
      <c r="RWV85" s="1"/>
      <c r="RWW85" s="1"/>
      <c r="RWX85" s="1"/>
      <c r="RWY85" s="1"/>
      <c r="RWZ85" s="1"/>
      <c r="RXA85" s="1"/>
      <c r="RXB85" s="1"/>
      <c r="RXC85" s="1"/>
      <c r="RXD85" s="1"/>
      <c r="RXE85" s="1"/>
      <c r="RXF85" s="1"/>
      <c r="RXG85" s="1"/>
      <c r="RXH85" s="1"/>
      <c r="RXI85" s="1"/>
      <c r="RXJ85" s="1"/>
      <c r="RXK85" s="1"/>
      <c r="RXL85" s="1"/>
      <c r="RXM85" s="1"/>
      <c r="RXN85" s="1"/>
      <c r="RXO85" s="1"/>
      <c r="RXP85" s="1"/>
      <c r="RXQ85" s="1"/>
      <c r="RXR85" s="1"/>
      <c r="RXS85" s="1"/>
      <c r="RXT85" s="1"/>
      <c r="RXU85" s="1"/>
      <c r="RXV85" s="1"/>
      <c r="RXW85" s="1"/>
      <c r="RXX85" s="1"/>
      <c r="RXY85" s="1"/>
      <c r="RXZ85" s="1"/>
      <c r="RYA85" s="1"/>
      <c r="RYB85" s="1"/>
      <c r="RYC85" s="1"/>
      <c r="RYD85" s="1"/>
      <c r="RYE85" s="1"/>
      <c r="RYF85" s="1"/>
      <c r="RYG85" s="1"/>
      <c r="RYH85" s="1"/>
      <c r="RYI85" s="1"/>
      <c r="RYJ85" s="1"/>
      <c r="RYK85" s="1"/>
      <c r="RYL85" s="1"/>
      <c r="RYM85" s="1"/>
      <c r="RYN85" s="1"/>
      <c r="RYO85" s="1"/>
      <c r="RYP85" s="1"/>
      <c r="RYQ85" s="1"/>
      <c r="RYR85" s="1"/>
      <c r="RYS85" s="1"/>
      <c r="RYT85" s="1"/>
      <c r="RYU85" s="1"/>
      <c r="RYV85" s="1"/>
      <c r="RYW85" s="1"/>
      <c r="RYX85" s="1"/>
      <c r="RYY85" s="1"/>
      <c r="RYZ85" s="1"/>
      <c r="RZA85" s="1"/>
      <c r="RZB85" s="1"/>
      <c r="RZC85" s="1"/>
      <c r="RZD85" s="1"/>
      <c r="RZE85" s="1"/>
      <c r="RZF85" s="1"/>
      <c r="RZG85" s="1"/>
      <c r="RZH85" s="1"/>
      <c r="RZI85" s="1"/>
      <c r="RZJ85" s="1"/>
      <c r="RZK85" s="1"/>
      <c r="RZL85" s="1"/>
      <c r="RZM85" s="1"/>
      <c r="RZN85" s="1"/>
      <c r="RZO85" s="1"/>
      <c r="RZP85" s="1"/>
      <c r="RZQ85" s="1"/>
      <c r="RZR85" s="1"/>
      <c r="RZS85" s="1"/>
      <c r="RZT85" s="1"/>
      <c r="RZU85" s="1"/>
      <c r="RZV85" s="1"/>
      <c r="RZW85" s="1"/>
      <c r="RZX85" s="1"/>
      <c r="RZY85" s="1"/>
      <c r="RZZ85" s="1"/>
      <c r="SAA85" s="1"/>
      <c r="SAB85" s="1"/>
      <c r="SAC85" s="1"/>
      <c r="SAD85" s="1"/>
      <c r="SAE85" s="1"/>
      <c r="SAF85" s="1"/>
      <c r="SAG85" s="1"/>
      <c r="SAH85" s="1"/>
      <c r="SAI85" s="1"/>
      <c r="SAJ85" s="1"/>
      <c r="SAK85" s="1"/>
      <c r="SAL85" s="1"/>
      <c r="SAM85" s="1"/>
      <c r="SAN85" s="1"/>
      <c r="SAO85" s="1"/>
      <c r="SAP85" s="1"/>
      <c r="SAQ85" s="1"/>
      <c r="SAR85" s="1"/>
      <c r="SAS85" s="1"/>
      <c r="SAT85" s="1"/>
      <c r="SAU85" s="1"/>
      <c r="SAV85" s="1"/>
      <c r="SAW85" s="1"/>
      <c r="SAX85" s="1"/>
      <c r="SAY85" s="1"/>
      <c r="SAZ85" s="1"/>
      <c r="SBA85" s="1"/>
      <c r="SBB85" s="1"/>
      <c r="SBC85" s="1"/>
      <c r="SBD85" s="1"/>
      <c r="SBE85" s="1"/>
      <c r="SBF85" s="1"/>
      <c r="SBG85" s="1"/>
      <c r="SBH85" s="1"/>
      <c r="SBI85" s="1"/>
      <c r="SBJ85" s="1"/>
      <c r="SBK85" s="1"/>
      <c r="SBL85" s="1"/>
      <c r="SBM85" s="1"/>
      <c r="SBN85" s="1"/>
      <c r="SBO85" s="1"/>
      <c r="SBP85" s="1"/>
      <c r="SBQ85" s="1"/>
      <c r="SBR85" s="1"/>
      <c r="SBS85" s="1"/>
      <c r="SBT85" s="1"/>
      <c r="SBU85" s="1"/>
      <c r="SBV85" s="1"/>
      <c r="SBW85" s="1"/>
      <c r="SBX85" s="1"/>
      <c r="SBY85" s="1"/>
      <c r="SBZ85" s="1"/>
      <c r="SCA85" s="1"/>
      <c r="SCB85" s="1"/>
      <c r="SCC85" s="1"/>
      <c r="SCD85" s="1"/>
      <c r="SCE85" s="1"/>
      <c r="SCF85" s="1"/>
      <c r="SCG85" s="1"/>
      <c r="SCH85" s="1"/>
      <c r="SCI85" s="1"/>
      <c r="SCJ85" s="1"/>
      <c r="SCK85" s="1"/>
      <c r="SCL85" s="1"/>
      <c r="SCM85" s="1"/>
      <c r="SCN85" s="1"/>
      <c r="SCO85" s="1"/>
      <c r="SCP85" s="1"/>
      <c r="SCQ85" s="1"/>
      <c r="SCR85" s="1"/>
      <c r="SCS85" s="1"/>
      <c r="SCT85" s="1"/>
      <c r="SCU85" s="1"/>
      <c r="SCV85" s="1"/>
      <c r="SCW85" s="1"/>
      <c r="SCX85" s="1"/>
      <c r="SCY85" s="1"/>
      <c r="SCZ85" s="1"/>
      <c r="SDA85" s="1"/>
      <c r="SDB85" s="1"/>
      <c r="SDC85" s="1"/>
      <c r="SDD85" s="1"/>
      <c r="SDE85" s="1"/>
      <c r="SDF85" s="1"/>
      <c r="SDG85" s="1"/>
      <c r="SDH85" s="1"/>
      <c r="SDI85" s="1"/>
      <c r="SDJ85" s="1"/>
      <c r="SDK85" s="1"/>
      <c r="SDL85" s="1"/>
      <c r="SDM85" s="1"/>
      <c r="SDN85" s="1"/>
      <c r="SDO85" s="1"/>
      <c r="SDP85" s="1"/>
      <c r="SDQ85" s="1"/>
      <c r="SDR85" s="1"/>
      <c r="SDS85" s="1"/>
      <c r="SDT85" s="1"/>
      <c r="SDU85" s="1"/>
      <c r="SDV85" s="1"/>
      <c r="SDW85" s="1"/>
      <c r="SDX85" s="1"/>
      <c r="SDY85" s="1"/>
      <c r="SDZ85" s="1"/>
      <c r="SEA85" s="1"/>
      <c r="SEB85" s="1"/>
      <c r="SEC85" s="1"/>
      <c r="SED85" s="1"/>
      <c r="SEE85" s="1"/>
      <c r="SEF85" s="1"/>
      <c r="SEG85" s="1"/>
      <c r="SEH85" s="1"/>
      <c r="SEI85" s="1"/>
      <c r="SEJ85" s="1"/>
      <c r="SEK85" s="1"/>
      <c r="SEL85" s="1"/>
      <c r="SEM85" s="1"/>
      <c r="SEN85" s="1"/>
      <c r="SEO85" s="1"/>
      <c r="SEP85" s="1"/>
      <c r="SEQ85" s="1"/>
      <c r="SER85" s="1"/>
      <c r="SES85" s="1"/>
      <c r="SET85" s="1"/>
      <c r="SEU85" s="1"/>
      <c r="SEV85" s="1"/>
      <c r="SEW85" s="1"/>
      <c r="SEX85" s="1"/>
      <c r="SEY85" s="1"/>
      <c r="SEZ85" s="1"/>
      <c r="SFA85" s="1"/>
      <c r="SFB85" s="1"/>
      <c r="SFC85" s="1"/>
      <c r="SFD85" s="1"/>
      <c r="SFE85" s="1"/>
      <c r="SFF85" s="1"/>
      <c r="SFG85" s="1"/>
      <c r="SFH85" s="1"/>
      <c r="SFI85" s="1"/>
      <c r="SFJ85" s="1"/>
      <c r="SFK85" s="1"/>
      <c r="SFL85" s="1"/>
      <c r="SFM85" s="1"/>
      <c r="SFN85" s="1"/>
      <c r="SFO85" s="1"/>
      <c r="SFP85" s="1"/>
      <c r="SFQ85" s="1"/>
      <c r="SFR85" s="1"/>
      <c r="SFS85" s="1"/>
      <c r="SFT85" s="1"/>
      <c r="SFU85" s="1"/>
      <c r="SFV85" s="1"/>
      <c r="SFW85" s="1"/>
      <c r="SFX85" s="1"/>
      <c r="SFY85" s="1"/>
      <c r="SFZ85" s="1"/>
      <c r="SGA85" s="1"/>
      <c r="SGB85" s="1"/>
      <c r="SGC85" s="1"/>
      <c r="SGD85" s="1"/>
      <c r="SGE85" s="1"/>
      <c r="SGF85" s="1"/>
      <c r="SGG85" s="1"/>
      <c r="SGH85" s="1"/>
      <c r="SGI85" s="1"/>
      <c r="SGJ85" s="1"/>
      <c r="SGK85" s="1"/>
      <c r="SGL85" s="1"/>
      <c r="SGM85" s="1"/>
      <c r="SGN85" s="1"/>
      <c r="SGO85" s="1"/>
      <c r="SGP85" s="1"/>
      <c r="SGQ85" s="1"/>
      <c r="SGR85" s="1"/>
      <c r="SGS85" s="1"/>
      <c r="SGT85" s="1"/>
      <c r="SGU85" s="1"/>
      <c r="SGV85" s="1"/>
      <c r="SGW85" s="1"/>
      <c r="SGX85" s="1"/>
      <c r="SGY85" s="1"/>
      <c r="SGZ85" s="1"/>
      <c r="SHA85" s="1"/>
      <c r="SHB85" s="1"/>
      <c r="SHC85" s="1"/>
      <c r="SHD85" s="1"/>
      <c r="SHE85" s="1"/>
      <c r="SHF85" s="1"/>
      <c r="SHG85" s="1"/>
      <c r="SHH85" s="1"/>
      <c r="SHI85" s="1"/>
      <c r="SHJ85" s="1"/>
      <c r="SHK85" s="1"/>
      <c r="SHL85" s="1"/>
      <c r="SHM85" s="1"/>
      <c r="SHN85" s="1"/>
      <c r="SHO85" s="1"/>
      <c r="SHP85" s="1"/>
      <c r="SHQ85" s="1"/>
      <c r="SHR85" s="1"/>
      <c r="SHS85" s="1"/>
      <c r="SHT85" s="1"/>
      <c r="SHU85" s="1"/>
      <c r="SHV85" s="1"/>
      <c r="SHW85" s="1"/>
      <c r="SHX85" s="1"/>
      <c r="SHY85" s="1"/>
      <c r="SHZ85" s="1"/>
      <c r="SIA85" s="1"/>
      <c r="SIB85" s="1"/>
      <c r="SIC85" s="1"/>
      <c r="SID85" s="1"/>
      <c r="SIE85" s="1"/>
      <c r="SIF85" s="1"/>
      <c r="SIG85" s="1"/>
      <c r="SIH85" s="1"/>
      <c r="SII85" s="1"/>
      <c r="SIJ85" s="1"/>
      <c r="SIK85" s="1"/>
      <c r="SIL85" s="1"/>
      <c r="SIM85" s="1"/>
      <c r="SIN85" s="1"/>
      <c r="SIO85" s="1"/>
      <c r="SIP85" s="1"/>
      <c r="SIQ85" s="1"/>
      <c r="SIR85" s="1"/>
      <c r="SIS85" s="1"/>
      <c r="SIT85" s="1"/>
      <c r="SIU85" s="1"/>
      <c r="SIV85" s="1"/>
      <c r="SIW85" s="1"/>
      <c r="SIX85" s="1"/>
      <c r="SIY85" s="1"/>
      <c r="SIZ85" s="1"/>
      <c r="SJA85" s="1"/>
      <c r="SJB85" s="1"/>
      <c r="SJC85" s="1"/>
      <c r="SJD85" s="1"/>
      <c r="SJE85" s="1"/>
      <c r="SJF85" s="1"/>
      <c r="SJG85" s="1"/>
      <c r="SJH85" s="1"/>
      <c r="SJI85" s="1"/>
      <c r="SJJ85" s="1"/>
      <c r="SJK85" s="1"/>
      <c r="SJL85" s="1"/>
      <c r="SJM85" s="1"/>
      <c r="SJN85" s="1"/>
      <c r="SJO85" s="1"/>
      <c r="SJP85" s="1"/>
      <c r="SJQ85" s="1"/>
      <c r="SJR85" s="1"/>
      <c r="SJS85" s="1"/>
      <c r="SJT85" s="1"/>
      <c r="SJU85" s="1"/>
      <c r="SJV85" s="1"/>
      <c r="SJW85" s="1"/>
      <c r="SJX85" s="1"/>
      <c r="SJY85" s="1"/>
      <c r="SJZ85" s="1"/>
      <c r="SKA85" s="1"/>
      <c r="SKB85" s="1"/>
      <c r="SKC85" s="1"/>
      <c r="SKD85" s="1"/>
      <c r="SKE85" s="1"/>
      <c r="SKF85" s="1"/>
      <c r="SKG85" s="1"/>
      <c r="SKH85" s="1"/>
      <c r="SKI85" s="1"/>
      <c r="SKJ85" s="1"/>
      <c r="SKK85" s="1"/>
      <c r="SKL85" s="1"/>
      <c r="SKM85" s="1"/>
      <c r="SKN85" s="1"/>
      <c r="SKO85" s="1"/>
      <c r="SKP85" s="1"/>
      <c r="SKQ85" s="1"/>
      <c r="SKR85" s="1"/>
      <c r="SKS85" s="1"/>
      <c r="SKT85" s="1"/>
      <c r="SKU85" s="1"/>
      <c r="SKV85" s="1"/>
      <c r="SKW85" s="1"/>
      <c r="SKX85" s="1"/>
      <c r="SKY85" s="1"/>
      <c r="SKZ85" s="1"/>
      <c r="SLA85" s="1"/>
      <c r="SLB85" s="1"/>
      <c r="SLC85" s="1"/>
      <c r="SLD85" s="1"/>
      <c r="SLE85" s="1"/>
      <c r="SLF85" s="1"/>
      <c r="SLG85" s="1"/>
      <c r="SLH85" s="1"/>
      <c r="SLI85" s="1"/>
      <c r="SLJ85" s="1"/>
      <c r="SLK85" s="1"/>
      <c r="SLL85" s="1"/>
      <c r="SLM85" s="1"/>
      <c r="SLN85" s="1"/>
      <c r="SLO85" s="1"/>
      <c r="SLP85" s="1"/>
      <c r="SLQ85" s="1"/>
      <c r="SLR85" s="1"/>
      <c r="SLS85" s="1"/>
      <c r="SLT85" s="1"/>
      <c r="SLU85" s="1"/>
      <c r="SLV85" s="1"/>
      <c r="SLW85" s="1"/>
      <c r="SLX85" s="1"/>
      <c r="SLY85" s="1"/>
      <c r="SLZ85" s="1"/>
      <c r="SMA85" s="1"/>
      <c r="SMB85" s="1"/>
      <c r="SMC85" s="1"/>
      <c r="SMD85" s="1"/>
      <c r="SME85" s="1"/>
      <c r="SMF85" s="1"/>
      <c r="SMG85" s="1"/>
      <c r="SMH85" s="1"/>
      <c r="SMI85" s="1"/>
      <c r="SMJ85" s="1"/>
      <c r="SMK85" s="1"/>
      <c r="SML85" s="1"/>
      <c r="SMM85" s="1"/>
      <c r="SMN85" s="1"/>
      <c r="SMO85" s="1"/>
      <c r="SMP85" s="1"/>
      <c r="SMQ85" s="1"/>
      <c r="SMR85" s="1"/>
      <c r="SMS85" s="1"/>
      <c r="SMT85" s="1"/>
      <c r="SMU85" s="1"/>
      <c r="SMV85" s="1"/>
      <c r="SMW85" s="1"/>
      <c r="SMX85" s="1"/>
      <c r="SMY85" s="1"/>
      <c r="SMZ85" s="1"/>
      <c r="SNA85" s="1"/>
      <c r="SNB85" s="1"/>
      <c r="SNC85" s="1"/>
      <c r="SND85" s="1"/>
      <c r="SNE85" s="1"/>
      <c r="SNF85" s="1"/>
      <c r="SNG85" s="1"/>
      <c r="SNH85" s="1"/>
      <c r="SNI85" s="1"/>
      <c r="SNJ85" s="1"/>
      <c r="SNK85" s="1"/>
      <c r="SNL85" s="1"/>
      <c r="SNM85" s="1"/>
      <c r="SNN85" s="1"/>
      <c r="SNO85" s="1"/>
      <c r="SNP85" s="1"/>
      <c r="SNQ85" s="1"/>
      <c r="SNR85" s="1"/>
      <c r="SNS85" s="1"/>
      <c r="SNT85" s="1"/>
      <c r="SNU85" s="1"/>
      <c r="SNV85" s="1"/>
      <c r="SNW85" s="1"/>
      <c r="SNX85" s="1"/>
      <c r="SNY85" s="1"/>
      <c r="SNZ85" s="1"/>
      <c r="SOA85" s="1"/>
      <c r="SOB85" s="1"/>
      <c r="SOC85" s="1"/>
      <c r="SOD85" s="1"/>
      <c r="SOE85" s="1"/>
      <c r="SOF85" s="1"/>
      <c r="SOG85" s="1"/>
      <c r="SOH85" s="1"/>
      <c r="SOI85" s="1"/>
      <c r="SOJ85" s="1"/>
      <c r="SOK85" s="1"/>
      <c r="SOL85" s="1"/>
      <c r="SOM85" s="1"/>
      <c r="SON85" s="1"/>
      <c r="SOO85" s="1"/>
      <c r="SOP85" s="1"/>
      <c r="SOQ85" s="1"/>
      <c r="SOR85" s="1"/>
      <c r="SOS85" s="1"/>
      <c r="SOT85" s="1"/>
      <c r="SOU85" s="1"/>
      <c r="SOV85" s="1"/>
      <c r="SOW85" s="1"/>
      <c r="SOX85" s="1"/>
      <c r="SOY85" s="1"/>
      <c r="SOZ85" s="1"/>
      <c r="SPA85" s="1"/>
      <c r="SPB85" s="1"/>
      <c r="SPC85" s="1"/>
      <c r="SPD85" s="1"/>
      <c r="SPE85" s="1"/>
      <c r="SPF85" s="1"/>
      <c r="SPG85" s="1"/>
      <c r="SPH85" s="1"/>
      <c r="SPI85" s="1"/>
      <c r="SPJ85" s="1"/>
      <c r="SPK85" s="1"/>
      <c r="SPL85" s="1"/>
      <c r="SPM85" s="1"/>
      <c r="SPN85" s="1"/>
      <c r="SPO85" s="1"/>
      <c r="SPP85" s="1"/>
      <c r="SPQ85" s="1"/>
      <c r="SPR85" s="1"/>
      <c r="SPS85" s="1"/>
      <c r="SPT85" s="1"/>
      <c r="SPU85" s="1"/>
      <c r="SPV85" s="1"/>
      <c r="SPW85" s="1"/>
      <c r="SPX85" s="1"/>
      <c r="SPY85" s="1"/>
      <c r="SPZ85" s="1"/>
      <c r="SQA85" s="1"/>
      <c r="SQB85" s="1"/>
      <c r="SQC85" s="1"/>
      <c r="SQD85" s="1"/>
      <c r="SQE85" s="1"/>
      <c r="SQF85" s="1"/>
      <c r="SQG85" s="1"/>
      <c r="SQH85" s="1"/>
      <c r="SQI85" s="1"/>
      <c r="SQJ85" s="1"/>
      <c r="SQK85" s="1"/>
      <c r="SQL85" s="1"/>
      <c r="SQM85" s="1"/>
      <c r="SQN85" s="1"/>
      <c r="SQO85" s="1"/>
      <c r="SQP85" s="1"/>
      <c r="SQQ85" s="1"/>
      <c r="SQR85" s="1"/>
      <c r="SQS85" s="1"/>
      <c r="SQT85" s="1"/>
      <c r="SQU85" s="1"/>
      <c r="SQV85" s="1"/>
      <c r="SQW85" s="1"/>
      <c r="SQX85" s="1"/>
      <c r="SQY85" s="1"/>
      <c r="SQZ85" s="1"/>
      <c r="SRA85" s="1"/>
      <c r="SRB85" s="1"/>
      <c r="SRC85" s="1"/>
      <c r="SRD85" s="1"/>
      <c r="SRE85" s="1"/>
      <c r="SRF85" s="1"/>
      <c r="SRG85" s="1"/>
      <c r="SRH85" s="1"/>
      <c r="SRI85" s="1"/>
      <c r="SRJ85" s="1"/>
      <c r="SRK85" s="1"/>
      <c r="SRL85" s="1"/>
      <c r="SRM85" s="1"/>
      <c r="SRN85" s="1"/>
      <c r="SRO85" s="1"/>
      <c r="SRP85" s="1"/>
      <c r="SRQ85" s="1"/>
      <c r="SRR85" s="1"/>
      <c r="SRS85" s="1"/>
      <c r="SRT85" s="1"/>
      <c r="SRU85" s="1"/>
      <c r="SRV85" s="1"/>
      <c r="SRW85" s="1"/>
      <c r="SRX85" s="1"/>
      <c r="SRY85" s="1"/>
      <c r="SRZ85" s="1"/>
      <c r="SSA85" s="1"/>
      <c r="SSB85" s="1"/>
      <c r="SSC85" s="1"/>
      <c r="SSD85" s="1"/>
      <c r="SSE85" s="1"/>
      <c r="SSF85" s="1"/>
      <c r="SSG85" s="1"/>
      <c r="SSH85" s="1"/>
      <c r="SSI85" s="1"/>
      <c r="SSJ85" s="1"/>
      <c r="SSK85" s="1"/>
      <c r="SSL85" s="1"/>
      <c r="SSM85" s="1"/>
      <c r="SSN85" s="1"/>
      <c r="SSO85" s="1"/>
      <c r="SSP85" s="1"/>
      <c r="SSQ85" s="1"/>
      <c r="SSR85" s="1"/>
      <c r="SSS85" s="1"/>
      <c r="SST85" s="1"/>
      <c r="SSU85" s="1"/>
      <c r="SSV85" s="1"/>
      <c r="SSW85" s="1"/>
      <c r="SSX85" s="1"/>
      <c r="SSY85" s="1"/>
      <c r="SSZ85" s="1"/>
      <c r="STA85" s="1"/>
      <c r="STB85" s="1"/>
      <c r="STC85" s="1"/>
      <c r="STD85" s="1"/>
      <c r="STE85" s="1"/>
      <c r="STF85" s="1"/>
      <c r="STG85" s="1"/>
      <c r="STH85" s="1"/>
      <c r="STI85" s="1"/>
      <c r="STJ85" s="1"/>
      <c r="STK85" s="1"/>
      <c r="STL85" s="1"/>
      <c r="STM85" s="1"/>
      <c r="STN85" s="1"/>
      <c r="STO85" s="1"/>
      <c r="STP85" s="1"/>
      <c r="STQ85" s="1"/>
      <c r="STR85" s="1"/>
      <c r="STS85" s="1"/>
      <c r="STT85" s="1"/>
      <c r="STU85" s="1"/>
      <c r="STV85" s="1"/>
      <c r="STW85" s="1"/>
      <c r="STX85" s="1"/>
      <c r="STY85" s="1"/>
      <c r="STZ85" s="1"/>
      <c r="SUA85" s="1"/>
      <c r="SUB85" s="1"/>
      <c r="SUC85" s="1"/>
      <c r="SUD85" s="1"/>
      <c r="SUE85" s="1"/>
      <c r="SUF85" s="1"/>
      <c r="SUG85" s="1"/>
      <c r="SUH85" s="1"/>
      <c r="SUI85" s="1"/>
      <c r="SUJ85" s="1"/>
      <c r="SUK85" s="1"/>
      <c r="SUL85" s="1"/>
      <c r="SUM85" s="1"/>
      <c r="SUN85" s="1"/>
      <c r="SUO85" s="1"/>
      <c r="SUP85" s="1"/>
      <c r="SUQ85" s="1"/>
      <c r="SUR85" s="1"/>
      <c r="SUS85" s="1"/>
      <c r="SUT85" s="1"/>
      <c r="SUU85" s="1"/>
      <c r="SUV85" s="1"/>
      <c r="SUW85" s="1"/>
      <c r="SUX85" s="1"/>
      <c r="SUY85" s="1"/>
      <c r="SUZ85" s="1"/>
      <c r="SVA85" s="1"/>
      <c r="SVB85" s="1"/>
      <c r="SVC85" s="1"/>
      <c r="SVD85" s="1"/>
      <c r="SVE85" s="1"/>
      <c r="SVF85" s="1"/>
      <c r="SVG85" s="1"/>
      <c r="SVH85" s="1"/>
      <c r="SVI85" s="1"/>
      <c r="SVJ85" s="1"/>
      <c r="SVK85" s="1"/>
      <c r="SVL85" s="1"/>
      <c r="SVM85" s="1"/>
      <c r="SVN85" s="1"/>
      <c r="SVO85" s="1"/>
      <c r="SVP85" s="1"/>
      <c r="SVQ85" s="1"/>
      <c r="SVR85" s="1"/>
      <c r="SVS85" s="1"/>
      <c r="SVT85" s="1"/>
      <c r="SVU85" s="1"/>
      <c r="SVV85" s="1"/>
      <c r="SVW85" s="1"/>
      <c r="SVX85" s="1"/>
      <c r="SVY85" s="1"/>
      <c r="SVZ85" s="1"/>
      <c r="SWA85" s="1"/>
      <c r="SWB85" s="1"/>
      <c r="SWC85" s="1"/>
      <c r="SWD85" s="1"/>
      <c r="SWE85" s="1"/>
      <c r="SWF85" s="1"/>
      <c r="SWG85" s="1"/>
      <c r="SWH85" s="1"/>
      <c r="SWI85" s="1"/>
      <c r="SWJ85" s="1"/>
      <c r="SWK85" s="1"/>
      <c r="SWL85" s="1"/>
      <c r="SWM85" s="1"/>
      <c r="SWN85" s="1"/>
      <c r="SWO85" s="1"/>
      <c r="SWP85" s="1"/>
      <c r="SWQ85" s="1"/>
      <c r="SWR85" s="1"/>
      <c r="SWS85" s="1"/>
      <c r="SWT85" s="1"/>
      <c r="SWU85" s="1"/>
      <c r="SWV85" s="1"/>
      <c r="SWW85" s="1"/>
      <c r="SWX85" s="1"/>
      <c r="SWY85" s="1"/>
      <c r="SWZ85" s="1"/>
      <c r="SXA85" s="1"/>
      <c r="SXB85" s="1"/>
      <c r="SXC85" s="1"/>
      <c r="SXD85" s="1"/>
      <c r="SXE85" s="1"/>
      <c r="SXF85" s="1"/>
      <c r="SXG85" s="1"/>
      <c r="SXH85" s="1"/>
      <c r="SXI85" s="1"/>
      <c r="SXJ85" s="1"/>
      <c r="SXK85" s="1"/>
      <c r="SXL85" s="1"/>
      <c r="SXM85" s="1"/>
      <c r="SXN85" s="1"/>
      <c r="SXO85" s="1"/>
      <c r="SXP85" s="1"/>
      <c r="SXQ85" s="1"/>
      <c r="SXR85" s="1"/>
      <c r="SXS85" s="1"/>
      <c r="SXT85" s="1"/>
      <c r="SXU85" s="1"/>
      <c r="SXV85" s="1"/>
      <c r="SXW85" s="1"/>
      <c r="SXX85" s="1"/>
      <c r="SXY85" s="1"/>
      <c r="SXZ85" s="1"/>
      <c r="SYA85" s="1"/>
      <c r="SYB85" s="1"/>
      <c r="SYC85" s="1"/>
      <c r="SYD85" s="1"/>
      <c r="SYE85" s="1"/>
      <c r="SYF85" s="1"/>
      <c r="SYG85" s="1"/>
      <c r="SYH85" s="1"/>
      <c r="SYI85" s="1"/>
      <c r="SYJ85" s="1"/>
      <c r="SYK85" s="1"/>
      <c r="SYL85" s="1"/>
      <c r="SYM85" s="1"/>
      <c r="SYN85" s="1"/>
      <c r="SYO85" s="1"/>
      <c r="SYP85" s="1"/>
      <c r="SYQ85" s="1"/>
      <c r="SYR85" s="1"/>
      <c r="SYS85" s="1"/>
      <c r="SYT85" s="1"/>
      <c r="SYU85" s="1"/>
      <c r="SYV85" s="1"/>
      <c r="SYW85" s="1"/>
      <c r="SYX85" s="1"/>
      <c r="SYY85" s="1"/>
      <c r="SYZ85" s="1"/>
      <c r="SZA85" s="1"/>
      <c r="SZB85" s="1"/>
      <c r="SZC85" s="1"/>
      <c r="SZD85" s="1"/>
      <c r="SZE85" s="1"/>
      <c r="SZF85" s="1"/>
      <c r="SZG85" s="1"/>
      <c r="SZH85" s="1"/>
      <c r="SZI85" s="1"/>
      <c r="SZJ85" s="1"/>
      <c r="SZK85" s="1"/>
      <c r="SZL85" s="1"/>
      <c r="SZM85" s="1"/>
      <c r="SZN85" s="1"/>
      <c r="SZO85" s="1"/>
      <c r="SZP85" s="1"/>
      <c r="SZQ85" s="1"/>
      <c r="SZR85" s="1"/>
      <c r="SZS85" s="1"/>
      <c r="SZT85" s="1"/>
      <c r="SZU85" s="1"/>
      <c r="SZV85" s="1"/>
      <c r="SZW85" s="1"/>
      <c r="SZX85" s="1"/>
      <c r="SZY85" s="1"/>
      <c r="SZZ85" s="1"/>
      <c r="TAA85" s="1"/>
      <c r="TAB85" s="1"/>
      <c r="TAC85" s="1"/>
      <c r="TAD85" s="1"/>
      <c r="TAE85" s="1"/>
      <c r="TAF85" s="1"/>
      <c r="TAG85" s="1"/>
      <c r="TAH85" s="1"/>
      <c r="TAI85" s="1"/>
      <c r="TAJ85" s="1"/>
      <c r="TAK85" s="1"/>
      <c r="TAL85" s="1"/>
      <c r="TAM85" s="1"/>
      <c r="TAN85" s="1"/>
      <c r="TAO85" s="1"/>
      <c r="TAP85" s="1"/>
      <c r="TAQ85" s="1"/>
      <c r="TAR85" s="1"/>
      <c r="TAS85" s="1"/>
      <c r="TAT85" s="1"/>
      <c r="TAU85" s="1"/>
      <c r="TAV85" s="1"/>
      <c r="TAW85" s="1"/>
      <c r="TAX85" s="1"/>
      <c r="TAY85" s="1"/>
      <c r="TAZ85" s="1"/>
      <c r="TBA85" s="1"/>
      <c r="TBB85" s="1"/>
      <c r="TBC85" s="1"/>
      <c r="TBD85" s="1"/>
      <c r="TBE85" s="1"/>
      <c r="TBF85" s="1"/>
      <c r="TBG85" s="1"/>
      <c r="TBH85" s="1"/>
      <c r="TBI85" s="1"/>
      <c r="TBJ85" s="1"/>
      <c r="TBK85" s="1"/>
      <c r="TBL85" s="1"/>
      <c r="TBM85" s="1"/>
      <c r="TBN85" s="1"/>
      <c r="TBO85" s="1"/>
      <c r="TBP85" s="1"/>
      <c r="TBQ85" s="1"/>
      <c r="TBR85" s="1"/>
      <c r="TBS85" s="1"/>
      <c r="TBT85" s="1"/>
      <c r="TBU85" s="1"/>
      <c r="TBV85" s="1"/>
      <c r="TBW85" s="1"/>
      <c r="TBX85" s="1"/>
      <c r="TBY85" s="1"/>
      <c r="TBZ85" s="1"/>
      <c r="TCA85" s="1"/>
      <c r="TCB85" s="1"/>
      <c r="TCC85" s="1"/>
      <c r="TCD85" s="1"/>
      <c r="TCE85" s="1"/>
      <c r="TCF85" s="1"/>
      <c r="TCG85" s="1"/>
      <c r="TCH85" s="1"/>
      <c r="TCI85" s="1"/>
      <c r="TCJ85" s="1"/>
      <c r="TCK85" s="1"/>
      <c r="TCL85" s="1"/>
      <c r="TCM85" s="1"/>
      <c r="TCN85" s="1"/>
      <c r="TCO85" s="1"/>
      <c r="TCP85" s="1"/>
      <c r="TCQ85" s="1"/>
      <c r="TCR85" s="1"/>
      <c r="TCS85" s="1"/>
      <c r="TCT85" s="1"/>
      <c r="TCU85" s="1"/>
      <c r="TCV85" s="1"/>
      <c r="TCW85" s="1"/>
      <c r="TCX85" s="1"/>
      <c r="TCY85" s="1"/>
      <c r="TCZ85" s="1"/>
      <c r="TDA85" s="1"/>
      <c r="TDB85" s="1"/>
      <c r="TDC85" s="1"/>
      <c r="TDD85" s="1"/>
      <c r="TDE85" s="1"/>
      <c r="TDF85" s="1"/>
      <c r="TDG85" s="1"/>
      <c r="TDH85" s="1"/>
      <c r="TDI85" s="1"/>
      <c r="TDJ85" s="1"/>
      <c r="TDK85" s="1"/>
      <c r="TDL85" s="1"/>
      <c r="TDM85" s="1"/>
      <c r="TDN85" s="1"/>
      <c r="TDO85" s="1"/>
      <c r="TDP85" s="1"/>
      <c r="TDQ85" s="1"/>
      <c r="TDR85" s="1"/>
      <c r="TDS85" s="1"/>
      <c r="TDT85" s="1"/>
      <c r="TDU85" s="1"/>
      <c r="TDV85" s="1"/>
      <c r="TDW85" s="1"/>
      <c r="TDX85" s="1"/>
      <c r="TDY85" s="1"/>
      <c r="TDZ85" s="1"/>
      <c r="TEA85" s="1"/>
      <c r="TEB85" s="1"/>
      <c r="TEC85" s="1"/>
      <c r="TED85" s="1"/>
      <c r="TEE85" s="1"/>
      <c r="TEF85" s="1"/>
      <c r="TEG85" s="1"/>
      <c r="TEH85" s="1"/>
      <c r="TEI85" s="1"/>
      <c r="TEJ85" s="1"/>
      <c r="TEK85" s="1"/>
      <c r="TEL85" s="1"/>
      <c r="TEM85" s="1"/>
      <c r="TEN85" s="1"/>
      <c r="TEO85" s="1"/>
      <c r="TEP85" s="1"/>
      <c r="TEQ85" s="1"/>
      <c r="TER85" s="1"/>
      <c r="TES85" s="1"/>
      <c r="TET85" s="1"/>
      <c r="TEU85" s="1"/>
      <c r="TEV85" s="1"/>
      <c r="TEW85" s="1"/>
      <c r="TEX85" s="1"/>
      <c r="TEY85" s="1"/>
      <c r="TEZ85" s="1"/>
      <c r="TFA85" s="1"/>
      <c r="TFB85" s="1"/>
      <c r="TFC85" s="1"/>
      <c r="TFD85" s="1"/>
      <c r="TFE85" s="1"/>
      <c r="TFF85" s="1"/>
      <c r="TFG85" s="1"/>
      <c r="TFH85" s="1"/>
      <c r="TFI85" s="1"/>
      <c r="TFJ85" s="1"/>
      <c r="TFK85" s="1"/>
      <c r="TFL85" s="1"/>
      <c r="TFM85" s="1"/>
      <c r="TFN85" s="1"/>
      <c r="TFO85" s="1"/>
      <c r="TFP85" s="1"/>
      <c r="TFQ85" s="1"/>
      <c r="TFR85" s="1"/>
      <c r="TFS85" s="1"/>
      <c r="TFT85" s="1"/>
      <c r="TFU85" s="1"/>
      <c r="TFV85" s="1"/>
      <c r="TFW85" s="1"/>
      <c r="TFX85" s="1"/>
      <c r="TFY85" s="1"/>
      <c r="TFZ85" s="1"/>
      <c r="TGA85" s="1"/>
      <c r="TGB85" s="1"/>
      <c r="TGC85" s="1"/>
      <c r="TGD85" s="1"/>
      <c r="TGE85" s="1"/>
      <c r="TGF85" s="1"/>
      <c r="TGG85" s="1"/>
      <c r="TGH85" s="1"/>
      <c r="TGI85" s="1"/>
      <c r="TGJ85" s="1"/>
      <c r="TGK85" s="1"/>
      <c r="TGL85" s="1"/>
      <c r="TGM85" s="1"/>
      <c r="TGN85" s="1"/>
      <c r="TGO85" s="1"/>
      <c r="TGP85" s="1"/>
      <c r="TGQ85" s="1"/>
      <c r="TGR85" s="1"/>
      <c r="TGS85" s="1"/>
      <c r="TGT85" s="1"/>
      <c r="TGU85" s="1"/>
      <c r="TGV85" s="1"/>
      <c r="TGW85" s="1"/>
      <c r="TGX85" s="1"/>
      <c r="TGY85" s="1"/>
      <c r="TGZ85" s="1"/>
      <c r="THA85" s="1"/>
      <c r="THB85" s="1"/>
      <c r="THC85" s="1"/>
      <c r="THD85" s="1"/>
      <c r="THE85" s="1"/>
      <c r="THF85" s="1"/>
      <c r="THG85" s="1"/>
      <c r="THH85" s="1"/>
      <c r="THI85" s="1"/>
      <c r="THJ85" s="1"/>
      <c r="THK85" s="1"/>
      <c r="THL85" s="1"/>
      <c r="THM85" s="1"/>
      <c r="THN85" s="1"/>
      <c r="THO85" s="1"/>
      <c r="THP85" s="1"/>
      <c r="THQ85" s="1"/>
      <c r="THR85" s="1"/>
      <c r="THS85" s="1"/>
      <c r="THT85" s="1"/>
      <c r="THU85" s="1"/>
      <c r="THV85" s="1"/>
      <c r="THW85" s="1"/>
      <c r="THX85" s="1"/>
      <c r="THY85" s="1"/>
      <c r="THZ85" s="1"/>
      <c r="TIA85" s="1"/>
      <c r="TIB85" s="1"/>
      <c r="TIC85" s="1"/>
      <c r="TID85" s="1"/>
      <c r="TIE85" s="1"/>
      <c r="TIF85" s="1"/>
      <c r="TIG85" s="1"/>
      <c r="TIH85" s="1"/>
      <c r="TII85" s="1"/>
      <c r="TIJ85" s="1"/>
      <c r="TIK85" s="1"/>
      <c r="TIL85" s="1"/>
      <c r="TIM85" s="1"/>
      <c r="TIN85" s="1"/>
      <c r="TIO85" s="1"/>
      <c r="TIP85" s="1"/>
      <c r="TIQ85" s="1"/>
      <c r="TIR85" s="1"/>
      <c r="TIS85" s="1"/>
      <c r="TIT85" s="1"/>
      <c r="TIU85" s="1"/>
      <c r="TIV85" s="1"/>
      <c r="TIW85" s="1"/>
      <c r="TIX85" s="1"/>
      <c r="TIY85" s="1"/>
      <c r="TIZ85" s="1"/>
      <c r="TJA85" s="1"/>
      <c r="TJB85" s="1"/>
      <c r="TJC85" s="1"/>
      <c r="TJD85" s="1"/>
      <c r="TJE85" s="1"/>
      <c r="TJF85" s="1"/>
      <c r="TJG85" s="1"/>
      <c r="TJH85" s="1"/>
      <c r="TJI85" s="1"/>
      <c r="TJJ85" s="1"/>
      <c r="TJK85" s="1"/>
      <c r="TJL85" s="1"/>
      <c r="TJM85" s="1"/>
      <c r="TJN85" s="1"/>
      <c r="TJO85" s="1"/>
      <c r="TJP85" s="1"/>
      <c r="TJQ85" s="1"/>
      <c r="TJR85" s="1"/>
      <c r="TJS85" s="1"/>
      <c r="TJT85" s="1"/>
      <c r="TJU85" s="1"/>
      <c r="TJV85" s="1"/>
      <c r="TJW85" s="1"/>
      <c r="TJX85" s="1"/>
      <c r="TJY85" s="1"/>
      <c r="TJZ85" s="1"/>
      <c r="TKA85" s="1"/>
      <c r="TKB85" s="1"/>
      <c r="TKC85" s="1"/>
      <c r="TKD85" s="1"/>
      <c r="TKE85" s="1"/>
      <c r="TKF85" s="1"/>
      <c r="TKG85" s="1"/>
      <c r="TKH85" s="1"/>
      <c r="TKI85" s="1"/>
      <c r="TKJ85" s="1"/>
      <c r="TKK85" s="1"/>
      <c r="TKL85" s="1"/>
      <c r="TKM85" s="1"/>
      <c r="TKN85" s="1"/>
      <c r="TKO85" s="1"/>
      <c r="TKP85" s="1"/>
      <c r="TKQ85" s="1"/>
      <c r="TKR85" s="1"/>
      <c r="TKS85" s="1"/>
      <c r="TKT85" s="1"/>
      <c r="TKU85" s="1"/>
      <c r="TKV85" s="1"/>
      <c r="TKW85" s="1"/>
      <c r="TKX85" s="1"/>
      <c r="TKY85" s="1"/>
      <c r="TKZ85" s="1"/>
      <c r="TLA85" s="1"/>
      <c r="TLB85" s="1"/>
      <c r="TLC85" s="1"/>
      <c r="TLD85" s="1"/>
      <c r="TLE85" s="1"/>
      <c r="TLF85" s="1"/>
      <c r="TLG85" s="1"/>
      <c r="TLH85" s="1"/>
      <c r="TLI85" s="1"/>
      <c r="TLJ85" s="1"/>
      <c r="TLK85" s="1"/>
      <c r="TLL85" s="1"/>
      <c r="TLM85" s="1"/>
      <c r="TLN85" s="1"/>
      <c r="TLO85" s="1"/>
      <c r="TLP85" s="1"/>
      <c r="TLQ85" s="1"/>
      <c r="TLR85" s="1"/>
      <c r="TLS85" s="1"/>
      <c r="TLT85" s="1"/>
      <c r="TLU85" s="1"/>
      <c r="TLV85" s="1"/>
      <c r="TLW85" s="1"/>
      <c r="TLX85" s="1"/>
      <c r="TLY85" s="1"/>
      <c r="TLZ85" s="1"/>
      <c r="TMA85" s="1"/>
      <c r="TMB85" s="1"/>
      <c r="TMC85" s="1"/>
      <c r="TMD85" s="1"/>
      <c r="TME85" s="1"/>
      <c r="TMF85" s="1"/>
      <c r="TMG85" s="1"/>
      <c r="TMH85" s="1"/>
      <c r="TMI85" s="1"/>
      <c r="TMJ85" s="1"/>
      <c r="TMK85" s="1"/>
      <c r="TML85" s="1"/>
      <c r="TMM85" s="1"/>
      <c r="TMN85" s="1"/>
      <c r="TMO85" s="1"/>
      <c r="TMP85" s="1"/>
      <c r="TMQ85" s="1"/>
      <c r="TMR85" s="1"/>
      <c r="TMS85" s="1"/>
      <c r="TMT85" s="1"/>
      <c r="TMU85" s="1"/>
      <c r="TMV85" s="1"/>
      <c r="TMW85" s="1"/>
      <c r="TMX85" s="1"/>
      <c r="TMY85" s="1"/>
      <c r="TMZ85" s="1"/>
      <c r="TNA85" s="1"/>
      <c r="TNB85" s="1"/>
      <c r="TNC85" s="1"/>
      <c r="TND85" s="1"/>
      <c r="TNE85" s="1"/>
      <c r="TNF85" s="1"/>
      <c r="TNG85" s="1"/>
      <c r="TNH85" s="1"/>
      <c r="TNI85" s="1"/>
      <c r="TNJ85" s="1"/>
      <c r="TNK85" s="1"/>
      <c r="TNL85" s="1"/>
      <c r="TNM85" s="1"/>
      <c r="TNN85" s="1"/>
      <c r="TNO85" s="1"/>
      <c r="TNP85" s="1"/>
      <c r="TNQ85" s="1"/>
      <c r="TNR85" s="1"/>
      <c r="TNS85" s="1"/>
      <c r="TNT85" s="1"/>
      <c r="TNU85" s="1"/>
      <c r="TNV85" s="1"/>
      <c r="TNW85" s="1"/>
      <c r="TNX85" s="1"/>
      <c r="TNY85" s="1"/>
      <c r="TNZ85" s="1"/>
      <c r="TOA85" s="1"/>
      <c r="TOB85" s="1"/>
      <c r="TOC85" s="1"/>
      <c r="TOD85" s="1"/>
      <c r="TOE85" s="1"/>
      <c r="TOF85" s="1"/>
      <c r="TOG85" s="1"/>
      <c r="TOH85" s="1"/>
      <c r="TOI85" s="1"/>
      <c r="TOJ85" s="1"/>
      <c r="TOK85" s="1"/>
      <c r="TOL85" s="1"/>
      <c r="TOM85" s="1"/>
      <c r="TON85" s="1"/>
      <c r="TOO85" s="1"/>
      <c r="TOP85" s="1"/>
      <c r="TOQ85" s="1"/>
      <c r="TOR85" s="1"/>
      <c r="TOS85" s="1"/>
      <c r="TOT85" s="1"/>
      <c r="TOU85" s="1"/>
      <c r="TOV85" s="1"/>
      <c r="TOW85" s="1"/>
      <c r="TOX85" s="1"/>
      <c r="TOY85" s="1"/>
      <c r="TOZ85" s="1"/>
      <c r="TPA85" s="1"/>
      <c r="TPB85" s="1"/>
      <c r="TPC85" s="1"/>
      <c r="TPD85" s="1"/>
      <c r="TPE85" s="1"/>
      <c r="TPF85" s="1"/>
      <c r="TPG85" s="1"/>
      <c r="TPH85" s="1"/>
      <c r="TPI85" s="1"/>
      <c r="TPJ85" s="1"/>
      <c r="TPK85" s="1"/>
      <c r="TPL85" s="1"/>
      <c r="TPM85" s="1"/>
      <c r="TPN85" s="1"/>
      <c r="TPO85" s="1"/>
      <c r="TPP85" s="1"/>
      <c r="TPQ85" s="1"/>
      <c r="TPR85" s="1"/>
      <c r="TPS85" s="1"/>
      <c r="TPT85" s="1"/>
      <c r="TPU85" s="1"/>
      <c r="TPV85" s="1"/>
      <c r="TPW85" s="1"/>
      <c r="TPX85" s="1"/>
      <c r="TPY85" s="1"/>
      <c r="TPZ85" s="1"/>
      <c r="TQA85" s="1"/>
      <c r="TQB85" s="1"/>
      <c r="TQC85" s="1"/>
      <c r="TQD85" s="1"/>
      <c r="TQE85" s="1"/>
      <c r="TQF85" s="1"/>
      <c r="TQG85" s="1"/>
      <c r="TQH85" s="1"/>
      <c r="TQI85" s="1"/>
      <c r="TQJ85" s="1"/>
      <c r="TQK85" s="1"/>
      <c r="TQL85" s="1"/>
      <c r="TQM85" s="1"/>
      <c r="TQN85" s="1"/>
      <c r="TQO85" s="1"/>
      <c r="TQP85" s="1"/>
      <c r="TQQ85" s="1"/>
      <c r="TQR85" s="1"/>
      <c r="TQS85" s="1"/>
      <c r="TQT85" s="1"/>
      <c r="TQU85" s="1"/>
      <c r="TQV85" s="1"/>
      <c r="TQW85" s="1"/>
      <c r="TQX85" s="1"/>
      <c r="TQY85" s="1"/>
      <c r="TQZ85" s="1"/>
      <c r="TRA85" s="1"/>
      <c r="TRB85" s="1"/>
      <c r="TRC85" s="1"/>
      <c r="TRD85" s="1"/>
      <c r="TRE85" s="1"/>
      <c r="TRF85" s="1"/>
      <c r="TRG85" s="1"/>
      <c r="TRH85" s="1"/>
      <c r="TRI85" s="1"/>
      <c r="TRJ85" s="1"/>
      <c r="TRK85" s="1"/>
      <c r="TRL85" s="1"/>
      <c r="TRM85" s="1"/>
      <c r="TRN85" s="1"/>
      <c r="TRO85" s="1"/>
      <c r="TRP85" s="1"/>
      <c r="TRQ85" s="1"/>
      <c r="TRR85" s="1"/>
      <c r="TRS85" s="1"/>
      <c r="TRT85" s="1"/>
      <c r="TRU85" s="1"/>
      <c r="TRV85" s="1"/>
      <c r="TRW85" s="1"/>
      <c r="TRX85" s="1"/>
      <c r="TRY85" s="1"/>
      <c r="TRZ85" s="1"/>
      <c r="TSA85" s="1"/>
      <c r="TSB85" s="1"/>
      <c r="TSC85" s="1"/>
      <c r="TSD85" s="1"/>
      <c r="TSE85" s="1"/>
      <c r="TSF85" s="1"/>
      <c r="TSG85" s="1"/>
      <c r="TSH85" s="1"/>
      <c r="TSI85" s="1"/>
      <c r="TSJ85" s="1"/>
      <c r="TSK85" s="1"/>
      <c r="TSL85" s="1"/>
      <c r="TSM85" s="1"/>
      <c r="TSN85" s="1"/>
      <c r="TSO85" s="1"/>
      <c r="TSP85" s="1"/>
      <c r="TSQ85" s="1"/>
      <c r="TSR85" s="1"/>
      <c r="TSS85" s="1"/>
      <c r="TST85" s="1"/>
      <c r="TSU85" s="1"/>
      <c r="TSV85" s="1"/>
      <c r="TSW85" s="1"/>
      <c r="TSX85" s="1"/>
      <c r="TSY85" s="1"/>
      <c r="TSZ85" s="1"/>
      <c r="TTA85" s="1"/>
      <c r="TTB85" s="1"/>
      <c r="TTC85" s="1"/>
      <c r="TTD85" s="1"/>
      <c r="TTE85" s="1"/>
      <c r="TTF85" s="1"/>
      <c r="TTG85" s="1"/>
      <c r="TTH85" s="1"/>
      <c r="TTI85" s="1"/>
      <c r="TTJ85" s="1"/>
      <c r="TTK85" s="1"/>
      <c r="TTL85" s="1"/>
      <c r="TTM85" s="1"/>
      <c r="TTN85" s="1"/>
      <c r="TTO85" s="1"/>
      <c r="TTP85" s="1"/>
      <c r="TTQ85" s="1"/>
      <c r="TTR85" s="1"/>
      <c r="TTS85" s="1"/>
      <c r="TTT85" s="1"/>
      <c r="TTU85" s="1"/>
      <c r="TTV85" s="1"/>
      <c r="TTW85" s="1"/>
      <c r="TTX85" s="1"/>
      <c r="TTY85" s="1"/>
      <c r="TTZ85" s="1"/>
      <c r="TUA85" s="1"/>
      <c r="TUB85" s="1"/>
      <c r="TUC85" s="1"/>
      <c r="TUD85" s="1"/>
      <c r="TUE85" s="1"/>
      <c r="TUF85" s="1"/>
      <c r="TUG85" s="1"/>
      <c r="TUH85" s="1"/>
      <c r="TUI85" s="1"/>
      <c r="TUJ85" s="1"/>
      <c r="TUK85" s="1"/>
      <c r="TUL85" s="1"/>
      <c r="TUM85" s="1"/>
      <c r="TUN85" s="1"/>
      <c r="TUO85" s="1"/>
      <c r="TUP85" s="1"/>
      <c r="TUQ85" s="1"/>
      <c r="TUR85" s="1"/>
      <c r="TUS85" s="1"/>
      <c r="TUT85" s="1"/>
      <c r="TUU85" s="1"/>
      <c r="TUV85" s="1"/>
      <c r="TUW85" s="1"/>
      <c r="TUX85" s="1"/>
      <c r="TUY85" s="1"/>
      <c r="TUZ85" s="1"/>
      <c r="TVA85" s="1"/>
      <c r="TVB85" s="1"/>
      <c r="TVC85" s="1"/>
      <c r="TVD85" s="1"/>
      <c r="TVE85" s="1"/>
      <c r="TVF85" s="1"/>
      <c r="TVG85" s="1"/>
      <c r="TVH85" s="1"/>
      <c r="TVI85" s="1"/>
      <c r="TVJ85" s="1"/>
      <c r="TVK85" s="1"/>
      <c r="TVL85" s="1"/>
      <c r="TVM85" s="1"/>
      <c r="TVN85" s="1"/>
      <c r="TVO85" s="1"/>
      <c r="TVP85" s="1"/>
      <c r="TVQ85" s="1"/>
      <c r="TVR85" s="1"/>
      <c r="TVS85" s="1"/>
      <c r="TVT85" s="1"/>
      <c r="TVU85" s="1"/>
      <c r="TVV85" s="1"/>
      <c r="TVW85" s="1"/>
      <c r="TVX85" s="1"/>
      <c r="TVY85" s="1"/>
      <c r="TVZ85" s="1"/>
      <c r="TWA85" s="1"/>
      <c r="TWB85" s="1"/>
      <c r="TWC85" s="1"/>
      <c r="TWD85" s="1"/>
      <c r="TWE85" s="1"/>
      <c r="TWF85" s="1"/>
      <c r="TWG85" s="1"/>
      <c r="TWH85" s="1"/>
      <c r="TWI85" s="1"/>
      <c r="TWJ85" s="1"/>
      <c r="TWK85" s="1"/>
      <c r="TWL85" s="1"/>
      <c r="TWM85" s="1"/>
      <c r="TWN85" s="1"/>
      <c r="TWO85" s="1"/>
      <c r="TWP85" s="1"/>
      <c r="TWQ85" s="1"/>
      <c r="TWR85" s="1"/>
      <c r="TWS85" s="1"/>
      <c r="TWT85" s="1"/>
      <c r="TWU85" s="1"/>
      <c r="TWV85" s="1"/>
      <c r="TWW85" s="1"/>
      <c r="TWX85" s="1"/>
      <c r="TWY85" s="1"/>
      <c r="TWZ85" s="1"/>
      <c r="TXA85" s="1"/>
      <c r="TXB85" s="1"/>
      <c r="TXC85" s="1"/>
      <c r="TXD85" s="1"/>
      <c r="TXE85" s="1"/>
      <c r="TXF85" s="1"/>
      <c r="TXG85" s="1"/>
      <c r="TXH85" s="1"/>
      <c r="TXI85" s="1"/>
      <c r="TXJ85" s="1"/>
      <c r="TXK85" s="1"/>
      <c r="TXL85" s="1"/>
      <c r="TXM85" s="1"/>
      <c r="TXN85" s="1"/>
      <c r="TXO85" s="1"/>
      <c r="TXP85" s="1"/>
      <c r="TXQ85" s="1"/>
      <c r="TXR85" s="1"/>
      <c r="TXS85" s="1"/>
      <c r="TXT85" s="1"/>
      <c r="TXU85" s="1"/>
      <c r="TXV85" s="1"/>
      <c r="TXW85" s="1"/>
      <c r="TXX85" s="1"/>
      <c r="TXY85" s="1"/>
      <c r="TXZ85" s="1"/>
      <c r="TYA85" s="1"/>
      <c r="TYB85" s="1"/>
      <c r="TYC85" s="1"/>
      <c r="TYD85" s="1"/>
      <c r="TYE85" s="1"/>
      <c r="TYF85" s="1"/>
      <c r="TYG85" s="1"/>
      <c r="TYH85" s="1"/>
      <c r="TYI85" s="1"/>
      <c r="TYJ85" s="1"/>
      <c r="TYK85" s="1"/>
      <c r="TYL85" s="1"/>
      <c r="TYM85" s="1"/>
      <c r="TYN85" s="1"/>
      <c r="TYO85" s="1"/>
      <c r="TYP85" s="1"/>
      <c r="TYQ85" s="1"/>
      <c r="TYR85" s="1"/>
      <c r="TYS85" s="1"/>
      <c r="TYT85" s="1"/>
      <c r="TYU85" s="1"/>
      <c r="TYV85" s="1"/>
      <c r="TYW85" s="1"/>
      <c r="TYX85" s="1"/>
      <c r="TYY85" s="1"/>
      <c r="TYZ85" s="1"/>
      <c r="TZA85" s="1"/>
      <c r="TZB85" s="1"/>
      <c r="TZC85" s="1"/>
      <c r="TZD85" s="1"/>
      <c r="TZE85" s="1"/>
      <c r="TZF85" s="1"/>
      <c r="TZG85" s="1"/>
      <c r="TZH85" s="1"/>
      <c r="TZI85" s="1"/>
      <c r="TZJ85" s="1"/>
      <c r="TZK85" s="1"/>
      <c r="TZL85" s="1"/>
      <c r="TZM85" s="1"/>
      <c r="TZN85" s="1"/>
      <c r="TZO85" s="1"/>
      <c r="TZP85" s="1"/>
      <c r="TZQ85" s="1"/>
      <c r="TZR85" s="1"/>
      <c r="TZS85" s="1"/>
      <c r="TZT85" s="1"/>
      <c r="TZU85" s="1"/>
      <c r="TZV85" s="1"/>
      <c r="TZW85" s="1"/>
      <c r="TZX85" s="1"/>
      <c r="TZY85" s="1"/>
      <c r="TZZ85" s="1"/>
      <c r="UAA85" s="1"/>
      <c r="UAB85" s="1"/>
      <c r="UAC85" s="1"/>
      <c r="UAD85" s="1"/>
      <c r="UAE85" s="1"/>
      <c r="UAF85" s="1"/>
      <c r="UAG85" s="1"/>
      <c r="UAH85" s="1"/>
      <c r="UAI85" s="1"/>
      <c r="UAJ85" s="1"/>
      <c r="UAK85" s="1"/>
      <c r="UAL85" s="1"/>
      <c r="UAM85" s="1"/>
      <c r="UAN85" s="1"/>
      <c r="UAO85" s="1"/>
      <c r="UAP85" s="1"/>
      <c r="UAQ85" s="1"/>
      <c r="UAR85" s="1"/>
      <c r="UAS85" s="1"/>
      <c r="UAT85" s="1"/>
      <c r="UAU85" s="1"/>
      <c r="UAV85" s="1"/>
      <c r="UAW85" s="1"/>
      <c r="UAX85" s="1"/>
      <c r="UAY85" s="1"/>
      <c r="UAZ85" s="1"/>
      <c r="UBA85" s="1"/>
      <c r="UBB85" s="1"/>
      <c r="UBC85" s="1"/>
      <c r="UBD85" s="1"/>
      <c r="UBE85" s="1"/>
      <c r="UBF85" s="1"/>
      <c r="UBG85" s="1"/>
      <c r="UBH85" s="1"/>
      <c r="UBI85" s="1"/>
      <c r="UBJ85" s="1"/>
      <c r="UBK85" s="1"/>
      <c r="UBL85" s="1"/>
      <c r="UBM85" s="1"/>
      <c r="UBN85" s="1"/>
      <c r="UBO85" s="1"/>
      <c r="UBP85" s="1"/>
      <c r="UBQ85" s="1"/>
      <c r="UBR85" s="1"/>
      <c r="UBS85" s="1"/>
      <c r="UBT85" s="1"/>
      <c r="UBU85" s="1"/>
      <c r="UBV85" s="1"/>
      <c r="UBW85" s="1"/>
      <c r="UBX85" s="1"/>
      <c r="UBY85" s="1"/>
      <c r="UBZ85" s="1"/>
      <c r="UCA85" s="1"/>
      <c r="UCB85" s="1"/>
      <c r="UCC85" s="1"/>
      <c r="UCD85" s="1"/>
      <c r="UCE85" s="1"/>
      <c r="UCF85" s="1"/>
      <c r="UCG85" s="1"/>
      <c r="UCH85" s="1"/>
      <c r="UCI85" s="1"/>
      <c r="UCJ85" s="1"/>
      <c r="UCK85" s="1"/>
      <c r="UCL85" s="1"/>
      <c r="UCM85" s="1"/>
      <c r="UCN85" s="1"/>
      <c r="UCO85" s="1"/>
      <c r="UCP85" s="1"/>
      <c r="UCQ85" s="1"/>
      <c r="UCR85" s="1"/>
      <c r="UCS85" s="1"/>
      <c r="UCT85" s="1"/>
      <c r="UCU85" s="1"/>
      <c r="UCV85" s="1"/>
      <c r="UCW85" s="1"/>
      <c r="UCX85" s="1"/>
      <c r="UCY85" s="1"/>
      <c r="UCZ85" s="1"/>
      <c r="UDA85" s="1"/>
      <c r="UDB85" s="1"/>
      <c r="UDC85" s="1"/>
      <c r="UDD85" s="1"/>
      <c r="UDE85" s="1"/>
      <c r="UDF85" s="1"/>
      <c r="UDG85" s="1"/>
      <c r="UDH85" s="1"/>
      <c r="UDI85" s="1"/>
      <c r="UDJ85" s="1"/>
      <c r="UDK85" s="1"/>
      <c r="UDL85" s="1"/>
      <c r="UDM85" s="1"/>
      <c r="UDN85" s="1"/>
      <c r="UDO85" s="1"/>
      <c r="UDP85" s="1"/>
      <c r="UDQ85" s="1"/>
      <c r="UDR85" s="1"/>
      <c r="UDS85" s="1"/>
      <c r="UDT85" s="1"/>
      <c r="UDU85" s="1"/>
      <c r="UDV85" s="1"/>
      <c r="UDW85" s="1"/>
      <c r="UDX85" s="1"/>
      <c r="UDY85" s="1"/>
      <c r="UDZ85" s="1"/>
      <c r="UEA85" s="1"/>
      <c r="UEB85" s="1"/>
      <c r="UEC85" s="1"/>
      <c r="UED85" s="1"/>
      <c r="UEE85" s="1"/>
      <c r="UEF85" s="1"/>
      <c r="UEG85" s="1"/>
      <c r="UEH85" s="1"/>
      <c r="UEI85" s="1"/>
      <c r="UEJ85" s="1"/>
      <c r="UEK85" s="1"/>
      <c r="UEL85" s="1"/>
      <c r="UEM85" s="1"/>
      <c r="UEN85" s="1"/>
      <c r="UEO85" s="1"/>
      <c r="UEP85" s="1"/>
      <c r="UEQ85" s="1"/>
      <c r="UER85" s="1"/>
      <c r="UES85" s="1"/>
      <c r="UET85" s="1"/>
      <c r="UEU85" s="1"/>
      <c r="UEV85" s="1"/>
      <c r="UEW85" s="1"/>
      <c r="UEX85" s="1"/>
      <c r="UEY85" s="1"/>
      <c r="UEZ85" s="1"/>
      <c r="UFA85" s="1"/>
      <c r="UFB85" s="1"/>
      <c r="UFC85" s="1"/>
      <c r="UFD85" s="1"/>
      <c r="UFE85" s="1"/>
      <c r="UFF85" s="1"/>
      <c r="UFG85" s="1"/>
      <c r="UFH85" s="1"/>
      <c r="UFI85" s="1"/>
      <c r="UFJ85" s="1"/>
      <c r="UFK85" s="1"/>
      <c r="UFL85" s="1"/>
      <c r="UFM85" s="1"/>
      <c r="UFN85" s="1"/>
      <c r="UFO85" s="1"/>
      <c r="UFP85" s="1"/>
      <c r="UFQ85" s="1"/>
      <c r="UFR85" s="1"/>
      <c r="UFS85" s="1"/>
      <c r="UFT85" s="1"/>
      <c r="UFU85" s="1"/>
      <c r="UFV85" s="1"/>
      <c r="UFW85" s="1"/>
      <c r="UFX85" s="1"/>
      <c r="UFY85" s="1"/>
      <c r="UFZ85" s="1"/>
      <c r="UGA85" s="1"/>
      <c r="UGB85" s="1"/>
      <c r="UGC85" s="1"/>
      <c r="UGD85" s="1"/>
      <c r="UGE85" s="1"/>
      <c r="UGF85" s="1"/>
      <c r="UGG85" s="1"/>
      <c r="UGH85" s="1"/>
      <c r="UGI85" s="1"/>
      <c r="UGJ85" s="1"/>
      <c r="UGK85" s="1"/>
      <c r="UGL85" s="1"/>
      <c r="UGM85" s="1"/>
      <c r="UGN85" s="1"/>
      <c r="UGO85" s="1"/>
      <c r="UGP85" s="1"/>
      <c r="UGQ85" s="1"/>
      <c r="UGR85" s="1"/>
      <c r="UGS85" s="1"/>
      <c r="UGT85" s="1"/>
      <c r="UGU85" s="1"/>
      <c r="UGV85" s="1"/>
      <c r="UGW85" s="1"/>
      <c r="UGX85" s="1"/>
      <c r="UGY85" s="1"/>
      <c r="UGZ85" s="1"/>
      <c r="UHA85" s="1"/>
      <c r="UHB85" s="1"/>
      <c r="UHC85" s="1"/>
      <c r="UHD85" s="1"/>
      <c r="UHE85" s="1"/>
      <c r="UHF85" s="1"/>
      <c r="UHG85" s="1"/>
      <c r="UHH85" s="1"/>
      <c r="UHI85" s="1"/>
      <c r="UHJ85" s="1"/>
      <c r="UHK85" s="1"/>
      <c r="UHL85" s="1"/>
      <c r="UHM85" s="1"/>
      <c r="UHN85" s="1"/>
      <c r="UHO85" s="1"/>
      <c r="UHP85" s="1"/>
      <c r="UHQ85" s="1"/>
      <c r="UHR85" s="1"/>
      <c r="UHS85" s="1"/>
      <c r="UHT85" s="1"/>
      <c r="UHU85" s="1"/>
      <c r="UHV85" s="1"/>
      <c r="UHW85" s="1"/>
      <c r="UHX85" s="1"/>
      <c r="UHY85" s="1"/>
      <c r="UHZ85" s="1"/>
      <c r="UIA85" s="1"/>
      <c r="UIB85" s="1"/>
      <c r="UIC85" s="1"/>
      <c r="UID85" s="1"/>
      <c r="UIE85" s="1"/>
      <c r="UIF85" s="1"/>
      <c r="UIG85" s="1"/>
      <c r="UIH85" s="1"/>
      <c r="UII85" s="1"/>
      <c r="UIJ85" s="1"/>
      <c r="UIK85" s="1"/>
      <c r="UIL85" s="1"/>
      <c r="UIM85" s="1"/>
      <c r="UIN85" s="1"/>
      <c r="UIO85" s="1"/>
      <c r="UIP85" s="1"/>
      <c r="UIQ85" s="1"/>
      <c r="UIR85" s="1"/>
      <c r="UIS85" s="1"/>
      <c r="UIT85" s="1"/>
      <c r="UIU85" s="1"/>
      <c r="UIV85" s="1"/>
      <c r="UIW85" s="1"/>
      <c r="UIX85" s="1"/>
      <c r="UIY85" s="1"/>
      <c r="UIZ85" s="1"/>
      <c r="UJA85" s="1"/>
      <c r="UJB85" s="1"/>
      <c r="UJC85" s="1"/>
      <c r="UJD85" s="1"/>
      <c r="UJE85" s="1"/>
      <c r="UJF85" s="1"/>
      <c r="UJG85" s="1"/>
      <c r="UJH85" s="1"/>
      <c r="UJI85" s="1"/>
      <c r="UJJ85" s="1"/>
      <c r="UJK85" s="1"/>
      <c r="UJL85" s="1"/>
      <c r="UJM85" s="1"/>
      <c r="UJN85" s="1"/>
      <c r="UJO85" s="1"/>
      <c r="UJP85" s="1"/>
      <c r="UJQ85" s="1"/>
      <c r="UJR85" s="1"/>
      <c r="UJS85" s="1"/>
      <c r="UJT85" s="1"/>
      <c r="UJU85" s="1"/>
      <c r="UJV85" s="1"/>
      <c r="UJW85" s="1"/>
      <c r="UJX85" s="1"/>
      <c r="UJY85" s="1"/>
      <c r="UJZ85" s="1"/>
      <c r="UKA85" s="1"/>
      <c r="UKB85" s="1"/>
      <c r="UKC85" s="1"/>
      <c r="UKD85" s="1"/>
      <c r="UKE85" s="1"/>
      <c r="UKF85" s="1"/>
      <c r="UKG85" s="1"/>
      <c r="UKH85" s="1"/>
      <c r="UKI85" s="1"/>
      <c r="UKJ85" s="1"/>
      <c r="UKK85" s="1"/>
      <c r="UKL85" s="1"/>
      <c r="UKM85" s="1"/>
      <c r="UKN85" s="1"/>
      <c r="UKO85" s="1"/>
      <c r="UKP85" s="1"/>
      <c r="UKQ85" s="1"/>
      <c r="UKR85" s="1"/>
      <c r="UKS85" s="1"/>
      <c r="UKT85" s="1"/>
      <c r="UKU85" s="1"/>
      <c r="UKV85" s="1"/>
      <c r="UKW85" s="1"/>
      <c r="UKX85" s="1"/>
      <c r="UKY85" s="1"/>
      <c r="UKZ85" s="1"/>
      <c r="ULA85" s="1"/>
      <c r="ULB85" s="1"/>
      <c r="ULC85" s="1"/>
      <c r="ULD85" s="1"/>
      <c r="ULE85" s="1"/>
      <c r="ULF85" s="1"/>
      <c r="ULG85" s="1"/>
      <c r="ULH85" s="1"/>
      <c r="ULI85" s="1"/>
      <c r="ULJ85" s="1"/>
      <c r="ULK85" s="1"/>
      <c r="ULL85" s="1"/>
      <c r="ULM85" s="1"/>
      <c r="ULN85" s="1"/>
      <c r="ULO85" s="1"/>
      <c r="ULP85" s="1"/>
      <c r="ULQ85" s="1"/>
      <c r="ULR85" s="1"/>
      <c r="ULS85" s="1"/>
      <c r="ULT85" s="1"/>
      <c r="ULU85" s="1"/>
      <c r="ULV85" s="1"/>
      <c r="ULW85" s="1"/>
      <c r="ULX85" s="1"/>
      <c r="ULY85" s="1"/>
      <c r="ULZ85" s="1"/>
      <c r="UMA85" s="1"/>
      <c r="UMB85" s="1"/>
      <c r="UMC85" s="1"/>
      <c r="UMD85" s="1"/>
      <c r="UME85" s="1"/>
      <c r="UMF85" s="1"/>
      <c r="UMG85" s="1"/>
      <c r="UMH85" s="1"/>
      <c r="UMI85" s="1"/>
      <c r="UMJ85" s="1"/>
      <c r="UMK85" s="1"/>
      <c r="UML85" s="1"/>
      <c r="UMM85" s="1"/>
      <c r="UMN85" s="1"/>
      <c r="UMO85" s="1"/>
      <c r="UMP85" s="1"/>
      <c r="UMQ85" s="1"/>
      <c r="UMR85" s="1"/>
      <c r="UMS85" s="1"/>
      <c r="UMT85" s="1"/>
      <c r="UMU85" s="1"/>
      <c r="UMV85" s="1"/>
      <c r="UMW85" s="1"/>
      <c r="UMX85" s="1"/>
      <c r="UMY85" s="1"/>
      <c r="UMZ85" s="1"/>
      <c r="UNA85" s="1"/>
      <c r="UNB85" s="1"/>
      <c r="UNC85" s="1"/>
      <c r="UND85" s="1"/>
      <c r="UNE85" s="1"/>
      <c r="UNF85" s="1"/>
      <c r="UNG85" s="1"/>
      <c r="UNH85" s="1"/>
      <c r="UNI85" s="1"/>
      <c r="UNJ85" s="1"/>
      <c r="UNK85" s="1"/>
      <c r="UNL85" s="1"/>
      <c r="UNM85" s="1"/>
      <c r="UNN85" s="1"/>
      <c r="UNO85" s="1"/>
      <c r="UNP85" s="1"/>
      <c r="UNQ85" s="1"/>
      <c r="UNR85" s="1"/>
      <c r="UNS85" s="1"/>
      <c r="UNT85" s="1"/>
      <c r="UNU85" s="1"/>
      <c r="UNV85" s="1"/>
      <c r="UNW85" s="1"/>
      <c r="UNX85" s="1"/>
      <c r="UNY85" s="1"/>
      <c r="UNZ85" s="1"/>
      <c r="UOA85" s="1"/>
      <c r="UOB85" s="1"/>
      <c r="UOC85" s="1"/>
      <c r="UOD85" s="1"/>
      <c r="UOE85" s="1"/>
      <c r="UOF85" s="1"/>
      <c r="UOG85" s="1"/>
      <c r="UOH85" s="1"/>
      <c r="UOI85" s="1"/>
      <c r="UOJ85" s="1"/>
      <c r="UOK85" s="1"/>
      <c r="UOL85" s="1"/>
      <c r="UOM85" s="1"/>
      <c r="UON85" s="1"/>
      <c r="UOO85" s="1"/>
      <c r="UOP85" s="1"/>
      <c r="UOQ85" s="1"/>
      <c r="UOR85" s="1"/>
      <c r="UOS85" s="1"/>
      <c r="UOT85" s="1"/>
      <c r="UOU85" s="1"/>
      <c r="UOV85" s="1"/>
      <c r="UOW85" s="1"/>
      <c r="UOX85" s="1"/>
      <c r="UOY85" s="1"/>
      <c r="UOZ85" s="1"/>
      <c r="UPA85" s="1"/>
      <c r="UPB85" s="1"/>
      <c r="UPC85" s="1"/>
      <c r="UPD85" s="1"/>
      <c r="UPE85" s="1"/>
      <c r="UPF85" s="1"/>
      <c r="UPG85" s="1"/>
      <c r="UPH85" s="1"/>
      <c r="UPI85" s="1"/>
      <c r="UPJ85" s="1"/>
      <c r="UPK85" s="1"/>
      <c r="UPL85" s="1"/>
      <c r="UPM85" s="1"/>
      <c r="UPN85" s="1"/>
      <c r="UPO85" s="1"/>
      <c r="UPP85" s="1"/>
      <c r="UPQ85" s="1"/>
      <c r="UPR85" s="1"/>
      <c r="UPS85" s="1"/>
      <c r="UPT85" s="1"/>
      <c r="UPU85" s="1"/>
      <c r="UPV85" s="1"/>
      <c r="UPW85" s="1"/>
      <c r="UPX85" s="1"/>
      <c r="UPY85" s="1"/>
      <c r="UPZ85" s="1"/>
      <c r="UQA85" s="1"/>
      <c r="UQB85" s="1"/>
      <c r="UQC85" s="1"/>
      <c r="UQD85" s="1"/>
      <c r="UQE85" s="1"/>
      <c r="UQF85" s="1"/>
      <c r="UQG85" s="1"/>
      <c r="UQH85" s="1"/>
      <c r="UQI85" s="1"/>
      <c r="UQJ85" s="1"/>
      <c r="UQK85" s="1"/>
      <c r="UQL85" s="1"/>
      <c r="UQM85" s="1"/>
      <c r="UQN85" s="1"/>
      <c r="UQO85" s="1"/>
      <c r="UQP85" s="1"/>
      <c r="UQQ85" s="1"/>
      <c r="UQR85" s="1"/>
      <c r="UQS85" s="1"/>
      <c r="UQT85" s="1"/>
      <c r="UQU85" s="1"/>
      <c r="UQV85" s="1"/>
      <c r="UQW85" s="1"/>
      <c r="UQX85" s="1"/>
      <c r="UQY85" s="1"/>
      <c r="UQZ85" s="1"/>
      <c r="URA85" s="1"/>
      <c r="URB85" s="1"/>
      <c r="URC85" s="1"/>
      <c r="URD85" s="1"/>
      <c r="URE85" s="1"/>
      <c r="URF85" s="1"/>
      <c r="URG85" s="1"/>
      <c r="URH85" s="1"/>
      <c r="URI85" s="1"/>
      <c r="URJ85" s="1"/>
      <c r="URK85" s="1"/>
      <c r="URL85" s="1"/>
      <c r="URM85" s="1"/>
      <c r="URN85" s="1"/>
      <c r="URO85" s="1"/>
      <c r="URP85" s="1"/>
      <c r="URQ85" s="1"/>
      <c r="URR85" s="1"/>
      <c r="URS85" s="1"/>
      <c r="URT85" s="1"/>
      <c r="URU85" s="1"/>
      <c r="URV85" s="1"/>
      <c r="URW85" s="1"/>
      <c r="URX85" s="1"/>
      <c r="URY85" s="1"/>
      <c r="URZ85" s="1"/>
      <c r="USA85" s="1"/>
      <c r="USB85" s="1"/>
      <c r="USC85" s="1"/>
      <c r="USD85" s="1"/>
      <c r="USE85" s="1"/>
      <c r="USF85" s="1"/>
      <c r="USG85" s="1"/>
      <c r="USH85" s="1"/>
      <c r="USI85" s="1"/>
      <c r="USJ85" s="1"/>
      <c r="USK85" s="1"/>
      <c r="USL85" s="1"/>
      <c r="USM85" s="1"/>
      <c r="USN85" s="1"/>
      <c r="USO85" s="1"/>
      <c r="USP85" s="1"/>
      <c r="USQ85" s="1"/>
      <c r="USR85" s="1"/>
      <c r="USS85" s="1"/>
      <c r="UST85" s="1"/>
      <c r="USU85" s="1"/>
      <c r="USV85" s="1"/>
      <c r="USW85" s="1"/>
      <c r="USX85" s="1"/>
      <c r="USY85" s="1"/>
      <c r="USZ85" s="1"/>
      <c r="UTA85" s="1"/>
      <c r="UTB85" s="1"/>
      <c r="UTC85" s="1"/>
      <c r="UTD85" s="1"/>
      <c r="UTE85" s="1"/>
      <c r="UTF85" s="1"/>
      <c r="UTG85" s="1"/>
      <c r="UTH85" s="1"/>
      <c r="UTI85" s="1"/>
      <c r="UTJ85" s="1"/>
      <c r="UTK85" s="1"/>
      <c r="UTL85" s="1"/>
      <c r="UTM85" s="1"/>
      <c r="UTN85" s="1"/>
      <c r="UTO85" s="1"/>
      <c r="UTP85" s="1"/>
      <c r="UTQ85" s="1"/>
      <c r="UTR85" s="1"/>
      <c r="UTS85" s="1"/>
      <c r="UTT85" s="1"/>
      <c r="UTU85" s="1"/>
      <c r="UTV85" s="1"/>
      <c r="UTW85" s="1"/>
      <c r="UTX85" s="1"/>
      <c r="UTY85" s="1"/>
      <c r="UTZ85" s="1"/>
      <c r="UUA85" s="1"/>
      <c r="UUB85" s="1"/>
      <c r="UUC85" s="1"/>
      <c r="UUD85" s="1"/>
      <c r="UUE85" s="1"/>
      <c r="UUF85" s="1"/>
      <c r="UUG85" s="1"/>
      <c r="UUH85" s="1"/>
      <c r="UUI85" s="1"/>
      <c r="UUJ85" s="1"/>
      <c r="UUK85" s="1"/>
      <c r="UUL85" s="1"/>
      <c r="UUM85" s="1"/>
      <c r="UUN85" s="1"/>
      <c r="UUO85" s="1"/>
      <c r="UUP85" s="1"/>
      <c r="UUQ85" s="1"/>
      <c r="UUR85" s="1"/>
      <c r="UUS85" s="1"/>
      <c r="UUT85" s="1"/>
      <c r="UUU85" s="1"/>
      <c r="UUV85" s="1"/>
      <c r="UUW85" s="1"/>
      <c r="UUX85" s="1"/>
      <c r="UUY85" s="1"/>
      <c r="UUZ85" s="1"/>
      <c r="UVA85" s="1"/>
      <c r="UVB85" s="1"/>
      <c r="UVC85" s="1"/>
      <c r="UVD85" s="1"/>
      <c r="UVE85" s="1"/>
      <c r="UVF85" s="1"/>
      <c r="UVG85" s="1"/>
      <c r="UVH85" s="1"/>
      <c r="UVI85" s="1"/>
      <c r="UVJ85" s="1"/>
      <c r="UVK85" s="1"/>
      <c r="UVL85" s="1"/>
      <c r="UVM85" s="1"/>
      <c r="UVN85" s="1"/>
      <c r="UVO85" s="1"/>
      <c r="UVP85" s="1"/>
      <c r="UVQ85" s="1"/>
      <c r="UVR85" s="1"/>
      <c r="UVS85" s="1"/>
      <c r="UVT85" s="1"/>
      <c r="UVU85" s="1"/>
      <c r="UVV85" s="1"/>
      <c r="UVW85" s="1"/>
      <c r="UVX85" s="1"/>
      <c r="UVY85" s="1"/>
      <c r="UVZ85" s="1"/>
      <c r="UWA85" s="1"/>
      <c r="UWB85" s="1"/>
      <c r="UWC85" s="1"/>
      <c r="UWD85" s="1"/>
      <c r="UWE85" s="1"/>
      <c r="UWF85" s="1"/>
      <c r="UWG85" s="1"/>
      <c r="UWH85" s="1"/>
      <c r="UWI85" s="1"/>
      <c r="UWJ85" s="1"/>
      <c r="UWK85" s="1"/>
      <c r="UWL85" s="1"/>
      <c r="UWM85" s="1"/>
      <c r="UWN85" s="1"/>
      <c r="UWO85" s="1"/>
      <c r="UWP85" s="1"/>
      <c r="UWQ85" s="1"/>
      <c r="UWR85" s="1"/>
      <c r="UWS85" s="1"/>
      <c r="UWT85" s="1"/>
      <c r="UWU85" s="1"/>
      <c r="UWV85" s="1"/>
      <c r="UWW85" s="1"/>
      <c r="UWX85" s="1"/>
      <c r="UWY85" s="1"/>
      <c r="UWZ85" s="1"/>
      <c r="UXA85" s="1"/>
      <c r="UXB85" s="1"/>
      <c r="UXC85" s="1"/>
      <c r="UXD85" s="1"/>
      <c r="UXE85" s="1"/>
      <c r="UXF85" s="1"/>
      <c r="UXG85" s="1"/>
      <c r="UXH85" s="1"/>
      <c r="UXI85" s="1"/>
      <c r="UXJ85" s="1"/>
      <c r="UXK85" s="1"/>
      <c r="UXL85" s="1"/>
      <c r="UXM85" s="1"/>
      <c r="UXN85" s="1"/>
      <c r="UXO85" s="1"/>
      <c r="UXP85" s="1"/>
      <c r="UXQ85" s="1"/>
      <c r="UXR85" s="1"/>
      <c r="UXS85" s="1"/>
      <c r="UXT85" s="1"/>
      <c r="UXU85" s="1"/>
      <c r="UXV85" s="1"/>
      <c r="UXW85" s="1"/>
      <c r="UXX85" s="1"/>
      <c r="UXY85" s="1"/>
      <c r="UXZ85" s="1"/>
      <c r="UYA85" s="1"/>
      <c r="UYB85" s="1"/>
      <c r="UYC85" s="1"/>
      <c r="UYD85" s="1"/>
      <c r="UYE85" s="1"/>
      <c r="UYF85" s="1"/>
      <c r="UYG85" s="1"/>
      <c r="UYH85" s="1"/>
      <c r="UYI85" s="1"/>
      <c r="UYJ85" s="1"/>
      <c r="UYK85" s="1"/>
      <c r="UYL85" s="1"/>
      <c r="UYM85" s="1"/>
      <c r="UYN85" s="1"/>
      <c r="UYO85" s="1"/>
      <c r="UYP85" s="1"/>
      <c r="UYQ85" s="1"/>
      <c r="UYR85" s="1"/>
      <c r="UYS85" s="1"/>
      <c r="UYT85" s="1"/>
      <c r="UYU85" s="1"/>
      <c r="UYV85" s="1"/>
      <c r="UYW85" s="1"/>
      <c r="UYX85" s="1"/>
      <c r="UYY85" s="1"/>
      <c r="UYZ85" s="1"/>
      <c r="UZA85" s="1"/>
      <c r="UZB85" s="1"/>
      <c r="UZC85" s="1"/>
      <c r="UZD85" s="1"/>
      <c r="UZE85" s="1"/>
      <c r="UZF85" s="1"/>
      <c r="UZG85" s="1"/>
      <c r="UZH85" s="1"/>
      <c r="UZI85" s="1"/>
      <c r="UZJ85" s="1"/>
      <c r="UZK85" s="1"/>
      <c r="UZL85" s="1"/>
      <c r="UZM85" s="1"/>
      <c r="UZN85" s="1"/>
      <c r="UZO85" s="1"/>
      <c r="UZP85" s="1"/>
      <c r="UZQ85" s="1"/>
      <c r="UZR85" s="1"/>
      <c r="UZS85" s="1"/>
      <c r="UZT85" s="1"/>
      <c r="UZU85" s="1"/>
      <c r="UZV85" s="1"/>
      <c r="UZW85" s="1"/>
      <c r="UZX85" s="1"/>
      <c r="UZY85" s="1"/>
      <c r="UZZ85" s="1"/>
      <c r="VAA85" s="1"/>
      <c r="VAB85" s="1"/>
      <c r="VAC85" s="1"/>
      <c r="VAD85" s="1"/>
      <c r="VAE85" s="1"/>
      <c r="VAF85" s="1"/>
      <c r="VAG85" s="1"/>
      <c r="VAH85" s="1"/>
      <c r="VAI85" s="1"/>
      <c r="VAJ85" s="1"/>
      <c r="VAK85" s="1"/>
      <c r="VAL85" s="1"/>
      <c r="VAM85" s="1"/>
      <c r="VAN85" s="1"/>
      <c r="VAO85" s="1"/>
      <c r="VAP85" s="1"/>
      <c r="VAQ85" s="1"/>
      <c r="VAR85" s="1"/>
      <c r="VAS85" s="1"/>
      <c r="VAT85" s="1"/>
      <c r="VAU85" s="1"/>
      <c r="VAV85" s="1"/>
      <c r="VAW85" s="1"/>
      <c r="VAX85" s="1"/>
      <c r="VAY85" s="1"/>
      <c r="VAZ85" s="1"/>
      <c r="VBA85" s="1"/>
      <c r="VBB85" s="1"/>
      <c r="VBC85" s="1"/>
      <c r="VBD85" s="1"/>
      <c r="VBE85" s="1"/>
      <c r="VBF85" s="1"/>
      <c r="VBG85" s="1"/>
      <c r="VBH85" s="1"/>
      <c r="VBI85" s="1"/>
      <c r="VBJ85" s="1"/>
      <c r="VBK85" s="1"/>
      <c r="VBL85" s="1"/>
      <c r="VBM85" s="1"/>
      <c r="VBN85" s="1"/>
      <c r="VBO85" s="1"/>
      <c r="VBP85" s="1"/>
      <c r="VBQ85" s="1"/>
      <c r="VBR85" s="1"/>
      <c r="VBS85" s="1"/>
      <c r="VBT85" s="1"/>
      <c r="VBU85" s="1"/>
      <c r="VBV85" s="1"/>
      <c r="VBW85" s="1"/>
      <c r="VBX85" s="1"/>
      <c r="VBY85" s="1"/>
      <c r="VBZ85" s="1"/>
      <c r="VCA85" s="1"/>
      <c r="VCB85" s="1"/>
      <c r="VCC85" s="1"/>
      <c r="VCD85" s="1"/>
      <c r="VCE85" s="1"/>
      <c r="VCF85" s="1"/>
      <c r="VCG85" s="1"/>
      <c r="VCH85" s="1"/>
      <c r="VCI85" s="1"/>
      <c r="VCJ85" s="1"/>
      <c r="VCK85" s="1"/>
      <c r="VCL85" s="1"/>
      <c r="VCM85" s="1"/>
      <c r="VCN85" s="1"/>
      <c r="VCO85" s="1"/>
      <c r="VCP85" s="1"/>
      <c r="VCQ85" s="1"/>
      <c r="VCR85" s="1"/>
      <c r="VCS85" s="1"/>
      <c r="VCT85" s="1"/>
      <c r="VCU85" s="1"/>
      <c r="VCV85" s="1"/>
      <c r="VCW85" s="1"/>
      <c r="VCX85" s="1"/>
      <c r="VCY85" s="1"/>
      <c r="VCZ85" s="1"/>
      <c r="VDA85" s="1"/>
      <c r="VDB85" s="1"/>
      <c r="VDC85" s="1"/>
      <c r="VDD85" s="1"/>
      <c r="VDE85" s="1"/>
      <c r="VDF85" s="1"/>
      <c r="VDG85" s="1"/>
      <c r="VDH85" s="1"/>
      <c r="VDI85" s="1"/>
      <c r="VDJ85" s="1"/>
      <c r="VDK85" s="1"/>
      <c r="VDL85" s="1"/>
      <c r="VDM85" s="1"/>
      <c r="VDN85" s="1"/>
      <c r="VDO85" s="1"/>
      <c r="VDP85" s="1"/>
      <c r="VDQ85" s="1"/>
      <c r="VDR85" s="1"/>
      <c r="VDS85" s="1"/>
      <c r="VDT85" s="1"/>
      <c r="VDU85" s="1"/>
      <c r="VDV85" s="1"/>
      <c r="VDW85" s="1"/>
      <c r="VDX85" s="1"/>
      <c r="VDY85" s="1"/>
      <c r="VDZ85" s="1"/>
      <c r="VEA85" s="1"/>
      <c r="VEB85" s="1"/>
      <c r="VEC85" s="1"/>
      <c r="VED85" s="1"/>
      <c r="VEE85" s="1"/>
      <c r="VEF85" s="1"/>
      <c r="VEG85" s="1"/>
      <c r="VEH85" s="1"/>
      <c r="VEI85" s="1"/>
      <c r="VEJ85" s="1"/>
      <c r="VEK85" s="1"/>
      <c r="VEL85" s="1"/>
      <c r="VEM85" s="1"/>
      <c r="VEN85" s="1"/>
      <c r="VEO85" s="1"/>
      <c r="VEP85" s="1"/>
      <c r="VEQ85" s="1"/>
      <c r="VER85" s="1"/>
      <c r="VES85" s="1"/>
      <c r="VET85" s="1"/>
      <c r="VEU85" s="1"/>
      <c r="VEV85" s="1"/>
      <c r="VEW85" s="1"/>
      <c r="VEX85" s="1"/>
      <c r="VEY85" s="1"/>
      <c r="VEZ85" s="1"/>
      <c r="VFA85" s="1"/>
      <c r="VFB85" s="1"/>
      <c r="VFC85" s="1"/>
      <c r="VFD85" s="1"/>
      <c r="VFE85" s="1"/>
      <c r="VFF85" s="1"/>
      <c r="VFG85" s="1"/>
      <c r="VFH85" s="1"/>
      <c r="VFI85" s="1"/>
      <c r="VFJ85" s="1"/>
      <c r="VFK85" s="1"/>
      <c r="VFL85" s="1"/>
      <c r="VFM85" s="1"/>
      <c r="VFN85" s="1"/>
      <c r="VFO85" s="1"/>
      <c r="VFP85" s="1"/>
      <c r="VFQ85" s="1"/>
      <c r="VFR85" s="1"/>
      <c r="VFS85" s="1"/>
      <c r="VFT85" s="1"/>
      <c r="VFU85" s="1"/>
      <c r="VFV85" s="1"/>
      <c r="VFW85" s="1"/>
      <c r="VFX85" s="1"/>
      <c r="VFY85" s="1"/>
      <c r="VFZ85" s="1"/>
      <c r="VGA85" s="1"/>
      <c r="VGB85" s="1"/>
      <c r="VGC85" s="1"/>
      <c r="VGD85" s="1"/>
      <c r="VGE85" s="1"/>
      <c r="VGF85" s="1"/>
      <c r="VGG85" s="1"/>
      <c r="VGH85" s="1"/>
      <c r="VGI85" s="1"/>
      <c r="VGJ85" s="1"/>
      <c r="VGK85" s="1"/>
      <c r="VGL85" s="1"/>
      <c r="VGM85" s="1"/>
      <c r="VGN85" s="1"/>
      <c r="VGO85" s="1"/>
      <c r="VGP85" s="1"/>
      <c r="VGQ85" s="1"/>
      <c r="VGR85" s="1"/>
      <c r="VGS85" s="1"/>
      <c r="VGT85" s="1"/>
      <c r="VGU85" s="1"/>
      <c r="VGV85" s="1"/>
      <c r="VGW85" s="1"/>
      <c r="VGX85" s="1"/>
      <c r="VGY85" s="1"/>
      <c r="VGZ85" s="1"/>
      <c r="VHA85" s="1"/>
      <c r="VHB85" s="1"/>
      <c r="VHC85" s="1"/>
      <c r="VHD85" s="1"/>
      <c r="VHE85" s="1"/>
      <c r="VHF85" s="1"/>
      <c r="VHG85" s="1"/>
      <c r="VHH85" s="1"/>
      <c r="VHI85" s="1"/>
      <c r="VHJ85" s="1"/>
      <c r="VHK85" s="1"/>
      <c r="VHL85" s="1"/>
      <c r="VHM85" s="1"/>
      <c r="VHN85" s="1"/>
      <c r="VHO85" s="1"/>
      <c r="VHP85" s="1"/>
      <c r="VHQ85" s="1"/>
      <c r="VHR85" s="1"/>
      <c r="VHS85" s="1"/>
      <c r="VHT85" s="1"/>
      <c r="VHU85" s="1"/>
      <c r="VHV85" s="1"/>
      <c r="VHW85" s="1"/>
      <c r="VHX85" s="1"/>
      <c r="VHY85" s="1"/>
      <c r="VHZ85" s="1"/>
      <c r="VIA85" s="1"/>
      <c r="VIB85" s="1"/>
      <c r="VIC85" s="1"/>
      <c r="VID85" s="1"/>
      <c r="VIE85" s="1"/>
      <c r="VIF85" s="1"/>
      <c r="VIG85" s="1"/>
      <c r="VIH85" s="1"/>
      <c r="VII85" s="1"/>
      <c r="VIJ85" s="1"/>
      <c r="VIK85" s="1"/>
      <c r="VIL85" s="1"/>
      <c r="VIM85" s="1"/>
      <c r="VIN85" s="1"/>
      <c r="VIO85" s="1"/>
      <c r="VIP85" s="1"/>
      <c r="VIQ85" s="1"/>
      <c r="VIR85" s="1"/>
      <c r="VIS85" s="1"/>
      <c r="VIT85" s="1"/>
      <c r="VIU85" s="1"/>
      <c r="VIV85" s="1"/>
      <c r="VIW85" s="1"/>
      <c r="VIX85" s="1"/>
      <c r="VIY85" s="1"/>
      <c r="VIZ85" s="1"/>
      <c r="VJA85" s="1"/>
      <c r="VJB85" s="1"/>
      <c r="VJC85" s="1"/>
      <c r="VJD85" s="1"/>
      <c r="VJE85" s="1"/>
      <c r="VJF85" s="1"/>
      <c r="VJG85" s="1"/>
      <c r="VJH85" s="1"/>
      <c r="VJI85" s="1"/>
      <c r="VJJ85" s="1"/>
      <c r="VJK85" s="1"/>
      <c r="VJL85" s="1"/>
      <c r="VJM85" s="1"/>
      <c r="VJN85" s="1"/>
      <c r="VJO85" s="1"/>
      <c r="VJP85" s="1"/>
      <c r="VJQ85" s="1"/>
      <c r="VJR85" s="1"/>
      <c r="VJS85" s="1"/>
      <c r="VJT85" s="1"/>
      <c r="VJU85" s="1"/>
      <c r="VJV85" s="1"/>
      <c r="VJW85" s="1"/>
      <c r="VJX85" s="1"/>
      <c r="VJY85" s="1"/>
      <c r="VJZ85" s="1"/>
      <c r="VKA85" s="1"/>
      <c r="VKB85" s="1"/>
      <c r="VKC85" s="1"/>
      <c r="VKD85" s="1"/>
      <c r="VKE85" s="1"/>
      <c r="VKF85" s="1"/>
      <c r="VKG85" s="1"/>
      <c r="VKH85" s="1"/>
      <c r="VKI85" s="1"/>
      <c r="VKJ85" s="1"/>
      <c r="VKK85" s="1"/>
      <c r="VKL85" s="1"/>
      <c r="VKM85" s="1"/>
      <c r="VKN85" s="1"/>
      <c r="VKO85" s="1"/>
      <c r="VKP85" s="1"/>
      <c r="VKQ85" s="1"/>
      <c r="VKR85" s="1"/>
      <c r="VKS85" s="1"/>
      <c r="VKT85" s="1"/>
      <c r="VKU85" s="1"/>
      <c r="VKV85" s="1"/>
      <c r="VKW85" s="1"/>
      <c r="VKX85" s="1"/>
      <c r="VKY85" s="1"/>
      <c r="VKZ85" s="1"/>
      <c r="VLA85" s="1"/>
      <c r="VLB85" s="1"/>
      <c r="VLC85" s="1"/>
      <c r="VLD85" s="1"/>
      <c r="VLE85" s="1"/>
      <c r="VLF85" s="1"/>
      <c r="VLG85" s="1"/>
      <c r="VLH85" s="1"/>
      <c r="VLI85" s="1"/>
      <c r="VLJ85" s="1"/>
      <c r="VLK85" s="1"/>
      <c r="VLL85" s="1"/>
      <c r="VLM85" s="1"/>
      <c r="VLN85" s="1"/>
      <c r="VLO85" s="1"/>
      <c r="VLP85" s="1"/>
      <c r="VLQ85" s="1"/>
      <c r="VLR85" s="1"/>
      <c r="VLS85" s="1"/>
      <c r="VLT85" s="1"/>
      <c r="VLU85" s="1"/>
      <c r="VLV85" s="1"/>
      <c r="VLW85" s="1"/>
      <c r="VLX85" s="1"/>
      <c r="VLY85" s="1"/>
      <c r="VLZ85" s="1"/>
      <c r="VMA85" s="1"/>
      <c r="VMB85" s="1"/>
      <c r="VMC85" s="1"/>
      <c r="VMD85" s="1"/>
      <c r="VME85" s="1"/>
      <c r="VMF85" s="1"/>
      <c r="VMG85" s="1"/>
      <c r="VMH85" s="1"/>
      <c r="VMI85" s="1"/>
      <c r="VMJ85" s="1"/>
      <c r="VMK85" s="1"/>
      <c r="VML85" s="1"/>
      <c r="VMM85" s="1"/>
      <c r="VMN85" s="1"/>
      <c r="VMO85" s="1"/>
      <c r="VMP85" s="1"/>
      <c r="VMQ85" s="1"/>
      <c r="VMR85" s="1"/>
      <c r="VMS85" s="1"/>
      <c r="VMT85" s="1"/>
      <c r="VMU85" s="1"/>
      <c r="VMV85" s="1"/>
      <c r="VMW85" s="1"/>
      <c r="VMX85" s="1"/>
      <c r="VMY85" s="1"/>
      <c r="VMZ85" s="1"/>
      <c r="VNA85" s="1"/>
      <c r="VNB85" s="1"/>
      <c r="VNC85" s="1"/>
      <c r="VND85" s="1"/>
      <c r="VNE85" s="1"/>
      <c r="VNF85" s="1"/>
      <c r="VNG85" s="1"/>
      <c r="VNH85" s="1"/>
      <c r="VNI85" s="1"/>
      <c r="VNJ85" s="1"/>
      <c r="VNK85" s="1"/>
      <c r="VNL85" s="1"/>
      <c r="VNM85" s="1"/>
      <c r="VNN85" s="1"/>
      <c r="VNO85" s="1"/>
      <c r="VNP85" s="1"/>
      <c r="VNQ85" s="1"/>
      <c r="VNR85" s="1"/>
      <c r="VNS85" s="1"/>
      <c r="VNT85" s="1"/>
      <c r="VNU85" s="1"/>
      <c r="VNV85" s="1"/>
      <c r="VNW85" s="1"/>
      <c r="VNX85" s="1"/>
      <c r="VNY85" s="1"/>
      <c r="VNZ85" s="1"/>
      <c r="VOA85" s="1"/>
      <c r="VOB85" s="1"/>
      <c r="VOC85" s="1"/>
      <c r="VOD85" s="1"/>
      <c r="VOE85" s="1"/>
      <c r="VOF85" s="1"/>
      <c r="VOG85" s="1"/>
      <c r="VOH85" s="1"/>
      <c r="VOI85" s="1"/>
      <c r="VOJ85" s="1"/>
      <c r="VOK85" s="1"/>
      <c r="VOL85" s="1"/>
      <c r="VOM85" s="1"/>
      <c r="VON85" s="1"/>
      <c r="VOO85" s="1"/>
      <c r="VOP85" s="1"/>
      <c r="VOQ85" s="1"/>
      <c r="VOR85" s="1"/>
      <c r="VOS85" s="1"/>
      <c r="VOT85" s="1"/>
      <c r="VOU85" s="1"/>
      <c r="VOV85" s="1"/>
      <c r="VOW85" s="1"/>
      <c r="VOX85" s="1"/>
      <c r="VOY85" s="1"/>
      <c r="VOZ85" s="1"/>
      <c r="VPA85" s="1"/>
      <c r="VPB85" s="1"/>
      <c r="VPC85" s="1"/>
      <c r="VPD85" s="1"/>
      <c r="VPE85" s="1"/>
      <c r="VPF85" s="1"/>
      <c r="VPG85" s="1"/>
      <c r="VPH85" s="1"/>
      <c r="VPI85" s="1"/>
      <c r="VPJ85" s="1"/>
      <c r="VPK85" s="1"/>
      <c r="VPL85" s="1"/>
      <c r="VPM85" s="1"/>
      <c r="VPN85" s="1"/>
      <c r="VPO85" s="1"/>
      <c r="VPP85" s="1"/>
      <c r="VPQ85" s="1"/>
      <c r="VPR85" s="1"/>
      <c r="VPS85" s="1"/>
      <c r="VPT85" s="1"/>
      <c r="VPU85" s="1"/>
      <c r="VPV85" s="1"/>
      <c r="VPW85" s="1"/>
      <c r="VPX85" s="1"/>
      <c r="VPY85" s="1"/>
      <c r="VPZ85" s="1"/>
      <c r="VQA85" s="1"/>
      <c r="VQB85" s="1"/>
      <c r="VQC85" s="1"/>
      <c r="VQD85" s="1"/>
      <c r="VQE85" s="1"/>
      <c r="VQF85" s="1"/>
      <c r="VQG85" s="1"/>
      <c r="VQH85" s="1"/>
      <c r="VQI85" s="1"/>
      <c r="VQJ85" s="1"/>
      <c r="VQK85" s="1"/>
      <c r="VQL85" s="1"/>
      <c r="VQM85" s="1"/>
      <c r="VQN85" s="1"/>
      <c r="VQO85" s="1"/>
      <c r="VQP85" s="1"/>
      <c r="VQQ85" s="1"/>
      <c r="VQR85" s="1"/>
      <c r="VQS85" s="1"/>
      <c r="VQT85" s="1"/>
      <c r="VQU85" s="1"/>
      <c r="VQV85" s="1"/>
      <c r="VQW85" s="1"/>
      <c r="VQX85" s="1"/>
      <c r="VQY85" s="1"/>
      <c r="VQZ85" s="1"/>
      <c r="VRA85" s="1"/>
      <c r="VRB85" s="1"/>
      <c r="VRC85" s="1"/>
      <c r="VRD85" s="1"/>
      <c r="VRE85" s="1"/>
      <c r="VRF85" s="1"/>
      <c r="VRG85" s="1"/>
      <c r="VRH85" s="1"/>
      <c r="VRI85" s="1"/>
      <c r="VRJ85" s="1"/>
      <c r="VRK85" s="1"/>
      <c r="VRL85" s="1"/>
      <c r="VRM85" s="1"/>
      <c r="VRN85" s="1"/>
      <c r="VRO85" s="1"/>
      <c r="VRP85" s="1"/>
      <c r="VRQ85" s="1"/>
      <c r="VRR85" s="1"/>
      <c r="VRS85" s="1"/>
      <c r="VRT85" s="1"/>
      <c r="VRU85" s="1"/>
      <c r="VRV85" s="1"/>
      <c r="VRW85" s="1"/>
      <c r="VRX85" s="1"/>
      <c r="VRY85" s="1"/>
      <c r="VRZ85" s="1"/>
      <c r="VSA85" s="1"/>
      <c r="VSB85" s="1"/>
      <c r="VSC85" s="1"/>
      <c r="VSD85" s="1"/>
      <c r="VSE85" s="1"/>
      <c r="VSF85" s="1"/>
      <c r="VSG85" s="1"/>
      <c r="VSH85" s="1"/>
      <c r="VSI85" s="1"/>
      <c r="VSJ85" s="1"/>
      <c r="VSK85" s="1"/>
      <c r="VSL85" s="1"/>
      <c r="VSM85" s="1"/>
      <c r="VSN85" s="1"/>
      <c r="VSO85" s="1"/>
      <c r="VSP85" s="1"/>
      <c r="VSQ85" s="1"/>
      <c r="VSR85" s="1"/>
      <c r="VSS85" s="1"/>
      <c r="VST85" s="1"/>
      <c r="VSU85" s="1"/>
      <c r="VSV85" s="1"/>
      <c r="VSW85" s="1"/>
      <c r="VSX85" s="1"/>
      <c r="VSY85" s="1"/>
      <c r="VSZ85" s="1"/>
      <c r="VTA85" s="1"/>
      <c r="VTB85" s="1"/>
      <c r="VTC85" s="1"/>
      <c r="VTD85" s="1"/>
      <c r="VTE85" s="1"/>
      <c r="VTF85" s="1"/>
      <c r="VTG85" s="1"/>
      <c r="VTH85" s="1"/>
      <c r="VTI85" s="1"/>
      <c r="VTJ85" s="1"/>
      <c r="VTK85" s="1"/>
      <c r="VTL85" s="1"/>
      <c r="VTM85" s="1"/>
      <c r="VTN85" s="1"/>
      <c r="VTO85" s="1"/>
      <c r="VTP85" s="1"/>
      <c r="VTQ85" s="1"/>
      <c r="VTR85" s="1"/>
      <c r="VTS85" s="1"/>
      <c r="VTT85" s="1"/>
      <c r="VTU85" s="1"/>
      <c r="VTV85" s="1"/>
      <c r="VTW85" s="1"/>
      <c r="VTX85" s="1"/>
      <c r="VTY85" s="1"/>
      <c r="VTZ85" s="1"/>
      <c r="VUA85" s="1"/>
      <c r="VUB85" s="1"/>
      <c r="VUC85" s="1"/>
      <c r="VUD85" s="1"/>
      <c r="VUE85" s="1"/>
      <c r="VUF85" s="1"/>
      <c r="VUG85" s="1"/>
      <c r="VUH85" s="1"/>
      <c r="VUI85" s="1"/>
      <c r="VUJ85" s="1"/>
      <c r="VUK85" s="1"/>
      <c r="VUL85" s="1"/>
      <c r="VUM85" s="1"/>
      <c r="VUN85" s="1"/>
      <c r="VUO85" s="1"/>
      <c r="VUP85" s="1"/>
      <c r="VUQ85" s="1"/>
      <c r="VUR85" s="1"/>
      <c r="VUS85" s="1"/>
      <c r="VUT85" s="1"/>
      <c r="VUU85" s="1"/>
      <c r="VUV85" s="1"/>
      <c r="VUW85" s="1"/>
      <c r="VUX85" s="1"/>
      <c r="VUY85" s="1"/>
      <c r="VUZ85" s="1"/>
      <c r="VVA85" s="1"/>
      <c r="VVB85" s="1"/>
      <c r="VVC85" s="1"/>
      <c r="VVD85" s="1"/>
      <c r="VVE85" s="1"/>
      <c r="VVF85" s="1"/>
      <c r="VVG85" s="1"/>
      <c r="VVH85" s="1"/>
      <c r="VVI85" s="1"/>
      <c r="VVJ85" s="1"/>
      <c r="VVK85" s="1"/>
      <c r="VVL85" s="1"/>
      <c r="VVM85" s="1"/>
      <c r="VVN85" s="1"/>
      <c r="VVO85" s="1"/>
      <c r="VVP85" s="1"/>
      <c r="VVQ85" s="1"/>
      <c r="VVR85" s="1"/>
      <c r="VVS85" s="1"/>
      <c r="VVT85" s="1"/>
      <c r="VVU85" s="1"/>
      <c r="VVV85" s="1"/>
      <c r="VVW85" s="1"/>
      <c r="VVX85" s="1"/>
      <c r="VVY85" s="1"/>
      <c r="VVZ85" s="1"/>
      <c r="VWA85" s="1"/>
      <c r="VWB85" s="1"/>
      <c r="VWC85" s="1"/>
      <c r="VWD85" s="1"/>
      <c r="VWE85" s="1"/>
      <c r="VWF85" s="1"/>
      <c r="VWG85" s="1"/>
      <c r="VWH85" s="1"/>
      <c r="VWI85" s="1"/>
      <c r="VWJ85" s="1"/>
      <c r="VWK85" s="1"/>
      <c r="VWL85" s="1"/>
      <c r="VWM85" s="1"/>
      <c r="VWN85" s="1"/>
      <c r="VWO85" s="1"/>
      <c r="VWP85" s="1"/>
      <c r="VWQ85" s="1"/>
      <c r="VWR85" s="1"/>
      <c r="VWS85" s="1"/>
      <c r="VWT85" s="1"/>
      <c r="VWU85" s="1"/>
      <c r="VWV85" s="1"/>
      <c r="VWW85" s="1"/>
      <c r="VWX85" s="1"/>
      <c r="VWY85" s="1"/>
      <c r="VWZ85" s="1"/>
      <c r="VXA85" s="1"/>
      <c r="VXB85" s="1"/>
      <c r="VXC85" s="1"/>
      <c r="VXD85" s="1"/>
      <c r="VXE85" s="1"/>
      <c r="VXF85" s="1"/>
      <c r="VXG85" s="1"/>
      <c r="VXH85" s="1"/>
      <c r="VXI85" s="1"/>
      <c r="VXJ85" s="1"/>
      <c r="VXK85" s="1"/>
      <c r="VXL85" s="1"/>
      <c r="VXM85" s="1"/>
      <c r="VXN85" s="1"/>
      <c r="VXO85" s="1"/>
      <c r="VXP85" s="1"/>
      <c r="VXQ85" s="1"/>
      <c r="VXR85" s="1"/>
      <c r="VXS85" s="1"/>
      <c r="VXT85" s="1"/>
      <c r="VXU85" s="1"/>
      <c r="VXV85" s="1"/>
      <c r="VXW85" s="1"/>
      <c r="VXX85" s="1"/>
      <c r="VXY85" s="1"/>
      <c r="VXZ85" s="1"/>
      <c r="VYA85" s="1"/>
      <c r="VYB85" s="1"/>
      <c r="VYC85" s="1"/>
      <c r="VYD85" s="1"/>
      <c r="VYE85" s="1"/>
      <c r="VYF85" s="1"/>
      <c r="VYG85" s="1"/>
      <c r="VYH85" s="1"/>
      <c r="VYI85" s="1"/>
      <c r="VYJ85" s="1"/>
      <c r="VYK85" s="1"/>
      <c r="VYL85" s="1"/>
      <c r="VYM85" s="1"/>
      <c r="VYN85" s="1"/>
      <c r="VYO85" s="1"/>
      <c r="VYP85" s="1"/>
      <c r="VYQ85" s="1"/>
      <c r="VYR85" s="1"/>
      <c r="VYS85" s="1"/>
      <c r="VYT85" s="1"/>
      <c r="VYU85" s="1"/>
      <c r="VYV85" s="1"/>
      <c r="VYW85" s="1"/>
      <c r="VYX85" s="1"/>
      <c r="VYY85" s="1"/>
      <c r="VYZ85" s="1"/>
      <c r="VZA85" s="1"/>
      <c r="VZB85" s="1"/>
      <c r="VZC85" s="1"/>
      <c r="VZD85" s="1"/>
      <c r="VZE85" s="1"/>
      <c r="VZF85" s="1"/>
      <c r="VZG85" s="1"/>
      <c r="VZH85" s="1"/>
      <c r="VZI85" s="1"/>
      <c r="VZJ85" s="1"/>
      <c r="VZK85" s="1"/>
      <c r="VZL85" s="1"/>
      <c r="VZM85" s="1"/>
      <c r="VZN85" s="1"/>
      <c r="VZO85" s="1"/>
      <c r="VZP85" s="1"/>
      <c r="VZQ85" s="1"/>
      <c r="VZR85" s="1"/>
      <c r="VZS85" s="1"/>
      <c r="VZT85" s="1"/>
      <c r="VZU85" s="1"/>
      <c r="VZV85" s="1"/>
      <c r="VZW85" s="1"/>
      <c r="VZX85" s="1"/>
      <c r="VZY85" s="1"/>
      <c r="VZZ85" s="1"/>
      <c r="WAA85" s="1"/>
      <c r="WAB85" s="1"/>
      <c r="WAC85" s="1"/>
      <c r="WAD85" s="1"/>
      <c r="WAE85" s="1"/>
      <c r="WAF85" s="1"/>
      <c r="WAG85" s="1"/>
      <c r="WAH85" s="1"/>
      <c r="WAI85" s="1"/>
      <c r="WAJ85" s="1"/>
      <c r="WAK85" s="1"/>
      <c r="WAL85" s="1"/>
      <c r="WAM85" s="1"/>
      <c r="WAN85" s="1"/>
      <c r="WAO85" s="1"/>
      <c r="WAP85" s="1"/>
      <c r="WAQ85" s="1"/>
      <c r="WAR85" s="1"/>
      <c r="WAS85" s="1"/>
      <c r="WAT85" s="1"/>
      <c r="WAU85" s="1"/>
      <c r="WAV85" s="1"/>
      <c r="WAW85" s="1"/>
      <c r="WAX85" s="1"/>
      <c r="WAY85" s="1"/>
      <c r="WAZ85" s="1"/>
      <c r="WBA85" s="1"/>
      <c r="WBB85" s="1"/>
      <c r="WBC85" s="1"/>
      <c r="WBD85" s="1"/>
      <c r="WBE85" s="1"/>
      <c r="WBF85" s="1"/>
      <c r="WBG85" s="1"/>
      <c r="WBH85" s="1"/>
      <c r="WBI85" s="1"/>
      <c r="WBJ85" s="1"/>
      <c r="WBK85" s="1"/>
      <c r="WBL85" s="1"/>
      <c r="WBM85" s="1"/>
      <c r="WBN85" s="1"/>
      <c r="WBO85" s="1"/>
      <c r="WBP85" s="1"/>
      <c r="WBQ85" s="1"/>
      <c r="WBR85" s="1"/>
      <c r="WBS85" s="1"/>
      <c r="WBT85" s="1"/>
      <c r="WBU85" s="1"/>
      <c r="WBV85" s="1"/>
      <c r="WBW85" s="1"/>
      <c r="WBX85" s="1"/>
      <c r="WBY85" s="1"/>
      <c r="WBZ85" s="1"/>
      <c r="WCA85" s="1"/>
      <c r="WCB85" s="1"/>
      <c r="WCC85" s="1"/>
      <c r="WCD85" s="1"/>
      <c r="WCE85" s="1"/>
      <c r="WCF85" s="1"/>
      <c r="WCG85" s="1"/>
      <c r="WCH85" s="1"/>
      <c r="WCI85" s="1"/>
      <c r="WCJ85" s="1"/>
      <c r="WCK85" s="1"/>
      <c r="WCL85" s="1"/>
      <c r="WCM85" s="1"/>
      <c r="WCN85" s="1"/>
      <c r="WCO85" s="1"/>
      <c r="WCP85" s="1"/>
      <c r="WCQ85" s="1"/>
      <c r="WCR85" s="1"/>
      <c r="WCS85" s="1"/>
      <c r="WCT85" s="1"/>
      <c r="WCU85" s="1"/>
      <c r="WCV85" s="1"/>
      <c r="WCW85" s="1"/>
      <c r="WCX85" s="1"/>
      <c r="WCY85" s="1"/>
      <c r="WCZ85" s="1"/>
      <c r="WDA85" s="1"/>
      <c r="WDB85" s="1"/>
      <c r="WDC85" s="1"/>
      <c r="WDD85" s="1"/>
      <c r="WDE85" s="1"/>
      <c r="WDF85" s="1"/>
      <c r="WDG85" s="1"/>
      <c r="WDH85" s="1"/>
      <c r="WDI85" s="1"/>
      <c r="WDJ85" s="1"/>
      <c r="WDK85" s="1"/>
      <c r="WDL85" s="1"/>
      <c r="WDM85" s="1"/>
      <c r="WDN85" s="1"/>
      <c r="WDO85" s="1"/>
      <c r="WDP85" s="1"/>
      <c r="WDQ85" s="1"/>
      <c r="WDR85" s="1"/>
      <c r="WDS85" s="1"/>
      <c r="WDT85" s="1"/>
      <c r="WDU85" s="1"/>
      <c r="WDV85" s="1"/>
      <c r="WDW85" s="1"/>
      <c r="WDX85" s="1"/>
      <c r="WDY85" s="1"/>
      <c r="WDZ85" s="1"/>
      <c r="WEA85" s="1"/>
      <c r="WEB85" s="1"/>
      <c r="WEC85" s="1"/>
      <c r="WED85" s="1"/>
      <c r="WEE85" s="1"/>
      <c r="WEF85" s="1"/>
      <c r="WEG85" s="1"/>
      <c r="WEH85" s="1"/>
      <c r="WEI85" s="1"/>
      <c r="WEJ85" s="1"/>
      <c r="WEK85" s="1"/>
      <c r="WEL85" s="1"/>
      <c r="WEM85" s="1"/>
      <c r="WEN85" s="1"/>
      <c r="WEO85" s="1"/>
      <c r="WEP85" s="1"/>
      <c r="WEQ85" s="1"/>
      <c r="WER85" s="1"/>
      <c r="WES85" s="1"/>
      <c r="WET85" s="1"/>
      <c r="WEU85" s="1"/>
      <c r="WEV85" s="1"/>
      <c r="WEW85" s="1"/>
      <c r="WEX85" s="1"/>
      <c r="WEY85" s="1"/>
      <c r="WEZ85" s="1"/>
      <c r="WFA85" s="1"/>
      <c r="WFB85" s="1"/>
      <c r="WFC85" s="1"/>
      <c r="WFD85" s="1"/>
      <c r="WFE85" s="1"/>
      <c r="WFF85" s="1"/>
      <c r="WFG85" s="1"/>
      <c r="WFH85" s="1"/>
      <c r="WFI85" s="1"/>
      <c r="WFJ85" s="1"/>
      <c r="WFK85" s="1"/>
      <c r="WFL85" s="1"/>
      <c r="WFM85" s="1"/>
      <c r="WFN85" s="1"/>
      <c r="WFO85" s="1"/>
      <c r="WFP85" s="1"/>
      <c r="WFQ85" s="1"/>
      <c r="WFR85" s="1"/>
      <c r="WFS85" s="1"/>
      <c r="WFT85" s="1"/>
      <c r="WFU85" s="1"/>
      <c r="WFV85" s="1"/>
      <c r="WFW85" s="1"/>
      <c r="WFX85" s="1"/>
      <c r="WFY85" s="1"/>
      <c r="WFZ85" s="1"/>
      <c r="WGA85" s="1"/>
      <c r="WGB85" s="1"/>
      <c r="WGC85" s="1"/>
      <c r="WGD85" s="1"/>
      <c r="WGE85" s="1"/>
      <c r="WGF85" s="1"/>
      <c r="WGG85" s="1"/>
      <c r="WGH85" s="1"/>
      <c r="WGI85" s="1"/>
      <c r="WGJ85" s="1"/>
      <c r="WGK85" s="1"/>
      <c r="WGL85" s="1"/>
      <c r="WGM85" s="1"/>
      <c r="WGN85" s="1"/>
      <c r="WGO85" s="1"/>
      <c r="WGP85" s="1"/>
      <c r="WGQ85" s="1"/>
      <c r="WGR85" s="1"/>
      <c r="WGS85" s="1"/>
      <c r="WGT85" s="1"/>
      <c r="WGU85" s="1"/>
      <c r="WGV85" s="1"/>
      <c r="WGW85" s="1"/>
      <c r="WGX85" s="1"/>
      <c r="WGY85" s="1"/>
      <c r="WGZ85" s="1"/>
      <c r="WHA85" s="1"/>
      <c r="WHB85" s="1"/>
      <c r="WHC85" s="1"/>
      <c r="WHD85" s="1"/>
      <c r="WHE85" s="1"/>
      <c r="WHF85" s="1"/>
      <c r="WHG85" s="1"/>
      <c r="WHH85" s="1"/>
      <c r="WHI85" s="1"/>
      <c r="WHJ85" s="1"/>
      <c r="WHK85" s="1"/>
      <c r="WHL85" s="1"/>
      <c r="WHM85" s="1"/>
      <c r="WHN85" s="1"/>
      <c r="WHO85" s="1"/>
      <c r="WHP85" s="1"/>
      <c r="WHQ85" s="1"/>
      <c r="WHR85" s="1"/>
      <c r="WHS85" s="1"/>
      <c r="WHT85" s="1"/>
      <c r="WHU85" s="1"/>
      <c r="WHV85" s="1"/>
      <c r="WHW85" s="1"/>
      <c r="WHX85" s="1"/>
      <c r="WHY85" s="1"/>
      <c r="WHZ85" s="1"/>
      <c r="WIA85" s="1"/>
      <c r="WIB85" s="1"/>
      <c r="WIC85" s="1"/>
      <c r="WID85" s="1"/>
      <c r="WIE85" s="1"/>
      <c r="WIF85" s="1"/>
      <c r="WIG85" s="1"/>
      <c r="WIH85" s="1"/>
      <c r="WII85" s="1"/>
      <c r="WIJ85" s="1"/>
      <c r="WIK85" s="1"/>
      <c r="WIL85" s="1"/>
      <c r="WIM85" s="1"/>
      <c r="WIN85" s="1"/>
      <c r="WIO85" s="1"/>
      <c r="WIP85" s="1"/>
      <c r="WIQ85" s="1"/>
      <c r="WIR85" s="1"/>
      <c r="WIS85" s="1"/>
      <c r="WIT85" s="1"/>
      <c r="WIU85" s="1"/>
      <c r="WIV85" s="1"/>
      <c r="WIW85" s="1"/>
      <c r="WIX85" s="1"/>
      <c r="WIY85" s="1"/>
      <c r="WIZ85" s="1"/>
      <c r="WJA85" s="1"/>
      <c r="WJB85" s="1"/>
      <c r="WJC85" s="1"/>
      <c r="WJD85" s="1"/>
      <c r="WJE85" s="1"/>
      <c r="WJF85" s="1"/>
      <c r="WJG85" s="1"/>
      <c r="WJH85" s="1"/>
      <c r="WJI85" s="1"/>
      <c r="WJJ85" s="1"/>
      <c r="WJK85" s="1"/>
      <c r="WJL85" s="1"/>
      <c r="WJM85" s="1"/>
      <c r="WJN85" s="1"/>
      <c r="WJO85" s="1"/>
      <c r="WJP85" s="1"/>
      <c r="WJQ85" s="1"/>
      <c r="WJR85" s="1"/>
      <c r="WJS85" s="1"/>
      <c r="WJT85" s="1"/>
      <c r="WJU85" s="1"/>
      <c r="WJV85" s="1"/>
      <c r="WJW85" s="1"/>
      <c r="WJX85" s="1"/>
      <c r="WJY85" s="1"/>
      <c r="WJZ85" s="1"/>
      <c r="WKA85" s="1"/>
      <c r="WKB85" s="1"/>
      <c r="WKC85" s="1"/>
      <c r="WKD85" s="1"/>
      <c r="WKE85" s="1"/>
      <c r="WKF85" s="1"/>
      <c r="WKG85" s="1"/>
      <c r="WKH85" s="1"/>
      <c r="WKI85" s="1"/>
      <c r="WKJ85" s="1"/>
      <c r="WKK85" s="1"/>
      <c r="WKL85" s="1"/>
      <c r="WKM85" s="1"/>
      <c r="WKN85" s="1"/>
      <c r="WKO85" s="1"/>
      <c r="WKP85" s="1"/>
      <c r="WKQ85" s="1"/>
      <c r="WKR85" s="1"/>
      <c r="WKS85" s="1"/>
      <c r="WKT85" s="1"/>
      <c r="WKU85" s="1"/>
      <c r="WKV85" s="1"/>
      <c r="WKW85" s="1"/>
      <c r="WKX85" s="1"/>
      <c r="WKY85" s="1"/>
      <c r="WKZ85" s="1"/>
      <c r="WLA85" s="1"/>
      <c r="WLB85" s="1"/>
      <c r="WLC85" s="1"/>
      <c r="WLD85" s="1"/>
      <c r="WLE85" s="1"/>
      <c r="WLF85" s="1"/>
      <c r="WLG85" s="1"/>
      <c r="WLH85" s="1"/>
      <c r="WLI85" s="1"/>
      <c r="WLJ85" s="1"/>
      <c r="WLK85" s="1"/>
      <c r="WLL85" s="1"/>
      <c r="WLM85" s="1"/>
      <c r="WLN85" s="1"/>
      <c r="WLO85" s="1"/>
      <c r="WLP85" s="1"/>
      <c r="WLQ85" s="1"/>
      <c r="WLR85" s="1"/>
      <c r="WLS85" s="1"/>
      <c r="WLT85" s="1"/>
      <c r="WLU85" s="1"/>
      <c r="WLV85" s="1"/>
      <c r="WLW85" s="1"/>
      <c r="WLX85" s="1"/>
      <c r="WLY85" s="1"/>
      <c r="WLZ85" s="1"/>
      <c r="WMA85" s="1"/>
      <c r="WMB85" s="1"/>
      <c r="WMC85" s="1"/>
      <c r="WMD85" s="1"/>
      <c r="WME85" s="1"/>
      <c r="WMF85" s="1"/>
      <c r="WMG85" s="1"/>
      <c r="WMH85" s="1"/>
      <c r="WMI85" s="1"/>
      <c r="WMJ85" s="1"/>
      <c r="WMK85" s="1"/>
      <c r="WML85" s="1"/>
      <c r="WMM85" s="1"/>
      <c r="WMN85" s="1"/>
      <c r="WMO85" s="1"/>
      <c r="WMP85" s="1"/>
      <c r="WMQ85" s="1"/>
      <c r="WMR85" s="1"/>
      <c r="WMS85" s="1"/>
      <c r="WMT85" s="1"/>
      <c r="WMU85" s="1"/>
      <c r="WMV85" s="1"/>
      <c r="WMW85" s="1"/>
      <c r="WMX85" s="1"/>
      <c r="WMY85" s="1"/>
      <c r="WMZ85" s="1"/>
      <c r="WNA85" s="1"/>
      <c r="WNB85" s="1"/>
      <c r="WNC85" s="1"/>
      <c r="WND85" s="1"/>
      <c r="WNE85" s="1"/>
      <c r="WNF85" s="1"/>
      <c r="WNG85" s="1"/>
      <c r="WNH85" s="1"/>
      <c r="WNI85" s="1"/>
      <c r="WNJ85" s="1"/>
      <c r="WNK85" s="1"/>
      <c r="WNL85" s="1"/>
      <c r="WNM85" s="1"/>
      <c r="WNN85" s="1"/>
      <c r="WNO85" s="1"/>
      <c r="WNP85" s="1"/>
      <c r="WNQ85" s="1"/>
      <c r="WNR85" s="1"/>
      <c r="WNS85" s="1"/>
      <c r="WNT85" s="1"/>
      <c r="WNU85" s="1"/>
      <c r="WNV85" s="1"/>
      <c r="WNW85" s="1"/>
      <c r="WNX85" s="1"/>
      <c r="WNY85" s="1"/>
      <c r="WNZ85" s="1"/>
      <c r="WOA85" s="1"/>
      <c r="WOB85" s="1"/>
      <c r="WOC85" s="1"/>
      <c r="WOD85" s="1"/>
      <c r="WOE85" s="1"/>
      <c r="WOF85" s="1"/>
      <c r="WOG85" s="1"/>
      <c r="WOH85" s="1"/>
      <c r="WOI85" s="1"/>
      <c r="WOJ85" s="1"/>
      <c r="WOK85" s="1"/>
      <c r="WOL85" s="1"/>
      <c r="WOM85" s="1"/>
      <c r="WON85" s="1"/>
      <c r="WOO85" s="1"/>
      <c r="WOP85" s="1"/>
      <c r="WOQ85" s="1"/>
      <c r="WOR85" s="1"/>
      <c r="WOS85" s="1"/>
      <c r="WOT85" s="1"/>
      <c r="WOU85" s="1"/>
      <c r="WOV85" s="1"/>
      <c r="WOW85" s="1"/>
      <c r="WOX85" s="1"/>
      <c r="WOY85" s="1"/>
      <c r="WOZ85" s="1"/>
      <c r="WPA85" s="1"/>
      <c r="WPB85" s="1"/>
      <c r="WPC85" s="1"/>
      <c r="WPD85" s="1"/>
      <c r="WPE85" s="1"/>
      <c r="WPF85" s="1"/>
      <c r="WPG85" s="1"/>
      <c r="WPH85" s="1"/>
      <c r="WPI85" s="1"/>
      <c r="WPJ85" s="1"/>
      <c r="WPK85" s="1"/>
      <c r="WPL85" s="1"/>
      <c r="WPM85" s="1"/>
      <c r="WPN85" s="1"/>
      <c r="WPO85" s="1"/>
      <c r="WPP85" s="1"/>
      <c r="WPQ85" s="1"/>
      <c r="WPR85" s="1"/>
      <c r="WPS85" s="1"/>
      <c r="WPT85" s="1"/>
      <c r="WPU85" s="1"/>
      <c r="WPV85" s="1"/>
      <c r="WPW85" s="1"/>
      <c r="WPX85" s="1"/>
      <c r="WPY85" s="1"/>
      <c r="WPZ85" s="1"/>
      <c r="WQA85" s="1"/>
      <c r="WQB85" s="1"/>
      <c r="WQC85" s="1"/>
      <c r="WQD85" s="1"/>
      <c r="WQE85" s="1"/>
      <c r="WQF85" s="1"/>
      <c r="WQG85" s="1"/>
      <c r="WQH85" s="1"/>
      <c r="WQI85" s="1"/>
      <c r="WQJ85" s="1"/>
      <c r="WQK85" s="1"/>
      <c r="WQL85" s="1"/>
      <c r="WQM85" s="1"/>
      <c r="WQN85" s="1"/>
      <c r="WQO85" s="1"/>
      <c r="WQP85" s="1"/>
      <c r="WQQ85" s="1"/>
      <c r="WQR85" s="1"/>
      <c r="WQS85" s="1"/>
      <c r="WQT85" s="1"/>
      <c r="WQU85" s="1"/>
      <c r="WQV85" s="1"/>
      <c r="WQW85" s="1"/>
      <c r="WQX85" s="1"/>
      <c r="WQY85" s="1"/>
      <c r="WQZ85" s="1"/>
      <c r="WRA85" s="1"/>
      <c r="WRB85" s="1"/>
      <c r="WRC85" s="1"/>
      <c r="WRD85" s="1"/>
      <c r="WRE85" s="1"/>
      <c r="WRF85" s="1"/>
      <c r="WRG85" s="1"/>
      <c r="WRH85" s="1"/>
      <c r="WRI85" s="1"/>
      <c r="WRJ85" s="1"/>
      <c r="WRK85" s="1"/>
      <c r="WRL85" s="1"/>
      <c r="WRM85" s="1"/>
      <c r="WRN85" s="1"/>
      <c r="WRO85" s="1"/>
      <c r="WRP85" s="1"/>
      <c r="WRQ85" s="1"/>
      <c r="WRR85" s="1"/>
      <c r="WRS85" s="1"/>
      <c r="WRT85" s="1"/>
      <c r="WRU85" s="1"/>
      <c r="WRV85" s="1"/>
      <c r="WRW85" s="1"/>
      <c r="WRX85" s="1"/>
      <c r="WRY85" s="1"/>
      <c r="WRZ85" s="1"/>
      <c r="WSA85" s="1"/>
      <c r="WSB85" s="1"/>
      <c r="WSC85" s="1"/>
      <c r="WSD85" s="1"/>
      <c r="WSE85" s="1"/>
      <c r="WSF85" s="1"/>
      <c r="WSG85" s="1"/>
      <c r="WSH85" s="1"/>
      <c r="WSI85" s="1"/>
      <c r="WSJ85" s="1"/>
      <c r="WSK85" s="1"/>
      <c r="WSL85" s="1"/>
      <c r="WSM85" s="1"/>
      <c r="WSN85" s="1"/>
      <c r="WSO85" s="1"/>
      <c r="WSP85" s="1"/>
      <c r="WSQ85" s="1"/>
      <c r="WSR85" s="1"/>
      <c r="WSS85" s="1"/>
      <c r="WST85" s="1"/>
      <c r="WSU85" s="1"/>
      <c r="WSV85" s="1"/>
      <c r="WSW85" s="1"/>
      <c r="WSX85" s="1"/>
      <c r="WSY85" s="1"/>
      <c r="WSZ85" s="1"/>
      <c r="WTA85" s="1"/>
      <c r="WTB85" s="1"/>
      <c r="WTC85" s="1"/>
      <c r="WTD85" s="1"/>
      <c r="WTE85" s="1"/>
      <c r="WTF85" s="1"/>
      <c r="WTG85" s="1"/>
      <c r="WTH85" s="1"/>
      <c r="WTI85" s="1"/>
      <c r="WTJ85" s="1"/>
      <c r="WTK85" s="1"/>
      <c r="WTL85" s="1"/>
      <c r="WTM85" s="1"/>
      <c r="WTN85" s="1"/>
      <c r="WTO85" s="1"/>
      <c r="WTP85" s="1"/>
      <c r="WTQ85" s="1"/>
      <c r="WTR85" s="1"/>
      <c r="WTS85" s="1"/>
      <c r="WTT85" s="1"/>
      <c r="WTU85" s="1"/>
      <c r="WTV85" s="1"/>
      <c r="WTW85" s="1"/>
      <c r="WTX85" s="1"/>
      <c r="WTY85" s="1"/>
      <c r="WTZ85" s="1"/>
      <c r="WUA85" s="1"/>
      <c r="WUB85" s="1"/>
      <c r="WUC85" s="1"/>
      <c r="WUD85" s="1"/>
      <c r="WUE85" s="1"/>
      <c r="WUF85" s="1"/>
      <c r="WUG85" s="1"/>
      <c r="WUH85" s="1"/>
      <c r="WUI85" s="1"/>
      <c r="WUJ85" s="1"/>
      <c r="WUK85" s="1"/>
      <c r="WUL85" s="1"/>
      <c r="WUM85" s="1"/>
      <c r="WUN85" s="1"/>
      <c r="WUO85" s="1"/>
      <c r="WUP85" s="1"/>
      <c r="WUQ85" s="1"/>
      <c r="WUR85" s="1"/>
      <c r="WUS85" s="1"/>
      <c r="WUT85" s="1"/>
      <c r="WUU85" s="1"/>
      <c r="WUV85" s="1"/>
      <c r="WUW85" s="1"/>
      <c r="WUX85" s="1"/>
      <c r="WUY85" s="1"/>
      <c r="WUZ85" s="1"/>
      <c r="WVA85" s="1"/>
      <c r="WVB85" s="1"/>
      <c r="WVC85" s="1"/>
      <c r="WVD85" s="1"/>
      <c r="WVE85" s="1"/>
      <c r="WVF85" s="1"/>
      <c r="WVG85" s="1"/>
      <c r="WVH85" s="1"/>
      <c r="WVI85" s="1"/>
      <c r="WVJ85" s="1"/>
      <c r="WVK85" s="1"/>
      <c r="WVL85" s="1"/>
      <c r="WVM85" s="1"/>
      <c r="WVN85" s="1"/>
      <c r="WVO85" s="1"/>
      <c r="WVP85" s="1"/>
      <c r="WVQ85" s="1"/>
      <c r="WVR85" s="1"/>
      <c r="WVS85" s="1"/>
      <c r="WVT85" s="1"/>
      <c r="WVU85" s="1"/>
      <c r="WVV85" s="1"/>
      <c r="WVW85" s="1"/>
      <c r="WVX85" s="1"/>
      <c r="WVY85" s="1"/>
      <c r="WVZ85" s="1"/>
      <c r="WWA85" s="1"/>
      <c r="WWB85" s="1"/>
      <c r="WWC85" s="1"/>
      <c r="WWD85" s="1"/>
      <c r="WWE85" s="1"/>
      <c r="WWF85" s="1"/>
      <c r="WWG85" s="1"/>
      <c r="WWH85" s="1"/>
      <c r="WWI85" s="1"/>
      <c r="WWJ85" s="1"/>
      <c r="WWK85" s="1"/>
      <c r="WWL85" s="1"/>
      <c r="WWM85" s="1"/>
      <c r="WWN85" s="1"/>
      <c r="WWO85" s="1"/>
      <c r="WWP85" s="1"/>
      <c r="WWQ85" s="1"/>
      <c r="WWR85" s="1"/>
      <c r="WWS85" s="1"/>
      <c r="WWT85" s="1"/>
      <c r="WWU85" s="1"/>
      <c r="WWV85" s="1"/>
      <c r="WWW85" s="1"/>
      <c r="WWX85" s="1"/>
      <c r="WWY85" s="1"/>
      <c r="WWZ85" s="1"/>
      <c r="WXA85" s="1"/>
      <c r="WXB85" s="1"/>
      <c r="WXC85" s="1"/>
      <c r="WXD85" s="1"/>
      <c r="WXE85" s="1"/>
      <c r="WXF85" s="1"/>
      <c r="WXG85" s="1"/>
      <c r="WXH85" s="1"/>
      <c r="WXI85" s="1"/>
      <c r="WXJ85" s="1"/>
      <c r="WXK85" s="1"/>
      <c r="WXL85" s="1"/>
      <c r="WXM85" s="1"/>
      <c r="WXN85" s="1"/>
      <c r="WXO85" s="1"/>
      <c r="WXP85" s="1"/>
      <c r="WXQ85" s="1"/>
      <c r="WXR85" s="1"/>
      <c r="WXS85" s="1"/>
      <c r="WXT85" s="1"/>
      <c r="WXU85" s="1"/>
      <c r="WXV85" s="1"/>
      <c r="WXW85" s="1"/>
      <c r="WXX85" s="1"/>
      <c r="WXY85" s="1"/>
      <c r="WXZ85" s="1"/>
      <c r="WYA85" s="1"/>
      <c r="WYB85" s="1"/>
      <c r="WYC85" s="1"/>
      <c r="WYD85" s="1"/>
      <c r="WYE85" s="1"/>
      <c r="WYF85" s="1"/>
      <c r="WYG85" s="1"/>
      <c r="WYH85" s="1"/>
      <c r="WYI85" s="1"/>
      <c r="WYJ85" s="1"/>
      <c r="WYK85" s="1"/>
      <c r="WYL85" s="1"/>
      <c r="WYM85" s="1"/>
      <c r="WYN85" s="1"/>
      <c r="WYO85" s="1"/>
      <c r="WYP85" s="1"/>
      <c r="WYQ85" s="1"/>
      <c r="WYR85" s="1"/>
      <c r="WYS85" s="1"/>
      <c r="WYT85" s="1"/>
      <c r="WYU85" s="1"/>
      <c r="WYV85" s="1"/>
      <c r="WYW85" s="1"/>
      <c r="WYX85" s="1"/>
      <c r="WYY85" s="1"/>
      <c r="WYZ85" s="1"/>
      <c r="WZA85" s="1"/>
      <c r="WZB85" s="1"/>
      <c r="WZC85" s="1"/>
      <c r="WZD85" s="1"/>
      <c r="WZE85" s="1"/>
      <c r="WZF85" s="1"/>
      <c r="WZG85" s="1"/>
      <c r="WZH85" s="1"/>
      <c r="WZI85" s="1"/>
      <c r="WZJ85" s="1"/>
      <c r="WZK85" s="1"/>
      <c r="WZL85" s="1"/>
      <c r="WZM85" s="1"/>
      <c r="WZN85" s="1"/>
      <c r="WZO85" s="1"/>
      <c r="WZP85" s="1"/>
      <c r="WZQ85" s="1"/>
      <c r="WZR85" s="1"/>
      <c r="WZS85" s="1"/>
      <c r="WZT85" s="1"/>
      <c r="WZU85" s="1"/>
      <c r="WZV85" s="1"/>
      <c r="WZW85" s="1"/>
      <c r="WZX85" s="1"/>
      <c r="WZY85" s="1"/>
      <c r="WZZ85" s="1"/>
      <c r="XAA85" s="1"/>
      <c r="XAB85" s="1"/>
      <c r="XAC85" s="1"/>
      <c r="XAD85" s="1"/>
      <c r="XAE85" s="1"/>
      <c r="XAF85" s="1"/>
      <c r="XAG85" s="1"/>
      <c r="XAH85" s="1"/>
      <c r="XAI85" s="1"/>
      <c r="XAJ85" s="1"/>
      <c r="XAK85" s="1"/>
      <c r="XAL85" s="1"/>
      <c r="XAM85" s="1"/>
      <c r="XAN85" s="1"/>
      <c r="XAO85" s="1"/>
      <c r="XAP85" s="1"/>
      <c r="XAQ85" s="1"/>
      <c r="XAR85" s="1"/>
      <c r="XAS85" s="1"/>
      <c r="XAT85" s="1"/>
      <c r="XAU85" s="1"/>
      <c r="XAV85" s="1"/>
      <c r="XAW85" s="1"/>
      <c r="XAX85" s="1"/>
      <c r="XAY85" s="1"/>
      <c r="XAZ85" s="1"/>
      <c r="XBA85" s="1"/>
      <c r="XBB85" s="1"/>
      <c r="XBC85" s="1"/>
      <c r="XBD85" s="1"/>
      <c r="XBE85" s="1"/>
      <c r="XBF85" s="1"/>
      <c r="XBG85" s="1"/>
      <c r="XBH85" s="1"/>
      <c r="XBI85" s="1"/>
      <c r="XBJ85" s="1"/>
      <c r="XBK85" s="1"/>
      <c r="XBL85" s="1"/>
      <c r="XBM85" s="1"/>
      <c r="XBN85" s="1"/>
      <c r="XBO85" s="1"/>
      <c r="XBP85" s="1"/>
      <c r="XBQ85" s="1"/>
      <c r="XBR85" s="1"/>
      <c r="XBS85" s="1"/>
      <c r="XBT85" s="1"/>
      <c r="XBU85" s="1"/>
      <c r="XBV85" s="1"/>
      <c r="XBW85" s="1"/>
      <c r="XBX85" s="1"/>
      <c r="XBY85" s="1"/>
      <c r="XBZ85" s="1"/>
      <c r="XCA85" s="1"/>
      <c r="XCB85" s="1"/>
      <c r="XCC85" s="1"/>
      <c r="XCD85" s="1"/>
      <c r="XCE85" s="1"/>
      <c r="XCF85" s="1"/>
      <c r="XCG85" s="1"/>
      <c r="XCH85" s="1"/>
      <c r="XCI85" s="1"/>
      <c r="XCJ85" s="1"/>
      <c r="XCK85" s="1"/>
      <c r="XCL85" s="1"/>
      <c r="XCM85" s="1"/>
      <c r="XCN85" s="1"/>
      <c r="XCO85" s="1"/>
      <c r="XCP85" s="1"/>
      <c r="XCQ85" s="1"/>
      <c r="XCR85" s="1"/>
      <c r="XCS85" s="1"/>
      <c r="XCT85" s="1"/>
      <c r="XCU85" s="1"/>
      <c r="XCV85" s="1"/>
      <c r="XCW85" s="1"/>
      <c r="XCX85" s="1"/>
      <c r="XCY85" s="1"/>
      <c r="XCZ85" s="1"/>
      <c r="XDA85" s="1"/>
      <c r="XDB85" s="1"/>
      <c r="XDC85" s="1"/>
      <c r="XDD85" s="1"/>
      <c r="XDE85" s="1"/>
      <c r="XDF85" s="1"/>
      <c r="XDG85" s="1"/>
      <c r="XDH85" s="1"/>
      <c r="XDI85" s="1"/>
      <c r="XDJ85" s="1"/>
      <c r="XDK85" s="1"/>
      <c r="XDL85" s="1"/>
      <c r="XDM85" s="1"/>
      <c r="XDN85" s="1"/>
      <c r="XDO85" s="1"/>
      <c r="XDP85" s="1"/>
      <c r="XDQ85" s="1"/>
      <c r="XDR85" s="1"/>
      <c r="XDS85" s="1"/>
      <c r="XDT85" s="1"/>
      <c r="XDU85" s="1"/>
      <c r="XDV85" s="1"/>
      <c r="XDW85" s="1"/>
      <c r="XDX85" s="1"/>
      <c r="XDY85" s="1"/>
      <c r="XDZ85" s="1"/>
      <c r="XEA85" s="1"/>
      <c r="XEB85" s="1"/>
      <c r="XEC85" s="1"/>
      <c r="XED85" s="1"/>
      <c r="XEE85" s="1"/>
      <c r="XEF85" s="1"/>
      <c r="XEG85" s="1"/>
      <c r="XEH85" s="1"/>
      <c r="XEI85" s="1"/>
      <c r="XEJ85" s="1"/>
      <c r="XEK85" s="1"/>
      <c r="XEL85" s="1"/>
      <c r="XEM85" s="1"/>
      <c r="XEN85" s="1"/>
      <c r="XEO85" s="1"/>
      <c r="XEP85" s="1"/>
      <c r="XEQ85" s="1"/>
      <c r="XER85" s="1"/>
      <c r="XES85" s="1"/>
      <c r="XET85" s="1"/>
      <c r="XEU85" s="1"/>
      <c r="XEV85" s="1"/>
      <c r="XEW85" s="1"/>
      <c r="XEX85" s="1"/>
      <c r="XEY85" s="1"/>
      <c r="XEZ85" s="1"/>
      <c r="XFA85" s="1"/>
      <c r="XFB85" s="1"/>
      <c r="XFC85" s="1"/>
      <c r="XFD85" s="1"/>
    </row>
    <row r="86" spans="1:16384" s="138" customFormat="1" ht="14.25" customHeight="1" thickBot="1">
      <c r="B86" s="6"/>
      <c r="C86" s="6"/>
      <c r="D86" s="153"/>
      <c r="E86" s="153"/>
      <c r="F86" s="153"/>
      <c r="G86" s="6"/>
      <c r="H86" s="6"/>
      <c r="I86" s="6"/>
      <c r="J86" s="137"/>
      <c r="K86" s="878"/>
      <c r="L86" s="878"/>
      <c r="M86" s="97"/>
      <c r="N86" s="879">
        <f>$A$5</f>
        <v>1</v>
      </c>
      <c r="O86" s="880"/>
      <c r="P86" s="881" t="s">
        <v>430</v>
      </c>
      <c r="Q86" s="882"/>
      <c r="R86" s="97"/>
      <c r="S86" s="97"/>
      <c r="T86" s="7"/>
      <c r="U86" s="136" t="s">
        <v>225</v>
      </c>
    </row>
    <row r="87" spans="1:16384" s="138" customFormat="1" ht="14.25" customHeight="1" thickBot="1">
      <c r="B87" s="6"/>
      <c r="C87" s="6"/>
      <c r="D87" s="153"/>
      <c r="E87" s="153"/>
      <c r="F87" s="153"/>
      <c r="G87" s="887" t="str">
        <f ca="1">IF(('BP1'!$N$80+'BP2'!$N$80+'BP3'!$N$80+'BP4'!$N$80+'BP5'!$N$80)&gt;0,"SUBAWARD COST-SHARE","")</f>
        <v/>
      </c>
      <c r="H87" s="887"/>
      <c r="I87" s="887"/>
      <c r="J87" s="887"/>
      <c r="K87" s="887"/>
      <c r="L87" s="887"/>
      <c r="M87" s="4"/>
      <c r="N87" s="874">
        <f>SUM(N62:N73)</f>
        <v>0</v>
      </c>
      <c r="O87" s="875"/>
      <c r="P87" s="883">
        <f>'BP1'!$N$87+'BP2'!$N$87+'BP3'!$N$87+'BP4'!$N$87+'BP5'!$N$87</f>
        <v>0</v>
      </c>
      <c r="Q87" s="884">
        <f>'BP1'!Q79+'BP2'!Q79+'BP3'!Q79+'BP4'!Q79+'BP5'!Q79</f>
        <v>0</v>
      </c>
      <c r="R87" s="97"/>
      <c r="S87" s="97"/>
      <c r="T87" s="7"/>
      <c r="U87" s="136" t="s">
        <v>225</v>
      </c>
    </row>
    <row r="88" spans="1:16384" s="138" customFormat="1" ht="14.25" customHeight="1" thickBot="1">
      <c r="B88" s="6"/>
      <c r="C88" s="6"/>
      <c r="D88" s="304"/>
      <c r="E88" s="304"/>
      <c r="F88" s="305"/>
      <c r="G88" s="887" t="str">
        <f ca="1">IF(('BP1'!$N$80+'BP2'!$N$80+'BP3'!$N$80+'BP4'!$N$80+'BP5'!$N$80)&gt;0,"THIRD PARTY COST-SHARE","")</f>
        <v/>
      </c>
      <c r="H88" s="887"/>
      <c r="I88" s="887"/>
      <c r="J88" s="887"/>
      <c r="K88" s="887"/>
      <c r="L88" s="887"/>
      <c r="M88" s="4"/>
      <c r="N88" s="888"/>
      <c r="O88" s="889"/>
      <c r="P88" s="883">
        <f>'BP1'!$N$88+'BP2'!$N$88+'BP3'!$N$88+'BP4'!$N$88+'BP5'!$N$88</f>
        <v>0</v>
      </c>
      <c r="Q88" s="884">
        <f>'BP1'!Q78+'BP2'!Q78+'BP3'!Q78+'BP4'!Q78+'BP5'!Q78</f>
        <v>0</v>
      </c>
      <c r="R88" s="97"/>
      <c r="S88" s="97"/>
      <c r="T88" s="7"/>
      <c r="U88" s="136" t="s">
        <v>225</v>
      </c>
    </row>
    <row r="89" spans="1:16384" s="138" customFormat="1" ht="14.25" customHeight="1" thickBot="1">
      <c r="B89" s="6"/>
      <c r="C89" s="6"/>
      <c r="D89" s="304"/>
      <c r="E89" s="304"/>
      <c r="F89" s="302"/>
      <c r="G89" s="887" t="str">
        <f ca="1">IF(('BP1'!$N$80+'BP2'!$N$80+'BP3'!$N$80+'BP4'!$N$80+'BP5'!$N$80)&gt;0,"TOTAL COST-SHARED","")</f>
        <v/>
      </c>
      <c r="H89" s="887"/>
      <c r="I89" s="887"/>
      <c r="J89" s="887"/>
      <c r="K89" s="887"/>
      <c r="L89" s="887"/>
      <c r="M89" s="4"/>
      <c r="N89" s="874">
        <f ca="1">$N$80+$N$88</f>
        <v>0</v>
      </c>
      <c r="O89" s="875"/>
      <c r="P89" s="883">
        <f ca="1">'BP1'!$N$89+'BP2'!$N$89+'BP3'!$N$89+'BP4'!$N$89+'BP5'!$N$89</f>
        <v>0</v>
      </c>
      <c r="Q89" s="884">
        <f>'BP1'!Q79+'BP2'!Q79+'BP3'!Q79+'BP4'!Q79+'BP5'!Q79</f>
        <v>0</v>
      </c>
      <c r="R89" s="97"/>
      <c r="S89" s="97"/>
      <c r="T89" s="7"/>
      <c r="U89" s="136" t="s">
        <v>225</v>
      </c>
    </row>
    <row r="90" spans="1:16384" s="138" customFormat="1" ht="14.25" customHeight="1" thickBot="1">
      <c r="B90" s="6"/>
      <c r="C90" s="6"/>
      <c r="D90" s="304"/>
      <c r="E90" s="304"/>
      <c r="F90" s="885" t="str">
        <f ca="1">IF(('BP1'!$N$80+'BP2'!$N$80+'BP3'!$N$80+'BP4'!$N$80+'BP5'!$N$80)&gt;0,"SPONSOR COSTS","")</f>
        <v/>
      </c>
      <c r="G90" s="885"/>
      <c r="H90" s="885"/>
      <c r="I90" s="885"/>
      <c r="J90" s="885"/>
      <c r="K90" s="885"/>
      <c r="L90" s="885"/>
      <c r="M90" s="4"/>
      <c r="N90" s="874">
        <f ca="1">IF(('BP1'!$N$80+'BP2'!$N$80+'BP3'!$N$80+'BP4'!$N$80+'BP5'!$N$80)&gt;0,$K$80,)</f>
        <v>0</v>
      </c>
      <c r="O90" s="875"/>
      <c r="P90" s="883">
        <f ca="1">'BP1'!$N$90+'BP2'!$N$90+'BP3'!$N$90+'BP4'!$N$90+'BP5'!$N$90</f>
        <v>0</v>
      </c>
      <c r="Q90" s="884">
        <f>'BP1'!Q80+'BP2'!Q80+'BP3'!Q80+'BP4'!Q80+'BP5'!Q80</f>
        <v>0</v>
      </c>
      <c r="R90" s="384"/>
      <c r="S90" s="384"/>
      <c r="T90" s="7"/>
      <c r="U90" s="136" t="s">
        <v>225</v>
      </c>
    </row>
    <row r="91" spans="1:16384" s="138" customFormat="1" ht="14.25" customHeight="1" thickBot="1">
      <c r="B91" s="6"/>
      <c r="C91" s="6"/>
      <c r="D91" s="304"/>
      <c r="E91" s="304"/>
      <c r="F91" s="302"/>
      <c r="G91" s="885" t="str">
        <f ca="1">IF(('BP1'!$N$80+'BP2'!$N$80+'BP3'!$N$80+'BP4'!$N$80+'BP5'!$N$80)&gt;0,"PROJECT COSTS","")</f>
        <v/>
      </c>
      <c r="H91" s="885"/>
      <c r="I91" s="885"/>
      <c r="J91" s="885"/>
      <c r="K91" s="885"/>
      <c r="L91" s="885"/>
      <c r="M91" s="4"/>
      <c r="N91" s="874">
        <f ca="1">IF(('BP1'!$N$80+'BP2'!$N$80+'BP3'!$N$80+'BP4'!$N$80+'BP5'!$N$80)&gt;0,$N$90+$N$89,)</f>
        <v>0</v>
      </c>
      <c r="O91" s="875"/>
      <c r="P91" s="883">
        <f ca="1">'BP1'!$N$91+'BP2'!$N$91+'BP3'!$N$91+'BP4'!$N$91+'BP5'!$N$91</f>
        <v>0</v>
      </c>
      <c r="Q91" s="884">
        <f>'BP1'!Q81+'BP2'!Q81+'BP3'!Q81+'BP4'!Q81+'BP5'!Q81</f>
        <v>0</v>
      </c>
      <c r="R91" s="384"/>
      <c r="S91" s="384"/>
      <c r="T91" s="7"/>
      <c r="U91" s="136" t="s">
        <v>225</v>
      </c>
    </row>
    <row r="92" spans="1:16384" s="138" customFormat="1" ht="14.25" customHeight="1" thickBot="1">
      <c r="B92" s="6"/>
      <c r="C92" s="6"/>
      <c r="D92" s="304"/>
      <c r="E92" s="304"/>
      <c r="F92" s="303"/>
      <c r="G92" s="886" t="str">
        <f ca="1">IF(('BP1'!$N$80+'BP2'!$N$80+'BP3'!$N$80+'BP4'!$N$80+'BP5'!$N$80)&gt;0,"COST-SHARE AS % OF SPONSOR COSTS","")</f>
        <v/>
      </c>
      <c r="H92" s="886"/>
      <c r="I92" s="886"/>
      <c r="J92" s="886"/>
      <c r="K92" s="886"/>
      <c r="L92" s="886"/>
      <c r="M92" s="4"/>
      <c r="N92" s="876">
        <f ca="1">IFERROR($N$89/$N$90,)</f>
        <v>0</v>
      </c>
      <c r="O92" s="877"/>
      <c r="P92" s="872">
        <f ca="1">IFERROR($P$89/$P$90,)</f>
        <v>0</v>
      </c>
      <c r="Q92" s="873"/>
      <c r="R92" s="384"/>
      <c r="S92" s="384"/>
      <c r="T92" s="7"/>
      <c r="U92" s="136" t="s">
        <v>225</v>
      </c>
    </row>
    <row r="93" spans="1:16384" s="138" customFormat="1" ht="14.25" customHeight="1" thickBot="1">
      <c r="B93" s="6"/>
      <c r="C93" s="6"/>
      <c r="D93" s="304"/>
      <c r="E93" s="304"/>
      <c r="F93" s="885" t="str">
        <f ca="1">IF(('BP1'!$N$80+'BP2'!$N$80+'BP3'!$N$80+'BP4'!$N$80+'BP5'!$N$80)&gt;0,"COST-SHARE AS % OF PROJECT COSTS","")</f>
        <v/>
      </c>
      <c r="G93" s="885"/>
      <c r="H93" s="885"/>
      <c r="I93" s="885"/>
      <c r="J93" s="885"/>
      <c r="K93" s="885"/>
      <c r="L93" s="885"/>
      <c r="M93" s="4"/>
      <c r="N93" s="876">
        <f ca="1">IFERROR($N$89/$N$91,)</f>
        <v>0</v>
      </c>
      <c r="O93" s="877"/>
      <c r="P93" s="872">
        <f ca="1">IFERROR($P$89/$P$91,)</f>
        <v>0</v>
      </c>
      <c r="Q93" s="873"/>
      <c r="R93" s="386"/>
      <c r="S93" s="386"/>
      <c r="T93" s="7"/>
      <c r="U93" s="136" t="s">
        <v>225</v>
      </c>
    </row>
    <row r="94" spans="1:16384" s="138" customFormat="1" ht="15">
      <c r="B94" s="6"/>
      <c r="C94" s="6"/>
      <c r="D94" s="304"/>
      <c r="E94" s="304"/>
      <c r="F94" s="304"/>
      <c r="G94" s="307"/>
      <c r="H94" s="307"/>
      <c r="I94" s="307"/>
      <c r="J94" s="308"/>
      <c r="K94" s="307"/>
      <c r="L94" s="306"/>
      <c r="M94" s="306"/>
      <c r="N94" s="307"/>
      <c r="O94" s="306"/>
      <c r="P94" s="306"/>
      <c r="Q94" s="306"/>
      <c r="R94" s="385"/>
      <c r="S94" s="385"/>
      <c r="T94" s="7"/>
      <c r="U94" s="136"/>
    </row>
    <row r="95" spans="1:16384" s="138" customFormat="1">
      <c r="B95" s="6"/>
      <c r="C95" s="6"/>
      <c r="D95" s="153"/>
      <c r="E95" s="153"/>
      <c r="F95" s="153"/>
      <c r="G95" s="6"/>
      <c r="H95" s="6"/>
      <c r="I95" s="6"/>
      <c r="J95" s="137"/>
      <c r="K95" s="6"/>
      <c r="L95" s="97"/>
      <c r="M95" s="97"/>
      <c r="N95" s="6"/>
      <c r="O95" s="97"/>
      <c r="P95" s="97"/>
      <c r="Q95" s="97"/>
      <c r="R95" s="97"/>
      <c r="S95" s="97"/>
      <c r="T95" s="7"/>
      <c r="U95" s="136"/>
    </row>
    <row r="96" spans="1:16384" s="138" customFormat="1">
      <c r="B96" s="6"/>
      <c r="C96" s="6"/>
      <c r="D96" s="153"/>
      <c r="E96" s="153"/>
      <c r="F96" s="153"/>
      <c r="G96" s="6"/>
      <c r="H96" s="6"/>
      <c r="I96" s="6"/>
      <c r="J96" s="137"/>
      <c r="K96" s="6"/>
      <c r="L96" s="97"/>
      <c r="M96" s="97"/>
      <c r="N96" s="6"/>
      <c r="O96" s="97"/>
      <c r="P96" s="97"/>
      <c r="Q96" s="97"/>
      <c r="R96" s="97"/>
      <c r="S96" s="97"/>
      <c r="T96" s="7"/>
      <c r="U96" s="4"/>
    </row>
    <row r="97" spans="2:21" s="138" customFormat="1">
      <c r="B97" s="6"/>
      <c r="C97" s="6"/>
      <c r="D97" s="153"/>
      <c r="E97" s="153"/>
      <c r="F97" s="153"/>
      <c r="G97" s="6"/>
      <c r="H97" s="6"/>
      <c r="I97" s="6"/>
      <c r="J97" s="137"/>
      <c r="K97" s="6"/>
      <c r="L97" s="97"/>
      <c r="M97" s="97"/>
      <c r="N97" s="6"/>
      <c r="O97" s="97"/>
      <c r="P97" s="97"/>
      <c r="Q97" s="97"/>
      <c r="R97" s="97"/>
      <c r="S97" s="97"/>
      <c r="T97" s="7"/>
      <c r="U97" s="4"/>
    </row>
    <row r="98" spans="2:21" s="138" customFormat="1">
      <c r="B98" s="6"/>
      <c r="C98" s="6"/>
      <c r="D98" s="153"/>
      <c r="E98" s="153"/>
      <c r="F98" s="153"/>
      <c r="G98" s="6"/>
      <c r="H98" s="6"/>
      <c r="I98" s="6"/>
      <c r="J98" s="137"/>
      <c r="K98" s="6"/>
      <c r="L98" s="97"/>
      <c r="M98" s="97"/>
      <c r="N98" s="6"/>
      <c r="O98" s="97"/>
      <c r="P98" s="97"/>
      <c r="Q98" s="97"/>
      <c r="R98" s="97"/>
      <c r="S98" s="97"/>
      <c r="T98" s="7"/>
      <c r="U98" s="4"/>
    </row>
    <row r="99" spans="2:21" s="138" customFormat="1">
      <c r="B99" s="6"/>
      <c r="C99" s="6"/>
      <c r="D99" s="153"/>
      <c r="E99" s="153"/>
      <c r="F99" s="153"/>
      <c r="G99" s="6"/>
      <c r="H99" s="6"/>
      <c r="I99" s="6"/>
      <c r="J99" s="137"/>
      <c r="K99" s="6"/>
      <c r="L99" s="97"/>
      <c r="M99" s="97"/>
      <c r="N99" s="6"/>
      <c r="O99" s="97"/>
      <c r="P99" s="97"/>
      <c r="Q99" s="97"/>
      <c r="R99" s="97"/>
      <c r="S99" s="97"/>
      <c r="T99" s="7"/>
      <c r="U99" s="4"/>
    </row>
    <row r="100" spans="2:21" s="138" customFormat="1">
      <c r="B100" s="6"/>
      <c r="C100" s="6"/>
      <c r="D100" s="153"/>
      <c r="E100" s="153"/>
      <c r="F100" s="153"/>
      <c r="G100" s="6"/>
      <c r="H100" s="6"/>
      <c r="I100" s="6"/>
      <c r="J100" s="137"/>
      <c r="K100" s="6"/>
      <c r="L100" s="97"/>
      <c r="M100" s="97"/>
      <c r="N100" s="6"/>
      <c r="O100" s="97"/>
      <c r="P100" s="97"/>
      <c r="Q100" s="97"/>
      <c r="R100" s="97"/>
      <c r="S100" s="97"/>
      <c r="T100" s="7"/>
      <c r="U100" s="4"/>
    </row>
    <row r="101" spans="2:21" s="138" customFormat="1">
      <c r="B101" s="6"/>
      <c r="C101" s="6"/>
      <c r="D101" s="153"/>
      <c r="E101" s="153"/>
      <c r="F101" s="153"/>
      <c r="G101" s="6"/>
      <c r="H101" s="6"/>
      <c r="I101" s="6"/>
      <c r="J101" s="137"/>
      <c r="K101" s="6"/>
      <c r="L101" s="97"/>
      <c r="M101" s="97"/>
      <c r="N101" s="6"/>
      <c r="O101" s="97"/>
      <c r="P101" s="97"/>
      <c r="Q101" s="97"/>
      <c r="R101" s="97"/>
      <c r="S101" s="97"/>
      <c r="T101" s="7"/>
      <c r="U101" s="4"/>
    </row>
    <row r="102" spans="2:21" s="138" customFormat="1">
      <c r="B102" s="6"/>
      <c r="C102" s="6"/>
      <c r="D102" s="153"/>
      <c r="E102" s="153"/>
      <c r="F102" s="153"/>
      <c r="G102" s="6"/>
      <c r="H102" s="6"/>
      <c r="I102" s="6"/>
      <c r="J102" s="137"/>
      <c r="K102" s="6"/>
      <c r="L102" s="97"/>
      <c r="M102" s="97"/>
      <c r="N102" s="6"/>
      <c r="O102" s="97"/>
      <c r="P102" s="97"/>
      <c r="Q102" s="97"/>
      <c r="R102" s="97"/>
      <c r="S102" s="97"/>
      <c r="T102" s="7"/>
      <c r="U102" s="4"/>
    </row>
    <row r="103" spans="2:21" s="138" customFormat="1">
      <c r="B103" s="6"/>
      <c r="C103" s="6"/>
      <c r="D103" s="153"/>
      <c r="E103" s="153"/>
      <c r="F103" s="153"/>
      <c r="G103" s="6"/>
      <c r="H103" s="6"/>
      <c r="I103" s="6"/>
      <c r="J103" s="137"/>
      <c r="K103" s="6"/>
      <c r="L103" s="97"/>
      <c r="M103" s="97"/>
      <c r="N103" s="6"/>
      <c r="O103" s="97"/>
      <c r="P103" s="97"/>
      <c r="Q103" s="97"/>
      <c r="R103" s="97"/>
      <c r="S103" s="97"/>
      <c r="T103" s="7"/>
      <c r="U103" s="4"/>
    </row>
    <row r="104" spans="2:21" s="138" customFormat="1">
      <c r="B104" s="6"/>
      <c r="C104" s="6"/>
      <c r="D104" s="153"/>
      <c r="E104" s="153"/>
      <c r="F104" s="153"/>
      <c r="G104" s="6"/>
      <c r="H104" s="6"/>
      <c r="I104" s="6"/>
      <c r="J104" s="137"/>
      <c r="K104" s="6"/>
      <c r="L104" s="97"/>
      <c r="M104" s="97"/>
      <c r="N104" s="6"/>
      <c r="O104" s="97"/>
      <c r="P104" s="97"/>
      <c r="Q104" s="97"/>
      <c r="R104" s="97"/>
      <c r="S104" s="97"/>
      <c r="T104" s="7"/>
      <c r="U104" s="4"/>
    </row>
    <row r="105" spans="2:21" s="138" customFormat="1">
      <c r="B105" s="6"/>
      <c r="C105" s="6"/>
      <c r="D105" s="153"/>
      <c r="E105" s="153"/>
      <c r="F105" s="153"/>
      <c r="G105" s="6"/>
      <c r="H105" s="6"/>
      <c r="I105" s="6"/>
      <c r="J105" s="137"/>
      <c r="K105" s="6"/>
      <c r="L105" s="97"/>
      <c r="M105" s="97"/>
      <c r="N105" s="6"/>
      <c r="O105" s="97"/>
      <c r="P105" s="97"/>
      <c r="Q105" s="97"/>
      <c r="R105" s="97"/>
      <c r="S105" s="97"/>
      <c r="T105" s="7"/>
      <c r="U105" s="4"/>
    </row>
    <row r="106" spans="2:21" s="138" customFormat="1">
      <c r="B106" s="6"/>
      <c r="C106" s="6"/>
      <c r="D106" s="153"/>
      <c r="E106" s="153"/>
      <c r="F106" s="153"/>
      <c r="G106" s="6"/>
      <c r="H106" s="6"/>
      <c r="I106" s="6"/>
      <c r="J106" s="137"/>
      <c r="K106" s="6"/>
      <c r="L106" s="97"/>
      <c r="M106" s="97"/>
      <c r="N106" s="6"/>
      <c r="O106" s="97"/>
      <c r="P106" s="97"/>
      <c r="Q106" s="97"/>
      <c r="R106" s="97"/>
      <c r="S106" s="97"/>
      <c r="T106" s="7"/>
      <c r="U106" s="4"/>
    </row>
    <row r="107" spans="2:21" s="138" customFormat="1">
      <c r="B107" s="6"/>
      <c r="C107" s="6"/>
      <c r="D107" s="153"/>
      <c r="E107" s="153"/>
      <c r="F107" s="153"/>
      <c r="G107" s="6"/>
      <c r="H107" s="6"/>
      <c r="I107" s="6"/>
      <c r="J107" s="137"/>
      <c r="K107" s="6"/>
      <c r="L107" s="97"/>
      <c r="M107" s="97"/>
      <c r="N107" s="6"/>
      <c r="O107" s="97"/>
      <c r="P107" s="97"/>
      <c r="Q107" s="97"/>
      <c r="R107" s="97"/>
      <c r="S107" s="97"/>
      <c r="T107" s="7"/>
      <c r="U107" s="4"/>
    </row>
    <row r="108" spans="2:21" s="138" customFormat="1">
      <c r="B108" s="6"/>
      <c r="C108" s="6"/>
      <c r="D108" s="153"/>
      <c r="E108" s="153"/>
      <c r="F108" s="153"/>
      <c r="G108" s="6"/>
      <c r="H108" s="6"/>
      <c r="I108" s="6"/>
      <c r="J108" s="137"/>
      <c r="K108" s="6"/>
      <c r="L108" s="97"/>
      <c r="M108" s="97"/>
      <c r="N108" s="6"/>
      <c r="O108" s="97"/>
      <c r="P108" s="97"/>
      <c r="Q108" s="97"/>
      <c r="R108" s="97"/>
      <c r="S108" s="97"/>
      <c r="T108" s="7"/>
      <c r="U108" s="4"/>
    </row>
    <row r="109" spans="2:21" s="138" customFormat="1">
      <c r="B109" s="6"/>
      <c r="C109" s="6"/>
      <c r="D109" s="153"/>
      <c r="E109" s="153"/>
      <c r="F109" s="153"/>
      <c r="G109" s="6"/>
      <c r="H109" s="6"/>
      <c r="I109" s="6"/>
      <c r="J109" s="137"/>
      <c r="K109" s="6"/>
      <c r="L109" s="97"/>
      <c r="M109" s="97"/>
      <c r="N109" s="6"/>
      <c r="O109" s="97"/>
      <c r="P109" s="97"/>
      <c r="Q109" s="97"/>
      <c r="R109" s="97"/>
      <c r="S109" s="97"/>
      <c r="T109" s="7"/>
      <c r="U109" s="4"/>
    </row>
    <row r="110" spans="2:21" s="138" customFormat="1">
      <c r="B110" s="6"/>
      <c r="C110" s="6"/>
      <c r="D110" s="153"/>
      <c r="E110" s="153"/>
      <c r="F110" s="153"/>
      <c r="G110" s="6"/>
      <c r="H110" s="6"/>
      <c r="I110" s="6"/>
      <c r="J110" s="137"/>
      <c r="K110" s="6"/>
      <c r="L110" s="97"/>
      <c r="M110" s="97"/>
      <c r="N110" s="6"/>
      <c r="O110" s="97"/>
      <c r="P110" s="97"/>
      <c r="Q110" s="97"/>
      <c r="R110" s="97"/>
      <c r="S110" s="97"/>
      <c r="T110" s="7"/>
      <c r="U110" s="4"/>
    </row>
    <row r="111" spans="2:21" s="138" customFormat="1">
      <c r="B111" s="6"/>
      <c r="C111" s="6"/>
      <c r="D111" s="153"/>
      <c r="E111" s="153"/>
      <c r="F111" s="153"/>
      <c r="G111" s="6"/>
      <c r="H111" s="6"/>
      <c r="I111" s="6"/>
      <c r="J111" s="137"/>
      <c r="K111" s="6"/>
      <c r="L111" s="97"/>
      <c r="M111" s="97"/>
      <c r="N111" s="6"/>
      <c r="O111" s="97"/>
      <c r="P111" s="97"/>
      <c r="Q111" s="97"/>
      <c r="R111" s="97"/>
      <c r="S111" s="97"/>
      <c r="T111" s="7"/>
      <c r="U111" s="4"/>
    </row>
  </sheetData>
  <autoFilter ref="U1:U93" xr:uid="{00000000-0009-0000-0000-000002000000}">
    <filterColumn colId="0">
      <filters>
        <filter val="A) Condensed"/>
      </filters>
    </filterColumn>
  </autoFilter>
  <mergeCells count="251">
    <mergeCell ref="P1:S2"/>
    <mergeCell ref="P3:T13"/>
    <mergeCell ref="G77:H77"/>
    <mergeCell ref="N84:O84"/>
    <mergeCell ref="N58:O58"/>
    <mergeCell ref="N59:O59"/>
    <mergeCell ref="N60:O60"/>
    <mergeCell ref="N61:O61"/>
    <mergeCell ref="N62:O62"/>
    <mergeCell ref="N63:O63"/>
    <mergeCell ref="N64:O64"/>
    <mergeCell ref="N65:O65"/>
    <mergeCell ref="N66:O66"/>
    <mergeCell ref="G62:I62"/>
    <mergeCell ref="K73:L73"/>
    <mergeCell ref="K71:L71"/>
    <mergeCell ref="K80:L80"/>
    <mergeCell ref="K74:L74"/>
    <mergeCell ref="K75:L75"/>
    <mergeCell ref="K79:L79"/>
    <mergeCell ref="K72:L72"/>
    <mergeCell ref="K65:L65"/>
    <mergeCell ref="K82:L82"/>
    <mergeCell ref="N82:O82"/>
    <mergeCell ref="P52:S52"/>
    <mergeCell ref="P53:S53"/>
    <mergeCell ref="P54:S54"/>
    <mergeCell ref="P55:S55"/>
    <mergeCell ref="P56:S56"/>
    <mergeCell ref="P57:S57"/>
    <mergeCell ref="P58:S58"/>
    <mergeCell ref="P60:S60"/>
    <mergeCell ref="Q62:S62"/>
    <mergeCell ref="Q61:S61"/>
    <mergeCell ref="P59:S59"/>
    <mergeCell ref="Q32:S32"/>
    <mergeCell ref="Q33:S33"/>
    <mergeCell ref="Q38:S38"/>
    <mergeCell ref="Q39:S39"/>
    <mergeCell ref="Q40:S40"/>
    <mergeCell ref="P45:S45"/>
    <mergeCell ref="P44:S44"/>
    <mergeCell ref="N41:O41"/>
    <mergeCell ref="N42:O42"/>
    <mergeCell ref="N43:O43"/>
    <mergeCell ref="Q34:S34"/>
    <mergeCell ref="Q35:S35"/>
    <mergeCell ref="Q36:S36"/>
    <mergeCell ref="Q37:S37"/>
    <mergeCell ref="Q14:R14"/>
    <mergeCell ref="Q15:R15"/>
    <mergeCell ref="Q16:R16"/>
    <mergeCell ref="Q17:R17"/>
    <mergeCell ref="Q18:R18"/>
    <mergeCell ref="Q19:R19"/>
    <mergeCell ref="Q20:R20"/>
    <mergeCell ref="Q21:R21"/>
    <mergeCell ref="Q31:S31"/>
    <mergeCell ref="K43:L43"/>
    <mergeCell ref="B45:F45"/>
    <mergeCell ref="H13:J13"/>
    <mergeCell ref="B26:D26"/>
    <mergeCell ref="N74:O74"/>
    <mergeCell ref="N75:O75"/>
    <mergeCell ref="K76:L76"/>
    <mergeCell ref="A78:F78"/>
    <mergeCell ref="A79:F79"/>
    <mergeCell ref="H79:J79"/>
    <mergeCell ref="N78:O78"/>
    <mergeCell ref="N45:O45"/>
    <mergeCell ref="N46:O46"/>
    <mergeCell ref="N47:O47"/>
    <mergeCell ref="N48:O48"/>
    <mergeCell ref="N49:O49"/>
    <mergeCell ref="N50:O50"/>
    <mergeCell ref="N51:O51"/>
    <mergeCell ref="N71:O71"/>
    <mergeCell ref="N72:O72"/>
    <mergeCell ref="N79:O79"/>
    <mergeCell ref="E66:F66"/>
    <mergeCell ref="E67:F67"/>
    <mergeCell ref="G63:I63"/>
    <mergeCell ref="P93:Q93"/>
    <mergeCell ref="N90:O90"/>
    <mergeCell ref="N91:O91"/>
    <mergeCell ref="N92:O92"/>
    <mergeCell ref="N93:O93"/>
    <mergeCell ref="K86:L86"/>
    <mergeCell ref="N86:O86"/>
    <mergeCell ref="P86:Q86"/>
    <mergeCell ref="P88:Q88"/>
    <mergeCell ref="P89:Q89"/>
    <mergeCell ref="P90:Q90"/>
    <mergeCell ref="P91:Q91"/>
    <mergeCell ref="P92:Q92"/>
    <mergeCell ref="N89:O89"/>
    <mergeCell ref="F90:L90"/>
    <mergeCell ref="G91:L91"/>
    <mergeCell ref="G92:L92"/>
    <mergeCell ref="G88:L88"/>
    <mergeCell ref="N88:O88"/>
    <mergeCell ref="G87:L87"/>
    <mergeCell ref="P87:Q87"/>
    <mergeCell ref="N87:O87"/>
    <mergeCell ref="G89:L89"/>
    <mergeCell ref="F93:L93"/>
    <mergeCell ref="K84:L84"/>
    <mergeCell ref="K63:L63"/>
    <mergeCell ref="K64:L64"/>
    <mergeCell ref="K70:L70"/>
    <mergeCell ref="K83:L83"/>
    <mergeCell ref="N52:O52"/>
    <mergeCell ref="N53:O53"/>
    <mergeCell ref="N55:O55"/>
    <mergeCell ref="N67:O67"/>
    <mergeCell ref="N68:O68"/>
    <mergeCell ref="N69:O69"/>
    <mergeCell ref="N70:O70"/>
    <mergeCell ref="N56:O56"/>
    <mergeCell ref="N57:O57"/>
    <mergeCell ref="N80:O80"/>
    <mergeCell ref="G64:I64"/>
    <mergeCell ref="G65:I65"/>
    <mergeCell ref="G66:I66"/>
    <mergeCell ref="K48:L48"/>
    <mergeCell ref="C55:J55"/>
    <mergeCell ref="G69:I69"/>
    <mergeCell ref="G67:I67"/>
    <mergeCell ref="G68:I68"/>
    <mergeCell ref="K66:L66"/>
    <mergeCell ref="K67:L67"/>
    <mergeCell ref="K68:L68"/>
    <mergeCell ref="K69:L69"/>
    <mergeCell ref="K62:L62"/>
    <mergeCell ref="K60:L60"/>
    <mergeCell ref="I77:J77"/>
    <mergeCell ref="K46:L46"/>
    <mergeCell ref="B48:F48"/>
    <mergeCell ref="B49:F49"/>
    <mergeCell ref="C58:J58"/>
    <mergeCell ref="C61:J61"/>
    <mergeCell ref="K61:L61"/>
    <mergeCell ref="C59:J59"/>
    <mergeCell ref="C60:J60"/>
    <mergeCell ref="H51:J51"/>
    <mergeCell ref="H52:J52"/>
    <mergeCell ref="H53:J53"/>
    <mergeCell ref="K50:L50"/>
    <mergeCell ref="K56:L56"/>
    <mergeCell ref="K53:L53"/>
    <mergeCell ref="K52:L52"/>
    <mergeCell ref="K55:L55"/>
    <mergeCell ref="C68:D68"/>
    <mergeCell ref="C56:J56"/>
    <mergeCell ref="C57:J57"/>
    <mergeCell ref="C71:D71"/>
    <mergeCell ref="E63:F63"/>
    <mergeCell ref="E64:F64"/>
    <mergeCell ref="E65:F65"/>
    <mergeCell ref="B29:D29"/>
    <mergeCell ref="A30:F30"/>
    <mergeCell ref="K57:L57"/>
    <mergeCell ref="N12:O13"/>
    <mergeCell ref="M10:O11"/>
    <mergeCell ref="B25:D25"/>
    <mergeCell ref="B16:D16"/>
    <mergeCell ref="B17:D17"/>
    <mergeCell ref="B18:D18"/>
    <mergeCell ref="B19:D19"/>
    <mergeCell ref="B20:D20"/>
    <mergeCell ref="B21:D21"/>
    <mergeCell ref="B22:D22"/>
    <mergeCell ref="B23:D23"/>
    <mergeCell ref="B24:D24"/>
    <mergeCell ref="E14:F14"/>
    <mergeCell ref="B15:D15"/>
    <mergeCell ref="K41:L41"/>
    <mergeCell ref="B47:F47"/>
    <mergeCell ref="K45:L45"/>
    <mergeCell ref="K49:L49"/>
    <mergeCell ref="K51:L51"/>
    <mergeCell ref="K47:L47"/>
    <mergeCell ref="K42:L42"/>
    <mergeCell ref="G12:G14"/>
    <mergeCell ref="H12:J12"/>
    <mergeCell ref="M1:O9"/>
    <mergeCell ref="K12:L13"/>
    <mergeCell ref="E11:G11"/>
    <mergeCell ref="K7:L7"/>
    <mergeCell ref="K3:L3"/>
    <mergeCell ref="A9:D9"/>
    <mergeCell ref="A11:D11"/>
    <mergeCell ref="A5:J6"/>
    <mergeCell ref="A1:J4"/>
    <mergeCell ref="K1:L1"/>
    <mergeCell ref="K4:L4"/>
    <mergeCell ref="K5:L5"/>
    <mergeCell ref="K6:L6"/>
    <mergeCell ref="K8:L9"/>
    <mergeCell ref="K10:L11"/>
    <mergeCell ref="H10:J11"/>
    <mergeCell ref="H8:J9"/>
    <mergeCell ref="E9:G9"/>
    <mergeCell ref="B27:D27"/>
    <mergeCell ref="B28:D28"/>
    <mergeCell ref="N73:O73"/>
    <mergeCell ref="Q22:R22"/>
    <mergeCell ref="D77:F77"/>
    <mergeCell ref="A77:C77"/>
    <mergeCell ref="Q23:R23"/>
    <mergeCell ref="Q24:R24"/>
    <mergeCell ref="Q25:R25"/>
    <mergeCell ref="Q26:R26"/>
    <mergeCell ref="Q27:R27"/>
    <mergeCell ref="Q28:R28"/>
    <mergeCell ref="Q29:R29"/>
    <mergeCell ref="E72:F72"/>
    <mergeCell ref="E73:F73"/>
    <mergeCell ref="C72:D72"/>
    <mergeCell ref="C73:D73"/>
    <mergeCell ref="C63:D63"/>
    <mergeCell ref="C64:D64"/>
    <mergeCell ref="C65:D65"/>
    <mergeCell ref="C66:D66"/>
    <mergeCell ref="C67:D67"/>
    <mergeCell ref="E70:F70"/>
    <mergeCell ref="E71:F71"/>
    <mergeCell ref="Q63:S63"/>
    <mergeCell ref="G71:I71"/>
    <mergeCell ref="K59:L59"/>
    <mergeCell ref="B46:F46"/>
    <mergeCell ref="Q73:S73"/>
    <mergeCell ref="Q64:S64"/>
    <mergeCell ref="Q65:S65"/>
    <mergeCell ref="Q66:S66"/>
    <mergeCell ref="Q67:S67"/>
    <mergeCell ref="Q68:S68"/>
    <mergeCell ref="Q69:S69"/>
    <mergeCell ref="Q70:S70"/>
    <mergeCell ref="Q71:S71"/>
    <mergeCell ref="Q72:S72"/>
    <mergeCell ref="K58:L58"/>
    <mergeCell ref="E62:F62"/>
    <mergeCell ref="C62:D62"/>
    <mergeCell ref="G70:I70"/>
    <mergeCell ref="E68:F68"/>
    <mergeCell ref="E69:F69"/>
    <mergeCell ref="C69:D69"/>
    <mergeCell ref="C70:D70"/>
    <mergeCell ref="G72:I72"/>
    <mergeCell ref="G73:I73"/>
  </mergeCells>
  <phoneticPr fontId="10" type="noConversion"/>
  <conditionalFormatting sqref="E15:E29 B15:B29">
    <cfRule type="expression" dxfId="26" priority="25">
      <formula>"IF($F$11&gt;0)"</formula>
    </cfRule>
  </conditionalFormatting>
  <conditionalFormatting sqref="I77:J77">
    <cfRule type="expression" dxfId="25" priority="6">
      <formula>$L$2&lt;&gt;"Custom"</formula>
    </cfRule>
    <cfRule type="expression" dxfId="24" priority="7">
      <formula>$L$2="Custom"</formula>
    </cfRule>
  </conditionalFormatting>
  <conditionalFormatting sqref="P87:Q93">
    <cfRule type="expression" dxfId="23" priority="3">
      <formula>$N$80&gt;0</formula>
    </cfRule>
  </conditionalFormatting>
  <conditionalFormatting sqref="S15:S29">
    <cfRule type="cellIs" dxfId="22" priority="2" operator="greaterThan">
      <formula>0</formula>
    </cfRule>
  </conditionalFormatting>
  <conditionalFormatting sqref="P86:Q86">
    <cfRule type="expression" dxfId="21" priority="1">
      <formula>$N$80&gt;0</formula>
    </cfRule>
  </conditionalFormatting>
  <dataValidations count="8">
    <dataValidation type="list" allowBlank="1" showInputMessage="1" showErrorMessage="1" promptTitle="Project Start" prompt="Please enter your project start date; all subsequent project dates will auto-fill." sqref="K8:L9" xr:uid="{00000000-0002-0000-0200-000000000000}">
      <formula1>StartDateList</formula1>
    </dataValidation>
    <dataValidation errorStyle="warning" allowBlank="1" showInputMessage="1" sqref="K7" xr:uid="{00000000-0002-0000-0200-000001000000}"/>
    <dataValidation type="list" allowBlank="1" showInputMessage="1" showErrorMessage="1" sqref="K5" xr:uid="{00000000-0002-0000-0200-000002000000}">
      <formula1>"1,2,3,4,5"</formula1>
    </dataValidation>
    <dataValidation allowBlank="1" showInputMessage="1" showErrorMessage="1" errorTitle="Only Enter Quarters" error="Graduate students can only be budgeted in intervals of 3 months (a quarter)." sqref="H38" xr:uid="{00000000-0002-0000-0200-000003000000}"/>
    <dataValidation type="list" allowBlank="1" showInputMessage="1" showErrorMessage="1" sqref="L2" xr:uid="{00000000-0002-0000-0200-000004000000}">
      <formula1>INDIRECT((SUBSTITUTE(SUBSTITUTE(K2," ",""),"-","")))</formula1>
    </dataValidation>
    <dataValidation type="list" allowBlank="1" showErrorMessage="1" sqref="K2" xr:uid="{00000000-0002-0000-0200-000005000000}">
      <formula1>"Federal,Non-Federal"</formula1>
    </dataValidation>
    <dataValidation type="whole" allowBlank="1" showInputMessage="1" showErrorMessage="1" sqref="A5:J6" xr:uid="{00000000-0002-0000-0200-000006000000}">
      <formula1>1</formula1>
      <formula2>20</formula2>
    </dataValidation>
    <dataValidation type="list" allowBlank="1" showInputMessage="1" showErrorMessage="1" sqref="K3:L3" xr:uid="{00000000-0002-0000-0200-000007000000}">
      <formula1>"MTDC,TDC"</formula1>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A30:O31 A53:O54 A51:F52 H51:J52 A41:O43 E35:F35 C35 C15:D15 A15:A29 K15:L29 N15:O29 C32:F34 A32:A40 C36:F40 N32:O40 A45:A50 G45:J49 M45:M49 A59:O59 A55:J55 A56:J56 M55:M56 A57:J57 A58:J58 M58 I32:L40 O52 O51 M51 L52:M52 K51:K52 N52 N51 A85:O86 B78:F78 H78:O78 B79:F79 H79:O79 A88:F88 H88:O88 A90:O91 A89:F89 H89:M89 A93:E93 A92:G92 H92:O92 G93:O93 A11 A77:H77 J62:J73 A61:J61 A60:J60 M60:M73 C50:O50 B44:O44 A81:O81 B82:J82 D62:F62 A62:B73 E63:F63 E64:F73 K62:L73 L82:M82 G62:I73 B80:O80 A74:M74 B75:J75 L75:O75 O74 H32:H40 N62:O73 O89 O82 A84:M84 O84 J77:O77" unlockedFormula="1"/>
    <ignoredError sqref="G51:G52"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'Appendix A-Boilerplate Language'!$O$3:$O$7</xm:f>
          </x14:formula1>
          <xm:sqref>G15:G29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filterMode="1">
    <tabColor theme="4" tint="0.59999389629810485"/>
    <pageSetUpPr fitToPage="1"/>
  </sheetPr>
  <dimension ref="A1:W94"/>
  <sheetViews>
    <sheetView showGridLines="0" showZeros="0" zoomScaleNormal="100" zoomScaleSheetLayoutView="100" workbookViewId="0">
      <selection activeCell="R1" sqref="R1"/>
    </sheetView>
  </sheetViews>
  <sheetFormatPr defaultColWidth="10.7109375" defaultRowHeight="12" customHeight="1"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8" width="6.85546875" customWidth="1"/>
    <col min="9" max="9" width="6.85546875" style="6" customWidth="1"/>
    <col min="10" max="10" width="6.85546875" style="137" customWidth="1"/>
    <col min="11" max="11" width="12.140625" style="6" customWidth="1"/>
    <col min="12" max="12" width="12.140625" style="97" customWidth="1"/>
    <col min="13" max="13" width="5.85546875" style="97" customWidth="1" outlineLevel="1"/>
    <col min="14" max="14" width="12.140625" style="6" customWidth="1" outlineLevel="1"/>
    <col min="15" max="15" width="12.140625" style="97" customWidth="1" outlineLevel="1"/>
    <col min="16" max="17" width="14.42578125" style="4" customWidth="1"/>
    <col min="18" max="18" width="35.7109375" style="4" customWidth="1"/>
    <col min="19" max="23" width="10.7109375" style="4" customWidth="1"/>
    <col min="24" max="16384" width="10.7109375" style="1"/>
  </cols>
  <sheetData>
    <row r="1" spans="1:23" ht="14.25" customHeight="1" thickBot="1">
      <c r="A1" s="955" t="str">
        <f>'BP1'!A1:L1</f>
        <v>Title</v>
      </c>
      <c r="B1" s="956"/>
      <c r="C1" s="956"/>
      <c r="D1" s="956"/>
      <c r="E1" s="956"/>
      <c r="F1" s="956"/>
      <c r="G1" s="956"/>
      <c r="H1" s="956"/>
      <c r="I1" s="956"/>
      <c r="J1" s="957"/>
      <c r="K1" s="822" t="s">
        <v>231</v>
      </c>
      <c r="L1" s="823"/>
      <c r="M1" s="945"/>
      <c r="N1" s="945"/>
      <c r="O1" s="945"/>
      <c r="R1" s="139" t="s">
        <v>194</v>
      </c>
    </row>
    <row r="2" spans="1:23" ht="14.25" customHeight="1">
      <c r="A2" s="958"/>
      <c r="B2" s="959"/>
      <c r="C2" s="959"/>
      <c r="D2" s="959"/>
      <c r="E2" s="959"/>
      <c r="F2" s="959"/>
      <c r="G2" s="959"/>
      <c r="H2" s="959"/>
      <c r="I2" s="959"/>
      <c r="J2" s="959"/>
      <c r="K2" s="563" t="str">
        <f>'BP1'!K2</f>
        <v>Federal</v>
      </c>
      <c r="L2" s="564" t="str">
        <f>'BP1'!L2</f>
        <v>On Campus</v>
      </c>
      <c r="M2" s="945"/>
      <c r="N2" s="945"/>
      <c r="O2" s="945"/>
      <c r="R2" s="136" t="s">
        <v>225</v>
      </c>
    </row>
    <row r="3" spans="1:23" ht="14.25" customHeight="1">
      <c r="A3" s="958"/>
      <c r="B3" s="959"/>
      <c r="C3" s="959"/>
      <c r="D3" s="959"/>
      <c r="E3" s="959"/>
      <c r="F3" s="959"/>
      <c r="G3" s="959"/>
      <c r="H3" s="959"/>
      <c r="I3" s="959"/>
      <c r="J3" s="959"/>
      <c r="K3" s="925" t="str">
        <f>'BP1'!K3</f>
        <v>MTDC</v>
      </c>
      <c r="L3" s="926"/>
      <c r="M3" s="945"/>
      <c r="N3" s="945"/>
      <c r="O3" s="945"/>
      <c r="R3" s="136" t="s">
        <v>225</v>
      </c>
    </row>
    <row r="4" spans="1:23" ht="14.25" customHeight="1">
      <c r="A4" s="958"/>
      <c r="B4" s="959"/>
      <c r="C4" s="959"/>
      <c r="D4" s="959"/>
      <c r="E4" s="959"/>
      <c r="F4" s="959"/>
      <c r="G4" s="959"/>
      <c r="H4" s="959"/>
      <c r="I4" s="959"/>
      <c r="J4" s="960"/>
      <c r="K4" s="824" t="s">
        <v>452</v>
      </c>
      <c r="L4" s="825"/>
      <c r="M4" s="945"/>
      <c r="N4" s="945"/>
      <c r="O4" s="945"/>
      <c r="R4" s="136" t="s">
        <v>225</v>
      </c>
    </row>
    <row r="5" spans="1:23" ht="14.25" customHeight="1">
      <c r="A5" s="965">
        <f>'BP1'!A5+1</f>
        <v>2</v>
      </c>
      <c r="B5" s="966"/>
      <c r="C5" s="966"/>
      <c r="D5" s="966"/>
      <c r="E5" s="966"/>
      <c r="F5" s="966"/>
      <c r="G5" s="966"/>
      <c r="H5" s="966"/>
      <c r="I5" s="966"/>
      <c r="J5" s="967"/>
      <c r="K5" s="951">
        <f>'BP1'!K5</f>
        <v>1</v>
      </c>
      <c r="L5" s="952"/>
      <c r="M5" s="945"/>
      <c r="N5" s="945"/>
      <c r="O5" s="945"/>
      <c r="R5" s="136" t="s">
        <v>225</v>
      </c>
    </row>
    <row r="6" spans="1:23" ht="13.5" customHeight="1">
      <c r="A6" s="965"/>
      <c r="B6" s="966"/>
      <c r="C6" s="966"/>
      <c r="D6" s="966"/>
      <c r="E6" s="966"/>
      <c r="F6" s="966"/>
      <c r="G6" s="966"/>
      <c r="H6" s="966"/>
      <c r="I6" s="966"/>
      <c r="J6" s="967"/>
      <c r="K6" s="828" t="s">
        <v>100</v>
      </c>
      <c r="L6" s="829"/>
      <c r="M6" s="946"/>
      <c r="N6" s="945"/>
      <c r="O6" s="945"/>
      <c r="R6" s="136" t="s">
        <v>225</v>
      </c>
    </row>
    <row r="7" spans="1:23" ht="13.5" customHeight="1">
      <c r="A7" s="243"/>
      <c r="B7" s="244"/>
      <c r="C7" s="244"/>
      <c r="D7" s="245"/>
      <c r="E7" s="245"/>
      <c r="F7" s="245"/>
      <c r="G7" s="246"/>
      <c r="H7" s="244"/>
      <c r="I7" s="244"/>
      <c r="J7" s="247"/>
      <c r="K7" s="953">
        <f>'BP1'!$K$7</f>
        <v>0.03</v>
      </c>
      <c r="L7" s="954"/>
      <c r="M7" s="946"/>
      <c r="N7" s="945"/>
      <c r="O7" s="945"/>
      <c r="R7" s="136" t="s">
        <v>225</v>
      </c>
    </row>
    <row r="8" spans="1:23" ht="14.25" customHeight="1">
      <c r="A8" s="203" t="s">
        <v>206</v>
      </c>
      <c r="B8" s="204"/>
      <c r="C8" s="204"/>
      <c r="D8" s="205"/>
      <c r="E8" s="240" t="str">
        <f>'BP1'!E8</f>
        <v>Originating Sponsor</v>
      </c>
      <c r="F8" s="178"/>
      <c r="G8" s="178"/>
      <c r="H8" s="838" t="s">
        <v>521</v>
      </c>
      <c r="I8" s="838"/>
      <c r="J8" s="839"/>
      <c r="K8" s="927">
        <f>EDATE('BP1'!K10,0)+1</f>
        <v>42613</v>
      </c>
      <c r="L8" s="928"/>
      <c r="M8" s="946"/>
      <c r="N8" s="945"/>
      <c r="O8" s="945"/>
      <c r="R8" s="136" t="s">
        <v>225</v>
      </c>
    </row>
    <row r="9" spans="1:23" s="2" customFormat="1" ht="14.25" customHeight="1">
      <c r="A9" s="809" t="s">
        <v>1</v>
      </c>
      <c r="B9" s="810"/>
      <c r="C9" s="810"/>
      <c r="D9" s="810"/>
      <c r="E9" s="961">
        <f>'BP1'!E9</f>
        <v>0</v>
      </c>
      <c r="F9" s="961"/>
      <c r="G9" s="961"/>
      <c r="H9" s="840"/>
      <c r="I9" s="840"/>
      <c r="J9" s="841"/>
      <c r="K9" s="929"/>
      <c r="L9" s="930"/>
      <c r="M9" s="947"/>
      <c r="N9" s="948"/>
      <c r="O9" s="948"/>
      <c r="P9" s="5"/>
      <c r="Q9" s="5"/>
      <c r="R9" s="136" t="s">
        <v>225</v>
      </c>
      <c r="S9" s="5"/>
      <c r="T9" s="5"/>
      <c r="U9" s="5"/>
      <c r="V9" s="5"/>
      <c r="W9" s="5"/>
    </row>
    <row r="10" spans="1:23" s="2" customFormat="1" ht="14.25" customHeight="1">
      <c r="A10" s="207" t="s">
        <v>211</v>
      </c>
      <c r="B10" s="179"/>
      <c r="C10" s="179"/>
      <c r="D10" s="233"/>
      <c r="E10" s="240" t="str">
        <f>'BP1'!E10</f>
        <v>Flow-through Sponsor</v>
      </c>
      <c r="F10" s="178"/>
      <c r="G10" s="178"/>
      <c r="H10" s="838" t="s">
        <v>522</v>
      </c>
      <c r="I10" s="838"/>
      <c r="J10" s="839"/>
      <c r="K10" s="927">
        <f>EDATE(K8,12)-1</f>
        <v>42977</v>
      </c>
      <c r="L10" s="928"/>
      <c r="M10" s="847" t="s">
        <v>569</v>
      </c>
      <c r="N10" s="848"/>
      <c r="O10" s="949"/>
      <c r="P10" s="5"/>
      <c r="Q10" s="5"/>
      <c r="R10" s="136" t="s">
        <v>225</v>
      </c>
      <c r="S10" s="5"/>
      <c r="T10" s="5"/>
      <c r="U10" s="5"/>
      <c r="V10" s="5"/>
      <c r="W10" s="5"/>
    </row>
    <row r="11" spans="1:23" s="2" customFormat="1" ht="14.25" customHeight="1">
      <c r="A11" s="811" t="str">
        <f>'BP1'!A11:D11</f>
        <v>Professor McCormick</v>
      </c>
      <c r="B11" s="812"/>
      <c r="C11" s="812"/>
      <c r="D11" s="812"/>
      <c r="E11" s="961">
        <f>'BP1'!E11</f>
        <v>0</v>
      </c>
      <c r="F11" s="961"/>
      <c r="G11" s="961"/>
      <c r="H11" s="840"/>
      <c r="I11" s="840"/>
      <c r="J11" s="841"/>
      <c r="K11" s="929"/>
      <c r="L11" s="930"/>
      <c r="M11" s="849"/>
      <c r="N11" s="850"/>
      <c r="O11" s="950"/>
      <c r="P11" s="5"/>
      <c r="Q11" s="5"/>
      <c r="R11" s="136" t="s">
        <v>225</v>
      </c>
      <c r="S11" s="5"/>
      <c r="T11" s="5"/>
      <c r="U11" s="5"/>
      <c r="V11" s="5"/>
      <c r="W11" s="5"/>
    </row>
    <row r="12" spans="1:23" s="2" customFormat="1" ht="14.25" customHeight="1">
      <c r="A12" s="207" t="s">
        <v>208</v>
      </c>
      <c r="B12" s="179"/>
      <c r="C12" s="179"/>
      <c r="D12" s="180"/>
      <c r="E12" s="180"/>
      <c r="F12" s="394"/>
      <c r="G12" s="789" t="s">
        <v>915</v>
      </c>
      <c r="H12" s="792" t="s">
        <v>523</v>
      </c>
      <c r="I12" s="793"/>
      <c r="J12" s="794"/>
      <c r="K12" s="800" t="s">
        <v>35</v>
      </c>
      <c r="L12" s="801"/>
      <c r="M12" s="456" t="s">
        <v>292</v>
      </c>
      <c r="N12" s="800" t="s">
        <v>35</v>
      </c>
      <c r="O12" s="801"/>
      <c r="P12" s="5"/>
      <c r="Q12" s="5"/>
      <c r="R12" s="136" t="s">
        <v>225</v>
      </c>
      <c r="S12" s="5"/>
      <c r="T12" s="5"/>
      <c r="U12" s="5"/>
      <c r="V12" s="5"/>
      <c r="W12" s="5"/>
    </row>
    <row r="13" spans="1:23" s="2" customFormat="1" ht="14.25" customHeight="1">
      <c r="A13" s="165"/>
      <c r="B13" s="179"/>
      <c r="C13" s="179"/>
      <c r="D13" s="180"/>
      <c r="E13" s="180"/>
      <c r="F13" s="395"/>
      <c r="G13" s="790"/>
      <c r="H13" s="890" t="s">
        <v>291</v>
      </c>
      <c r="I13" s="891"/>
      <c r="J13" s="892"/>
      <c r="K13" s="802"/>
      <c r="L13" s="803"/>
      <c r="M13" s="455" t="s">
        <v>293</v>
      </c>
      <c r="N13" s="802"/>
      <c r="O13" s="803"/>
      <c r="P13" s="5"/>
      <c r="Q13" s="5"/>
      <c r="R13" s="136" t="s">
        <v>225</v>
      </c>
      <c r="S13" s="5"/>
      <c r="T13" s="5"/>
      <c r="U13" s="5"/>
      <c r="V13" s="5"/>
      <c r="W13" s="5"/>
    </row>
    <row r="14" spans="1:23" s="2" customFormat="1" ht="14.25" customHeight="1">
      <c r="A14" s="165"/>
      <c r="B14" s="177"/>
      <c r="C14" s="177"/>
      <c r="D14" s="175"/>
      <c r="E14" s="175"/>
      <c r="F14" s="457"/>
      <c r="G14" s="791"/>
      <c r="H14" s="197" t="s">
        <v>2</v>
      </c>
      <c r="I14" s="198" t="s">
        <v>204</v>
      </c>
      <c r="J14" s="198" t="s">
        <v>205</v>
      </c>
      <c r="K14" s="194" t="s">
        <v>33</v>
      </c>
      <c r="L14" s="195" t="s">
        <v>34</v>
      </c>
      <c r="M14" s="278" t="s">
        <v>294</v>
      </c>
      <c r="N14" s="194" t="s">
        <v>33</v>
      </c>
      <c r="O14" s="195" t="s">
        <v>34</v>
      </c>
      <c r="P14" s="219" t="s">
        <v>111</v>
      </c>
      <c r="Q14" s="219" t="s">
        <v>870</v>
      </c>
      <c r="R14" s="136" t="s">
        <v>225</v>
      </c>
      <c r="S14" s="5"/>
      <c r="T14" s="5"/>
      <c r="U14" s="5"/>
      <c r="V14" s="5"/>
      <c r="W14" s="5"/>
    </row>
    <row r="15" spans="1:23" s="2" customFormat="1" ht="14.25" customHeight="1">
      <c r="A15" s="208">
        <v>1</v>
      </c>
      <c r="B15" s="931">
        <f>IF($A$5&lt;=$K$5,'BP1'!B15,)</f>
        <v>0</v>
      </c>
      <c r="C15" s="932"/>
      <c r="D15" s="932"/>
      <c r="E15" s="932"/>
      <c r="F15" s="933"/>
      <c r="G15" s="268">
        <f>IF($A$5&lt;=$K$5,'BP1'!G15,)</f>
        <v>0</v>
      </c>
      <c r="H15" s="249">
        <f>IF($G15&gt;0,'BP1'!H15,)</f>
        <v>0</v>
      </c>
      <c r="I15" s="250">
        <f>IF($G15&gt;0,'BP1'!I15,)</f>
        <v>0</v>
      </c>
      <c r="J15" s="250">
        <f>IF($G15&gt;0,'BP1'!J15,)</f>
        <v>0</v>
      </c>
      <c r="K15" s="162">
        <f ca="1">IFERROR(IF(Q15&gt;0,Q15/G15*(SUM(H15:J15)),P15/G15*(SUM(H15:J15))),)</f>
        <v>0</v>
      </c>
      <c r="L15" s="163">
        <f ca="1">IF(K15&gt;1,K15*LOOKUP($K$8,Lists!$A$2:$A$812,IF($K$2="Non-Federal",Lists!$D$2:$D$812,Lists!$C$2:$C$812)),0)</f>
        <v>0</v>
      </c>
      <c r="M15" s="276">
        <f>IF(G15&gt;0,'BP1'!M15,)</f>
        <v>0</v>
      </c>
      <c r="N15" s="162">
        <f ca="1">IFERROR(IF(Q15&gt;0,Q15/G15*M15,P15/G15*M15),)</f>
        <v>0</v>
      </c>
      <c r="O15" s="163">
        <f ca="1">N15*LOOKUP($K$8,Lists!$A$2:$A$812,IF($K$2="Non-Federal",Lists!$D$2:$D$812,Lists!$C$2:$C$812))</f>
        <v>0</v>
      </c>
      <c r="P15" s="229">
        <f ca="1">IF($A$5&lt;='BP1'!$K$5,(1+$K$7)*INDIRECT("BP"&amp;$A$5-1&amp;"!P15"),)</f>
        <v>0</v>
      </c>
      <c r="Q15" s="259">
        <f t="shared" ref="Q15:Q29" si="0">IF(COUNTIF(NIH,$E$9)&gt;0,(IF(G15&gt;0,IF((P15/G15)*12&gt;NIHSalCap,(NIHSalCap/12)*G15,),)),)</f>
        <v>0</v>
      </c>
      <c r="R15" s="136" t="s">
        <v>225</v>
      </c>
      <c r="S15" s="5"/>
      <c r="T15" s="5"/>
      <c r="U15" s="5"/>
      <c r="V15" s="5"/>
      <c r="W15" s="5"/>
    </row>
    <row r="16" spans="1:23" s="5" customFormat="1" ht="14.25" customHeight="1">
      <c r="A16" s="208">
        <v>2</v>
      </c>
      <c r="B16" s="931">
        <f>IF($A$5&lt;=$K$5,'BP1'!B16,)</f>
        <v>0</v>
      </c>
      <c r="C16" s="932"/>
      <c r="D16" s="932"/>
      <c r="E16" s="932"/>
      <c r="F16" s="933"/>
      <c r="G16" s="268">
        <f>IF($A$5&lt;=$K$5,'BP1'!G16,)</f>
        <v>0</v>
      </c>
      <c r="H16" s="249">
        <f>IF($G16&gt;0,'BP1'!H16,)</f>
        <v>0</v>
      </c>
      <c r="I16" s="250">
        <f>IF($G16&gt;0,'BP1'!I16,)</f>
        <v>0</v>
      </c>
      <c r="J16" s="250">
        <f>IF($G16&gt;0,'BP1'!J16,)</f>
        <v>0</v>
      </c>
      <c r="K16" s="162">
        <f ca="1">IFERROR(IF(Q16&gt;0,Q16/G16*(SUM(H16:J16)),P16/G16*(SUM(H16:J16))),)</f>
        <v>0</v>
      </c>
      <c r="L16" s="163">
        <f ca="1">IF(K16&gt;1,K16*LOOKUP($K$8,Lists!$A$2:$A$812,IF($K$2="Non-Federal",Lists!$D$2:$D$812,Lists!$C$2:$C$812)),0)</f>
        <v>0</v>
      </c>
      <c r="M16" s="276">
        <f>IF(G16&gt;0,'BP1'!M16,)</f>
        <v>0</v>
      </c>
      <c r="N16" s="162">
        <f t="shared" ref="N16:N29" ca="1" si="1">IFERROR(IF(Q16&gt;0,Q16/G16*M16,P16/G16*M16),)</f>
        <v>0</v>
      </c>
      <c r="O16" s="163">
        <f ca="1">N16*LOOKUP($K$8,Lists!$A$2:$A$812,IF($K$2="Non-Federal",Lists!$D$2:$D$812,Lists!$C$2:$C$812))</f>
        <v>0</v>
      </c>
      <c r="P16" s="229">
        <f ca="1">IF($A$5&lt;='BP1'!$K$5,(1+$K$7)*INDIRECT("BP"&amp;$A$5-1&amp;"!P16"),)</f>
        <v>0</v>
      </c>
      <c r="Q16" s="259">
        <f>IF(COUNTIF(NIH,$E$9)&gt;0,(IF(G16&gt;0,IF((P16/G16)*12&gt;NIHSalCap,(NIHSalCap/12)*G16,),)),)</f>
        <v>0</v>
      </c>
      <c r="R16" s="136" t="s">
        <v>225</v>
      </c>
    </row>
    <row r="17" spans="1:18" s="5" customFormat="1" ht="14.25" customHeight="1">
      <c r="A17" s="208">
        <v>3</v>
      </c>
      <c r="B17" s="931">
        <f>IF($A$5&lt;=$K$5,'BP1'!B17,)</f>
        <v>0</v>
      </c>
      <c r="C17" s="932"/>
      <c r="D17" s="932"/>
      <c r="E17" s="932"/>
      <c r="F17" s="933"/>
      <c r="G17" s="268">
        <f>IF($A$5&lt;=$K$5,'BP1'!G17,)</f>
        <v>0</v>
      </c>
      <c r="H17" s="249">
        <f>IF($G17&gt;0,'BP1'!H17,)</f>
        <v>0</v>
      </c>
      <c r="I17" s="250">
        <f>IF($G17&gt;0,'BP1'!I17,)</f>
        <v>0</v>
      </c>
      <c r="J17" s="250">
        <f>IF($G17&gt;0,'BP1'!J17,)</f>
        <v>0</v>
      </c>
      <c r="K17" s="162">
        <f t="shared" ref="K17:K29" ca="1" si="2">IFERROR(IF(Q17&gt;0,Q17/G17*(SUM(H17:J17)),P17/G17*(SUM(H17:J17))),)</f>
        <v>0</v>
      </c>
      <c r="L17" s="163">
        <f ca="1">IF(K17&gt;1,K17*LOOKUP($K$8,Lists!$A$2:$A$812,IF($K$2="Non-Federal",Lists!$D$2:$D$812,Lists!$C$2:$C$812)),0)</f>
        <v>0</v>
      </c>
      <c r="M17" s="276">
        <f>IF(G17&gt;0,'BP1'!M17,)</f>
        <v>0</v>
      </c>
      <c r="N17" s="162">
        <f t="shared" ca="1" si="1"/>
        <v>0</v>
      </c>
      <c r="O17" s="163">
        <f ca="1">N17*LOOKUP($K$8,Lists!$A$2:$A$812,IF($K$2="Non-Federal",Lists!$D$2:$D$812,Lists!$C$2:$C$812))</f>
        <v>0</v>
      </c>
      <c r="P17" s="229">
        <f ca="1">IF($A$5&lt;='BP1'!$K$5,(1+$K$7)*INDIRECT("BP"&amp;$A$5-1&amp;"!P17"),)</f>
        <v>0</v>
      </c>
      <c r="Q17" s="259">
        <f t="shared" si="0"/>
        <v>0</v>
      </c>
      <c r="R17" s="136" t="s">
        <v>225</v>
      </c>
    </row>
    <row r="18" spans="1:18" s="5" customFormat="1" ht="14.25" customHeight="1">
      <c r="A18" s="208">
        <v>4</v>
      </c>
      <c r="B18" s="931">
        <f>IF($A$5&lt;=$K$5,'BP1'!B18,)</f>
        <v>0</v>
      </c>
      <c r="C18" s="932"/>
      <c r="D18" s="932"/>
      <c r="E18" s="932"/>
      <c r="F18" s="933"/>
      <c r="G18" s="268">
        <f>IF($A$5&lt;=$K$5,'BP1'!G18,)</f>
        <v>0</v>
      </c>
      <c r="H18" s="249">
        <f>IF($G18&gt;0,'BP1'!H18,)</f>
        <v>0</v>
      </c>
      <c r="I18" s="250">
        <f>IF($G18&gt;0,'BP1'!I18,)</f>
        <v>0</v>
      </c>
      <c r="J18" s="250">
        <f>IF($G18&gt;0,'BP1'!J18,)</f>
        <v>0</v>
      </c>
      <c r="K18" s="162">
        <f t="shared" ca="1" si="2"/>
        <v>0</v>
      </c>
      <c r="L18" s="163">
        <f ca="1">IF(K18&gt;1,K18*LOOKUP($K$8,Lists!$A$2:$A$812,IF($K$2="Non-Federal",Lists!$D$2:$D$812,Lists!$C$2:$C$812)),0)</f>
        <v>0</v>
      </c>
      <c r="M18" s="276">
        <f>IF(G18&gt;0,'BP1'!M18,)</f>
        <v>0</v>
      </c>
      <c r="N18" s="162">
        <f t="shared" ca="1" si="1"/>
        <v>0</v>
      </c>
      <c r="O18" s="163">
        <f ca="1">N18*LOOKUP($K$8,Lists!$A$2:$A$812,IF($K$2="Non-Federal",Lists!$D$2:$D$812,Lists!$C$2:$C$812))</f>
        <v>0</v>
      </c>
      <c r="P18" s="229">
        <f ca="1">IF($A$5&lt;='BP1'!$K$5,(1+$K$7)*INDIRECT("BP"&amp;$A$5-1&amp;"!P18"),)</f>
        <v>0</v>
      </c>
      <c r="Q18" s="259">
        <f t="shared" si="0"/>
        <v>0</v>
      </c>
      <c r="R18" s="136" t="s">
        <v>225</v>
      </c>
    </row>
    <row r="19" spans="1:18" s="5" customFormat="1" ht="14.25" customHeight="1">
      <c r="A19" s="256">
        <v>5</v>
      </c>
      <c r="B19" s="931">
        <f>IF($A$5&lt;=$K$5,'BP1'!B19,)</f>
        <v>0</v>
      </c>
      <c r="C19" s="932"/>
      <c r="D19" s="932"/>
      <c r="E19" s="932"/>
      <c r="F19" s="933"/>
      <c r="G19" s="268">
        <f>IF($A$5&lt;=$K$5,'BP1'!G19,)</f>
        <v>0</v>
      </c>
      <c r="H19" s="249">
        <f>IF($G19&gt;0,'BP1'!H19,)</f>
        <v>0</v>
      </c>
      <c r="I19" s="250">
        <f>IF($G19&gt;0,'BP1'!I19,)</f>
        <v>0</v>
      </c>
      <c r="J19" s="250">
        <f>IF($G19&gt;0,'BP1'!J19,)</f>
        <v>0</v>
      </c>
      <c r="K19" s="162">
        <f t="shared" ca="1" si="2"/>
        <v>0</v>
      </c>
      <c r="L19" s="163">
        <f ca="1">IF(K19&gt;1,K19*LOOKUP($K$8,Lists!$A$2:$A$812,IF($K$2="Non-Federal",Lists!$D$2:$D$812,Lists!$C$2:$C$812)),0)</f>
        <v>0</v>
      </c>
      <c r="M19" s="276">
        <f>IF(G19&gt;0,'BP1'!M19,)</f>
        <v>0</v>
      </c>
      <c r="N19" s="162">
        <f t="shared" ca="1" si="1"/>
        <v>0</v>
      </c>
      <c r="O19" s="163">
        <f ca="1">N19*LOOKUP($K$8,Lists!$A$2:$A$812,IF($K$2="Non-Federal",Lists!$D$2:$D$812,Lists!$C$2:$C$812))</f>
        <v>0</v>
      </c>
      <c r="P19" s="229">
        <f ca="1">IF($A$5&lt;='BP1'!$K$5,(1+$K$7)*INDIRECT("BP"&amp;$A$5-1&amp;"!P19"),)</f>
        <v>0</v>
      </c>
      <c r="Q19" s="259">
        <f t="shared" si="0"/>
        <v>0</v>
      </c>
      <c r="R19" s="136" t="s">
        <v>225</v>
      </c>
    </row>
    <row r="20" spans="1:18" s="5" customFormat="1" ht="14.25" hidden="1" customHeight="1">
      <c r="A20" s="208">
        <v>6</v>
      </c>
      <c r="B20" s="931">
        <f>IF($A$5&lt;=$K$5,'BP1'!B20,)</f>
        <v>0</v>
      </c>
      <c r="C20" s="932"/>
      <c r="D20" s="932"/>
      <c r="E20" s="932"/>
      <c r="F20" s="933"/>
      <c r="G20" s="268">
        <f>IF($A$5&lt;=$K$5,'BP1'!G20,)</f>
        <v>0</v>
      </c>
      <c r="H20" s="249">
        <f>IF($G20&gt;0,'BP1'!H20,)</f>
        <v>0</v>
      </c>
      <c r="I20" s="250">
        <f>IF($G20&gt;0,'BP1'!I20,)</f>
        <v>0</v>
      </c>
      <c r="J20" s="250">
        <f>IF($G20&gt;0,'BP1'!J20,)</f>
        <v>0</v>
      </c>
      <c r="K20" s="162">
        <f t="shared" ca="1" si="2"/>
        <v>0</v>
      </c>
      <c r="L20" s="163">
        <f ca="1">IF(K20&gt;1,K20*LOOKUP($K$8,Lists!$A$2:$A$812,IF($K$2="Non-Federal",Lists!$D$2:$D$812,Lists!$C$2:$C$812)),0)</f>
        <v>0</v>
      </c>
      <c r="M20" s="276">
        <f>IF(G20&gt;0,'BP1'!M20,)</f>
        <v>0</v>
      </c>
      <c r="N20" s="162">
        <f t="shared" ca="1" si="1"/>
        <v>0</v>
      </c>
      <c r="O20" s="163">
        <f ca="1">N20*LOOKUP($K$8,Lists!$A$2:$A$812,IF($K$2="Non-Federal",Lists!$D$2:$D$812,Lists!$C$2:$C$812))</f>
        <v>0</v>
      </c>
      <c r="P20" s="229">
        <f ca="1">IF($A$5&lt;='BP1'!$K$5,(1+$K$7)*INDIRECT("BP"&amp;$A$5-1&amp;"!P20"),)</f>
        <v>0</v>
      </c>
      <c r="Q20" s="259">
        <f t="shared" si="0"/>
        <v>0</v>
      </c>
      <c r="R20" s="136" t="s">
        <v>492</v>
      </c>
    </row>
    <row r="21" spans="1:18" s="5" customFormat="1" ht="14.25" hidden="1" customHeight="1">
      <c r="A21" s="208">
        <v>7</v>
      </c>
      <c r="B21" s="931">
        <f>IF($A$5&lt;=$K$5,'BP1'!B21,)</f>
        <v>0</v>
      </c>
      <c r="C21" s="932"/>
      <c r="D21" s="932"/>
      <c r="E21" s="932"/>
      <c r="F21" s="933"/>
      <c r="G21" s="268">
        <f>IF($A$5&lt;=$K$5,'BP1'!G21,)</f>
        <v>0</v>
      </c>
      <c r="H21" s="249">
        <f>IF($G21&gt;0,'BP1'!H21,)</f>
        <v>0</v>
      </c>
      <c r="I21" s="250">
        <f>IF($G21&gt;0,'BP1'!I21,)</f>
        <v>0</v>
      </c>
      <c r="J21" s="250">
        <f>IF($G21&gt;0,'BP1'!J21,)</f>
        <v>0</v>
      </c>
      <c r="K21" s="162">
        <f t="shared" ca="1" si="2"/>
        <v>0</v>
      </c>
      <c r="L21" s="163">
        <f ca="1">IF(K21&gt;1,K21*LOOKUP($K$8,Lists!$A$2:$A$812,IF($K$2="Non-Federal",Lists!$D$2:$D$812,Lists!$C$2:$C$812)),0)</f>
        <v>0</v>
      </c>
      <c r="M21" s="276">
        <f>IF(G21&gt;0,'BP1'!M21,)</f>
        <v>0</v>
      </c>
      <c r="N21" s="162">
        <f t="shared" ca="1" si="1"/>
        <v>0</v>
      </c>
      <c r="O21" s="163">
        <f ca="1">N21*LOOKUP($K$8,Lists!$A$2:$A$812,IF($K$2="Non-Federal",Lists!$D$2:$D$812,Lists!$C$2:$C$812))</f>
        <v>0</v>
      </c>
      <c r="P21" s="229">
        <f ca="1">IF($A$5&lt;='BP1'!$K$5,(1+$K$7)*INDIRECT("BP"&amp;$A$5-1&amp;"!P21"),)</f>
        <v>0</v>
      </c>
      <c r="Q21" s="259">
        <f t="shared" si="0"/>
        <v>0</v>
      </c>
      <c r="R21" s="136" t="s">
        <v>492</v>
      </c>
    </row>
    <row r="22" spans="1:18" s="5" customFormat="1" ht="14.25" hidden="1" customHeight="1">
      <c r="A22" s="208">
        <v>8</v>
      </c>
      <c r="B22" s="931">
        <f>IF($A$5&lt;=$K$5,'BP1'!B22,)</f>
        <v>0</v>
      </c>
      <c r="C22" s="932"/>
      <c r="D22" s="932"/>
      <c r="E22" s="932"/>
      <c r="F22" s="933"/>
      <c r="G22" s="268">
        <f>IF($A$5&lt;=$K$5,'BP1'!G22,)</f>
        <v>0</v>
      </c>
      <c r="H22" s="249">
        <f>IF($G22&gt;0,'BP1'!H22,)</f>
        <v>0</v>
      </c>
      <c r="I22" s="250">
        <f>IF($G22&gt;0,'BP1'!I22,)</f>
        <v>0</v>
      </c>
      <c r="J22" s="250">
        <f>IF($G22&gt;0,'BP1'!J22,)</f>
        <v>0</v>
      </c>
      <c r="K22" s="162">
        <f t="shared" ca="1" si="2"/>
        <v>0</v>
      </c>
      <c r="L22" s="163">
        <f ca="1">IF(K22&gt;1,K22*LOOKUP($K$8,Lists!$A$2:$A$812,IF($K$2="Non-Federal",Lists!$D$2:$D$812,Lists!$C$2:$C$812)),0)</f>
        <v>0</v>
      </c>
      <c r="M22" s="276">
        <f>IF(G22&gt;0,'BP1'!M22,)</f>
        <v>0</v>
      </c>
      <c r="N22" s="162">
        <f t="shared" ca="1" si="1"/>
        <v>0</v>
      </c>
      <c r="O22" s="163">
        <f ca="1">N22*LOOKUP($K$8,Lists!$A$2:$A$812,IF($K$2="Non-Federal",Lists!$D$2:$D$812,Lists!$C$2:$C$812))</f>
        <v>0</v>
      </c>
      <c r="P22" s="229">
        <f ca="1">IF($A$5&lt;='BP1'!$K$5,(1+$K$7)*INDIRECT("BP"&amp;$A$5-1&amp;"!P22"),)</f>
        <v>0</v>
      </c>
      <c r="Q22" s="259">
        <f t="shared" si="0"/>
        <v>0</v>
      </c>
      <c r="R22" s="136" t="s">
        <v>492</v>
      </c>
    </row>
    <row r="23" spans="1:18" s="5" customFormat="1" ht="14.25" hidden="1" customHeight="1">
      <c r="A23" s="208">
        <v>9</v>
      </c>
      <c r="B23" s="931">
        <f>IF($A$5&lt;=$K$5,'BP1'!B23,)</f>
        <v>0</v>
      </c>
      <c r="C23" s="932"/>
      <c r="D23" s="932"/>
      <c r="E23" s="932"/>
      <c r="F23" s="933"/>
      <c r="G23" s="268">
        <f>IF($A$5&lt;=$K$5,'BP1'!G23,)</f>
        <v>0</v>
      </c>
      <c r="H23" s="249">
        <f>IF($G23&gt;0,'BP1'!H23,)</f>
        <v>0</v>
      </c>
      <c r="I23" s="250">
        <f>IF($G23&gt;0,'BP1'!I23,)</f>
        <v>0</v>
      </c>
      <c r="J23" s="250">
        <f>IF($G23&gt;0,'BP1'!J23,)</f>
        <v>0</v>
      </c>
      <c r="K23" s="162">
        <f t="shared" ca="1" si="2"/>
        <v>0</v>
      </c>
      <c r="L23" s="163">
        <f ca="1">IF(K23&gt;1,K23*LOOKUP($K$8,Lists!$A$2:$A$812,IF($K$2="Non-Federal",Lists!$D$2:$D$812,Lists!$C$2:$C$812)),0)</f>
        <v>0</v>
      </c>
      <c r="M23" s="276">
        <f>IF(G23&gt;0,'BP1'!M23,)</f>
        <v>0</v>
      </c>
      <c r="N23" s="162">
        <f t="shared" ca="1" si="1"/>
        <v>0</v>
      </c>
      <c r="O23" s="163">
        <f ca="1">N23*LOOKUP($K$8,Lists!$A$2:$A$812,IF($K$2="Non-Federal",Lists!$D$2:$D$812,Lists!$C$2:$C$812))</f>
        <v>0</v>
      </c>
      <c r="P23" s="229">
        <f ca="1">IF($A$5&lt;='BP1'!$K$5,(1+$K$7)*INDIRECT("BP"&amp;$A$5-1&amp;"!P23"),)</f>
        <v>0</v>
      </c>
      <c r="Q23" s="259">
        <f t="shared" si="0"/>
        <v>0</v>
      </c>
      <c r="R23" s="136" t="s">
        <v>492</v>
      </c>
    </row>
    <row r="24" spans="1:18" s="5" customFormat="1" ht="14.25" hidden="1" customHeight="1">
      <c r="A24" s="208">
        <v>10</v>
      </c>
      <c r="B24" s="931">
        <f>IF($A$5&lt;=$K$5,'BP1'!B24,)</f>
        <v>0</v>
      </c>
      <c r="C24" s="932"/>
      <c r="D24" s="932"/>
      <c r="E24" s="932"/>
      <c r="F24" s="933"/>
      <c r="G24" s="268">
        <f>IF($A$5&lt;=$K$5,'BP1'!G24,)</f>
        <v>0</v>
      </c>
      <c r="H24" s="249">
        <f>IF($G24&gt;0,'BP1'!H24,)</f>
        <v>0</v>
      </c>
      <c r="I24" s="250">
        <f>IF($G24&gt;0,'BP1'!I24,)</f>
        <v>0</v>
      </c>
      <c r="J24" s="250">
        <f>IF($G24&gt;0,'BP1'!J24,)</f>
        <v>0</v>
      </c>
      <c r="K24" s="162">
        <f t="shared" ca="1" si="2"/>
        <v>0</v>
      </c>
      <c r="L24" s="163">
        <f ca="1">IF(K24&gt;1,K24*LOOKUP($K$8,Lists!$A$2:$A$812,IF($K$2="Non-Federal",Lists!$D$2:$D$812,Lists!$C$2:$C$812)),0)</f>
        <v>0</v>
      </c>
      <c r="M24" s="276">
        <f>IF(G24&gt;0,'BP1'!M24,)</f>
        <v>0</v>
      </c>
      <c r="N24" s="162">
        <f t="shared" ca="1" si="1"/>
        <v>0</v>
      </c>
      <c r="O24" s="163">
        <f ca="1">N24*LOOKUP($K$8,Lists!$A$2:$A$812,IF($K$2="Non-Federal",Lists!$D$2:$D$812,Lists!$C$2:$C$812))</f>
        <v>0</v>
      </c>
      <c r="P24" s="229">
        <f ca="1">IF($A$5&lt;='BP1'!$K$5,(1+$K$7)*INDIRECT("BP"&amp;$A$5-1&amp;"!P24"),)</f>
        <v>0</v>
      </c>
      <c r="Q24" s="259">
        <f t="shared" si="0"/>
        <v>0</v>
      </c>
      <c r="R24" s="136" t="s">
        <v>492</v>
      </c>
    </row>
    <row r="25" spans="1:18" s="5" customFormat="1" ht="14.25" hidden="1" customHeight="1">
      <c r="A25" s="208">
        <v>11</v>
      </c>
      <c r="B25" s="931">
        <f>IF($A$5&lt;=$K$5,'BP1'!B25,)</f>
        <v>0</v>
      </c>
      <c r="C25" s="932"/>
      <c r="D25" s="932"/>
      <c r="E25" s="932"/>
      <c r="F25" s="933"/>
      <c r="G25" s="268">
        <f>IF($A$5&lt;=$K$5,'BP1'!G25,)</f>
        <v>0</v>
      </c>
      <c r="H25" s="249">
        <f>IF($G25&gt;0,'BP1'!H25,)</f>
        <v>0</v>
      </c>
      <c r="I25" s="250">
        <f>IF($G25&gt;0,'BP1'!I25,)</f>
        <v>0</v>
      </c>
      <c r="J25" s="250">
        <f>IF($G25&gt;0,'BP1'!J25,)</f>
        <v>0</v>
      </c>
      <c r="K25" s="162">
        <f t="shared" ca="1" si="2"/>
        <v>0</v>
      </c>
      <c r="L25" s="163">
        <f ca="1">IF(K25&gt;1,K25*LOOKUP($K$8,Lists!$A$2:$A$812,IF($K$2="Non-Federal",Lists!$D$2:$D$812,Lists!$C$2:$C$812)),0)</f>
        <v>0</v>
      </c>
      <c r="M25" s="276">
        <f>IF(G25&gt;0,'BP1'!M25,)</f>
        <v>0</v>
      </c>
      <c r="N25" s="162">
        <f t="shared" ca="1" si="1"/>
        <v>0</v>
      </c>
      <c r="O25" s="163">
        <f ca="1">N25*LOOKUP($K$8,Lists!$A$2:$A$812,IF($K$2="Non-Federal",Lists!$D$2:$D$812,Lists!$C$2:$C$812))</f>
        <v>0</v>
      </c>
      <c r="P25" s="229">
        <f ca="1">IF($A$5&lt;='BP1'!$K$5,(1+$K$7)*INDIRECT("BP"&amp;$A$5-1&amp;"!P25"),)</f>
        <v>0</v>
      </c>
      <c r="Q25" s="259">
        <f t="shared" si="0"/>
        <v>0</v>
      </c>
      <c r="R25" s="136" t="s">
        <v>493</v>
      </c>
    </row>
    <row r="26" spans="1:18" s="5" customFormat="1" ht="14.25" hidden="1" customHeight="1">
      <c r="A26" s="208">
        <v>12</v>
      </c>
      <c r="B26" s="931">
        <f>IF($A$5&lt;=$K$5,'BP1'!B26,)</f>
        <v>0</v>
      </c>
      <c r="C26" s="932"/>
      <c r="D26" s="932"/>
      <c r="E26" s="932"/>
      <c r="F26" s="933"/>
      <c r="G26" s="268">
        <f>IF($A$5&lt;=$K$5,'BP1'!G26,)</f>
        <v>0</v>
      </c>
      <c r="H26" s="249">
        <f>IF($G26&gt;0,'BP1'!H26,)</f>
        <v>0</v>
      </c>
      <c r="I26" s="250">
        <f>IF($G26&gt;0,'BP1'!I26,)</f>
        <v>0</v>
      </c>
      <c r="J26" s="250">
        <f>IF($G26&gt;0,'BP1'!J26,)</f>
        <v>0</v>
      </c>
      <c r="K26" s="162">
        <f t="shared" ca="1" si="2"/>
        <v>0</v>
      </c>
      <c r="L26" s="163">
        <f ca="1">IF(K26&gt;1,K26*LOOKUP($K$8,Lists!$A$2:$A$812,IF($K$2="Non-Federal",Lists!$D$2:$D$812,Lists!$C$2:$C$812)),0)</f>
        <v>0</v>
      </c>
      <c r="M26" s="276">
        <f>IF(G26&gt;0,'BP1'!M26,)</f>
        <v>0</v>
      </c>
      <c r="N26" s="162">
        <f t="shared" ca="1" si="1"/>
        <v>0</v>
      </c>
      <c r="O26" s="163">
        <f ca="1">N26*LOOKUP($K$8,Lists!$A$2:$A$812,IF($K$2="Non-Federal",Lists!$D$2:$D$812,Lists!$C$2:$C$812))</f>
        <v>0</v>
      </c>
      <c r="P26" s="229">
        <f ca="1">IF($A$5&lt;='BP1'!$K$5,(1+$K$7)*INDIRECT("BP"&amp;$A$5-1&amp;"!P26"),)</f>
        <v>0</v>
      </c>
      <c r="Q26" s="259">
        <f t="shared" si="0"/>
        <v>0</v>
      </c>
      <c r="R26" s="136" t="s">
        <v>493</v>
      </c>
    </row>
    <row r="27" spans="1:18" s="5" customFormat="1" ht="14.25" hidden="1" customHeight="1">
      <c r="A27" s="208">
        <v>13</v>
      </c>
      <c r="B27" s="931">
        <f>IF($A$5&lt;=$K$5,'BP1'!B27,)</f>
        <v>0</v>
      </c>
      <c r="C27" s="932"/>
      <c r="D27" s="932"/>
      <c r="E27" s="932"/>
      <c r="F27" s="933"/>
      <c r="G27" s="268">
        <f>IF($A$5&lt;=$K$5,'BP1'!G27,)</f>
        <v>0</v>
      </c>
      <c r="H27" s="249">
        <f>IF($G27&gt;0,'BP1'!H27,)</f>
        <v>0</v>
      </c>
      <c r="I27" s="250">
        <f>IF($G27&gt;0,'BP1'!I27,)</f>
        <v>0</v>
      </c>
      <c r="J27" s="250">
        <f>IF($G27&gt;0,'BP1'!J27,)</f>
        <v>0</v>
      </c>
      <c r="K27" s="162">
        <f t="shared" ca="1" si="2"/>
        <v>0</v>
      </c>
      <c r="L27" s="163">
        <f ca="1">IF(K27&gt;1,K27*LOOKUP($K$8,Lists!$A$2:$A$812,IF($K$2="Non-Federal",Lists!$D$2:$D$812,Lists!$C$2:$C$812)),0)</f>
        <v>0</v>
      </c>
      <c r="M27" s="276">
        <f>IF(G27&gt;0,'BP1'!M27,)</f>
        <v>0</v>
      </c>
      <c r="N27" s="162">
        <f t="shared" ca="1" si="1"/>
        <v>0</v>
      </c>
      <c r="O27" s="163">
        <f ca="1">N27*LOOKUP($K$8,Lists!$A$2:$A$812,IF($K$2="Non-Federal",Lists!$D$2:$D$812,Lists!$C$2:$C$812))</f>
        <v>0</v>
      </c>
      <c r="P27" s="229">
        <f ca="1">IF($A$5&lt;='BP1'!$K$5,(1+$K$7)*INDIRECT("BP"&amp;$A$5-1&amp;"!P27"),)</f>
        <v>0</v>
      </c>
      <c r="Q27" s="259">
        <f t="shared" si="0"/>
        <v>0</v>
      </c>
      <c r="R27" s="136" t="s">
        <v>493</v>
      </c>
    </row>
    <row r="28" spans="1:18" s="5" customFormat="1" ht="14.25" hidden="1" customHeight="1">
      <c r="A28" s="208">
        <v>14</v>
      </c>
      <c r="B28" s="931">
        <f>IF($A$5&lt;=$K$5,'BP1'!B28,)</f>
        <v>0</v>
      </c>
      <c r="C28" s="932"/>
      <c r="D28" s="932"/>
      <c r="E28" s="932"/>
      <c r="F28" s="933"/>
      <c r="G28" s="268">
        <f>IF($A$5&lt;=$K$5,'BP1'!G28,)</f>
        <v>0</v>
      </c>
      <c r="H28" s="249">
        <f>IF($G28&gt;0,'BP1'!H28,)</f>
        <v>0</v>
      </c>
      <c r="I28" s="250">
        <f>IF($G28&gt;0,'BP1'!I28,)</f>
        <v>0</v>
      </c>
      <c r="J28" s="250">
        <f>IF($G28&gt;0,'BP1'!J28,)</f>
        <v>0</v>
      </c>
      <c r="K28" s="162">
        <f t="shared" ca="1" si="2"/>
        <v>0</v>
      </c>
      <c r="L28" s="163">
        <f ca="1">IF(K28&gt;1,K28*LOOKUP($K$8,Lists!$A$2:$A$812,IF($K$2="Non-Federal",Lists!$D$2:$D$812,Lists!$C$2:$C$812)),0)</f>
        <v>0</v>
      </c>
      <c r="M28" s="276">
        <f>IF(G28&gt;0,'BP1'!M28,)</f>
        <v>0</v>
      </c>
      <c r="N28" s="162">
        <f t="shared" ca="1" si="1"/>
        <v>0</v>
      </c>
      <c r="O28" s="163">
        <f ca="1">N28*LOOKUP($K$8,Lists!$A$2:$A$812,IF($K$2="Non-Federal",Lists!$D$2:$D$812,Lists!$C$2:$C$812))</f>
        <v>0</v>
      </c>
      <c r="P28" s="229">
        <f ca="1">IF($A$5&lt;='BP1'!$K$5,(1+$K$7)*INDIRECT("BP"&amp;$A$5-1&amp;"!P28"),)</f>
        <v>0</v>
      </c>
      <c r="Q28" s="259">
        <f t="shared" si="0"/>
        <v>0</v>
      </c>
      <c r="R28" s="136" t="s">
        <v>493</v>
      </c>
    </row>
    <row r="29" spans="1:18" s="5" customFormat="1" ht="14.25" hidden="1" customHeight="1">
      <c r="A29" s="208">
        <v>15</v>
      </c>
      <c r="B29" s="931">
        <f>IF($A$5&lt;=$K$5,'BP1'!B29,)</f>
        <v>0</v>
      </c>
      <c r="C29" s="932"/>
      <c r="D29" s="932"/>
      <c r="E29" s="932"/>
      <c r="F29" s="933"/>
      <c r="G29" s="268">
        <f>IF($A$5&lt;=$K$5,'BP1'!G29,)</f>
        <v>0</v>
      </c>
      <c r="H29" s="249">
        <f>IF($G29&gt;0,'BP1'!H29,)</f>
        <v>0</v>
      </c>
      <c r="I29" s="250">
        <f>IF($G29&gt;0,'BP1'!I29,)</f>
        <v>0</v>
      </c>
      <c r="J29" s="250">
        <f>IF($G29&gt;0,'BP1'!J29,)</f>
        <v>0</v>
      </c>
      <c r="K29" s="162">
        <f t="shared" ca="1" si="2"/>
        <v>0</v>
      </c>
      <c r="L29" s="163">
        <f ca="1">IF(K29&gt;1,K29*LOOKUP($K$8,Lists!$A$2:$A$812,IF($K$2="Non-Federal",Lists!$D$2:$D$812,Lists!$C$2:$C$812)),0)</f>
        <v>0</v>
      </c>
      <c r="M29" s="276">
        <f>IF(G29&gt;0,'BP1'!M29,)</f>
        <v>0</v>
      </c>
      <c r="N29" s="162">
        <f t="shared" ca="1" si="1"/>
        <v>0</v>
      </c>
      <c r="O29" s="163">
        <f ca="1">N29*LOOKUP($K$8,Lists!$A$2:$A$812,IF($K$2="Non-Federal",Lists!$D$2:$D$812,Lists!$C$2:$C$812))</f>
        <v>0</v>
      </c>
      <c r="P29" s="229">
        <f ca="1">IF($A$5&lt;='BP1'!$K$5,(1+$K$7)*INDIRECT("BP"&amp;$A$5-1&amp;"!P29"),)</f>
        <v>0</v>
      </c>
      <c r="Q29" s="259">
        <f t="shared" si="0"/>
        <v>0</v>
      </c>
      <c r="R29" s="136" t="s">
        <v>493</v>
      </c>
    </row>
    <row r="30" spans="1:18" s="5" customFormat="1" ht="14.25" customHeight="1">
      <c r="A30" s="842" t="s">
        <v>209</v>
      </c>
      <c r="B30" s="843"/>
      <c r="C30" s="843"/>
      <c r="D30" s="843"/>
      <c r="E30" s="843"/>
      <c r="F30" s="844"/>
      <c r="G30" s="20"/>
      <c r="H30" s="224">
        <f t="shared" ref="H30:O30" si="3">SUM(H15:H29)</f>
        <v>0</v>
      </c>
      <c r="I30" s="224">
        <f t="shared" si="3"/>
        <v>0</v>
      </c>
      <c r="J30" s="224">
        <f t="shared" si="3"/>
        <v>0</v>
      </c>
      <c r="K30" s="164">
        <f t="shared" ca="1" si="3"/>
        <v>0</v>
      </c>
      <c r="L30" s="163">
        <f t="shared" ca="1" si="3"/>
        <v>0</v>
      </c>
      <c r="M30" s="276">
        <f t="shared" si="3"/>
        <v>0</v>
      </c>
      <c r="N30" s="164">
        <f t="shared" ca="1" si="3"/>
        <v>0</v>
      </c>
      <c r="O30" s="163">
        <f t="shared" ca="1" si="3"/>
        <v>0</v>
      </c>
      <c r="P30" s="70"/>
      <c r="Q30" s="390"/>
      <c r="R30" s="136" t="s">
        <v>225</v>
      </c>
    </row>
    <row r="31" spans="1:18" s="5" customFormat="1" ht="14.25" customHeight="1">
      <c r="A31" s="209" t="s">
        <v>210</v>
      </c>
      <c r="B31" s="248"/>
      <c r="C31" s="248"/>
      <c r="D31" s="240"/>
      <c r="E31" s="240"/>
      <c r="F31" s="240"/>
      <c r="G31" s="21"/>
      <c r="H31" s="27"/>
      <c r="I31" s="28"/>
      <c r="J31" s="28"/>
      <c r="K31" s="33"/>
      <c r="L31" s="423"/>
      <c r="M31" s="425"/>
      <c r="N31" s="33"/>
      <c r="O31" s="34"/>
      <c r="P31" s="219" t="s">
        <v>111</v>
      </c>
      <c r="Q31" s="391"/>
      <c r="R31" s="136" t="s">
        <v>225</v>
      </c>
    </row>
    <row r="32" spans="1:18" s="5" customFormat="1" ht="14.25" customHeight="1">
      <c r="A32" s="209" t="s">
        <v>3</v>
      </c>
      <c r="B32" s="462">
        <f>IF($A$5&lt;=$K$5,'BP1'!B32,0)</f>
        <v>0</v>
      </c>
      <c r="C32" s="204" t="s">
        <v>464</v>
      </c>
      <c r="D32" s="240" t="str">
        <f>"Postdoctoral Associate"&amp;IF(B32&gt;0,"s",)</f>
        <v>Postdoctoral Associate</v>
      </c>
      <c r="E32" s="240"/>
      <c r="F32" s="240"/>
      <c r="G32" s="534">
        <v>12</v>
      </c>
      <c r="H32" s="222">
        <f>IF($A$5&lt;=$K$5,(IF('BP1'!H32&lt;&gt;'BP1'!B32*12,'BP1'!H32,B32*12)),0)</f>
        <v>0</v>
      </c>
      <c r="I32" s="123"/>
      <c r="J32" s="123"/>
      <c r="K32" s="162">
        <f t="shared" ref="K32:K40" ca="1" si="4">IFERROR(P32/12*H32,)</f>
        <v>0</v>
      </c>
      <c r="L32" s="163">
        <f>IF($A$5&lt;=$K$5,K32*LOOKUP($K$8,Lists!$A$2:$A$812,IF('BP1'!$K$2="Non-Federal",Lists!$D$2:$D$812,Lists!$C$2:$C$812)),0)</f>
        <v>0</v>
      </c>
      <c r="M32" s="276">
        <f>IF(B32&gt;0,'BP1'!M32,)</f>
        <v>0</v>
      </c>
      <c r="N32" s="162">
        <f ca="1">IFERROR(P32/12*M32,)</f>
        <v>0</v>
      </c>
      <c r="O32" s="163">
        <f ca="1">N32*LOOKUP($K$8,Lists!$A$2:$A$812,IF($K$2="Non-Federal",Lists!$D$2:$D$812,Lists!$C$2:$C$812))</f>
        <v>0</v>
      </c>
      <c r="P32" s="229">
        <f ca="1">IF($A$5&lt;=$K$5,INDIRECT("BP"&amp;$A$5-1&amp;"!P32")*(1+$K$7),0)</f>
        <v>0</v>
      </c>
      <c r="Q32" s="389"/>
      <c r="R32" s="136" t="s">
        <v>225</v>
      </c>
    </row>
    <row r="33" spans="1:18" s="5" customFormat="1" ht="14.25" customHeight="1">
      <c r="A33" s="209" t="s">
        <v>495</v>
      </c>
      <c r="B33" s="462">
        <f>IF($A$5&lt;=$K$5,'BP1'!B33,0)</f>
        <v>0</v>
      </c>
      <c r="C33" s="204" t="s">
        <v>464</v>
      </c>
      <c r="D33" s="240" t="str">
        <f>'BP1'!D33</f>
        <v>Other Professional</v>
      </c>
      <c r="E33" s="240"/>
      <c r="F33" s="240"/>
      <c r="G33" s="534">
        <v>12</v>
      </c>
      <c r="H33" s="222">
        <f>IF($A$5&lt;=$K$5,(IF('BP1'!H33&lt;&gt;'BP1'!B33*12,'BP1'!H33,B33*12)),0)</f>
        <v>0</v>
      </c>
      <c r="I33" s="123"/>
      <c r="J33" s="123"/>
      <c r="K33" s="162">
        <f t="shared" ca="1" si="4"/>
        <v>0</v>
      </c>
      <c r="L33" s="163">
        <f>IF($A$5&lt;=$K$5,K33*LOOKUP($K$8,Lists!$A$2:$A$812,IF('BP1'!$K$2="Non-Federal",Lists!$D$2:$D$812,Lists!$C$2:$C$812)),0)</f>
        <v>0</v>
      </c>
      <c r="M33" s="276">
        <f>IF(B33&gt;0,'BP1'!M33,)</f>
        <v>0</v>
      </c>
      <c r="N33" s="162">
        <f t="shared" ref="N33:N40" ca="1" si="5">IFERROR(P33/12*M33,)</f>
        <v>0</v>
      </c>
      <c r="O33" s="163">
        <f ca="1">N33*LOOKUP($K$8,Lists!$A$2:$A$812,IF($K$2="Non-Federal",Lists!$D$2:$D$812,Lists!$C$2:$C$812))</f>
        <v>0</v>
      </c>
      <c r="P33" s="229">
        <f ca="1">IF($A$5&lt;=$K$5,INDIRECT("BP"&amp;$A$5-1&amp;"!P33")*(1+$K$7),0)</f>
        <v>0</v>
      </c>
      <c r="Q33" s="389"/>
      <c r="R33" s="136" t="s">
        <v>225</v>
      </c>
    </row>
    <row r="34" spans="1:18" s="5" customFormat="1" ht="14.25" hidden="1" customHeight="1">
      <c r="A34" s="209" t="s">
        <v>496</v>
      </c>
      <c r="B34" s="462">
        <f>IF($A$5&lt;=$K$5,'BP1'!B34,0)</f>
        <v>0</v>
      </c>
      <c r="C34" s="204" t="s">
        <v>464</v>
      </c>
      <c r="D34" s="240" t="str">
        <f>'BP1'!D34</f>
        <v>Other Professional</v>
      </c>
      <c r="E34" s="240"/>
      <c r="F34" s="240"/>
      <c r="G34" s="534">
        <v>12</v>
      </c>
      <c r="H34" s="222">
        <f>IF($A$5&lt;=$K$5,(IF('BP1'!H34&lt;&gt;'BP1'!B34*12,'BP1'!H34,B34*12)),0)</f>
        <v>0</v>
      </c>
      <c r="I34" s="123"/>
      <c r="J34" s="123"/>
      <c r="K34" s="162">
        <f t="shared" ca="1" si="4"/>
        <v>0</v>
      </c>
      <c r="L34" s="163">
        <f>IF($A$5&lt;=$K$5,K34*LOOKUP($K$8,Lists!$A$2:$A$812,IF('BP1'!$K$2="Non-Federal",Lists!$D$2:$D$812,Lists!$C$2:$C$812)),0)</f>
        <v>0</v>
      </c>
      <c r="M34" s="276">
        <f>IF(B34&gt;0,'BP1'!M34,)</f>
        <v>0</v>
      </c>
      <c r="N34" s="162">
        <f t="shared" ca="1" si="5"/>
        <v>0</v>
      </c>
      <c r="O34" s="163">
        <f ca="1">N34*LOOKUP($K$8,Lists!$A$2:$A$812,IF($K$2="Non-Federal",Lists!$D$2:$D$812,Lists!$C$2:$C$812))</f>
        <v>0</v>
      </c>
      <c r="P34" s="229">
        <f ca="1">IF($A$5&lt;=$K$5,INDIRECT("BP"&amp;$A$5-1&amp;"!P34")*(1+$K$7),0)</f>
        <v>0</v>
      </c>
      <c r="Q34" s="389"/>
      <c r="R34" s="136" t="s">
        <v>500</v>
      </c>
    </row>
    <row r="35" spans="1:18" s="5" customFormat="1" ht="14.25" hidden="1" customHeight="1">
      <c r="A35" s="209" t="s">
        <v>497</v>
      </c>
      <c r="B35" s="462">
        <f>IF($A$5&lt;=$K$5,'BP1'!B35,0)</f>
        <v>0</v>
      </c>
      <c r="C35" s="204" t="s">
        <v>464</v>
      </c>
      <c r="D35" s="240" t="str">
        <f>'BP1'!D35</f>
        <v>Other Professional</v>
      </c>
      <c r="E35" s="240"/>
      <c r="F35" s="240"/>
      <c r="G35" s="534">
        <v>12</v>
      </c>
      <c r="H35" s="222">
        <f>IF($A$5&lt;=$K$5,(IF('BP1'!H35&lt;&gt;'BP1'!B35*12,'BP1'!H35,B35*12)),0)</f>
        <v>0</v>
      </c>
      <c r="I35" s="123"/>
      <c r="J35" s="123"/>
      <c r="K35" s="162">
        <f t="shared" ca="1" si="4"/>
        <v>0</v>
      </c>
      <c r="L35" s="163">
        <f>IF($A$5&lt;=$K$5,K35*LOOKUP($K$8,Lists!$A$2:$A$812,IF('BP1'!$K$2="Non-Federal",Lists!$D$2:$D$812,Lists!$C$2:$C$812)),0)</f>
        <v>0</v>
      </c>
      <c r="M35" s="276">
        <f>IF(B35&gt;0,'BP1'!M35,)</f>
        <v>0</v>
      </c>
      <c r="N35" s="162">
        <f t="shared" ca="1" si="5"/>
        <v>0</v>
      </c>
      <c r="O35" s="163">
        <f ca="1">N35*LOOKUP($K$8,Lists!$A$2:$A$812,IF($K$2="Non-Federal",Lists!$D$2:$D$812,Lists!$C$2:$C$812))</f>
        <v>0</v>
      </c>
      <c r="P35" s="229">
        <f ca="1">IF($A$5&lt;=$K$5,INDIRECT("BP"&amp;$A$5-1&amp;"!P35")*(1+$K$7),0)</f>
        <v>0</v>
      </c>
      <c r="Q35" s="389"/>
      <c r="R35" s="136" t="s">
        <v>500</v>
      </c>
    </row>
    <row r="36" spans="1:18" s="5" customFormat="1" ht="14.25" hidden="1" customHeight="1">
      <c r="A36" s="209" t="s">
        <v>498</v>
      </c>
      <c r="B36" s="462">
        <f>IF($A$5&lt;=$K$5,'BP1'!B36,0)</f>
        <v>0</v>
      </c>
      <c r="C36" s="204" t="s">
        <v>464</v>
      </c>
      <c r="D36" s="240" t="str">
        <f>'BP1'!D36</f>
        <v>Other Professional</v>
      </c>
      <c r="E36" s="240"/>
      <c r="F36" s="240"/>
      <c r="G36" s="534">
        <v>12</v>
      </c>
      <c r="H36" s="222">
        <f>IF($A$5&lt;=$K$5,(IF('BP1'!H36&lt;&gt;'BP1'!B36*12,'BP1'!H36,B36*12)),0)</f>
        <v>0</v>
      </c>
      <c r="I36" s="123"/>
      <c r="J36" s="123"/>
      <c r="K36" s="162">
        <f t="shared" ca="1" si="4"/>
        <v>0</v>
      </c>
      <c r="L36" s="163">
        <f>IF($A$5&lt;=$K$5,K36*LOOKUP($K$8,Lists!$A$2:$A$812,IF('BP1'!$K$2="Non-Federal",Lists!$D$2:$D$812,Lists!$C$2:$C$812)),0)</f>
        <v>0</v>
      </c>
      <c r="M36" s="276">
        <f>IF(B36&gt;0,'BP1'!M36,)</f>
        <v>0</v>
      </c>
      <c r="N36" s="162">
        <f t="shared" ca="1" si="5"/>
        <v>0</v>
      </c>
      <c r="O36" s="163">
        <f ca="1">N36*LOOKUP($K$8,Lists!$A$2:$A$812,IF($K$2="Non-Federal",Lists!$D$2:$D$812,Lists!$C$2:$C$812))</f>
        <v>0</v>
      </c>
      <c r="P36" s="229">
        <f ca="1">IF($A$5&lt;=$K$5,INDIRECT("BP"&amp;$A$5-1&amp;"!P36")*(1+$K$7),0)</f>
        <v>0</v>
      </c>
      <c r="Q36" s="389"/>
      <c r="R36" s="136" t="s">
        <v>500</v>
      </c>
    </row>
    <row r="37" spans="1:18" s="5" customFormat="1" ht="14.25" hidden="1" customHeight="1">
      <c r="A37" s="209" t="s">
        <v>499</v>
      </c>
      <c r="B37" s="462">
        <f>IF($A$5&lt;=$K$5,'BP1'!B37,0)</f>
        <v>0</v>
      </c>
      <c r="C37" s="204" t="s">
        <v>464</v>
      </c>
      <c r="D37" s="240" t="str">
        <f>'BP1'!D37</f>
        <v>Other Professional</v>
      </c>
      <c r="E37" s="240"/>
      <c r="F37" s="240"/>
      <c r="G37" s="534">
        <v>12</v>
      </c>
      <c r="H37" s="222">
        <f>IF($A$5&lt;=$K$5,(IF('BP1'!H37&lt;&gt;'BP1'!B37*12,'BP1'!H37,B37*12)),0)</f>
        <v>0</v>
      </c>
      <c r="I37" s="123"/>
      <c r="J37" s="123"/>
      <c r="K37" s="162">
        <f t="shared" ca="1" si="4"/>
        <v>0</v>
      </c>
      <c r="L37" s="163">
        <f>IF($A$5&lt;=$K$5,K37*LOOKUP($K$8,Lists!$A$2:$A$812,IF('BP1'!$K$2="Non-Federal",Lists!$D$2:$D$812,Lists!$C$2:$C$812)),0)</f>
        <v>0</v>
      </c>
      <c r="M37" s="276">
        <f>IF(B37&gt;0,'BP1'!M37,)</f>
        <v>0</v>
      </c>
      <c r="N37" s="162">
        <f t="shared" ca="1" si="5"/>
        <v>0</v>
      </c>
      <c r="O37" s="163">
        <f ca="1">N37*LOOKUP($K$8,Lists!$A$2:$A$812,IF($K$2="Non-Federal",Lists!$D$2:$D$812,Lists!$C$2:$C$812))</f>
        <v>0</v>
      </c>
      <c r="P37" s="229">
        <f ca="1">IF($A$5&lt;=$K$5,INDIRECT("BP"&amp;$A$5-1&amp;"!P37")*(1+$K$7),0)</f>
        <v>0</v>
      </c>
      <c r="Q37" s="389"/>
      <c r="R37" s="136" t="s">
        <v>500</v>
      </c>
    </row>
    <row r="38" spans="1:18" s="5" customFormat="1" ht="14.25" customHeight="1">
      <c r="A38" s="209" t="s">
        <v>4</v>
      </c>
      <c r="B38" s="462">
        <f>IF($A$5&lt;=$K$5,'BP1'!B38,0)</f>
        <v>0</v>
      </c>
      <c r="C38" s="204" t="s">
        <v>464</v>
      </c>
      <c r="D38" s="240" t="str">
        <f>"Graduate Student"&amp;IF(B38&gt;0,"s",)</f>
        <v>Graduate Student</v>
      </c>
      <c r="E38" s="240"/>
      <c r="F38" s="240"/>
      <c r="G38" s="534">
        <v>12</v>
      </c>
      <c r="H38" s="222">
        <f>IF($A$5&lt;=$K$5,(IF('BP1'!H38&lt;&gt;'BP1'!B38*12,'BP1'!H38,B38*12)),0)</f>
        <v>0</v>
      </c>
      <c r="I38" s="123"/>
      <c r="J38" s="123"/>
      <c r="K38" s="162">
        <f t="shared" ca="1" si="4"/>
        <v>0</v>
      </c>
      <c r="L38" s="163">
        <f>IF($A$5&lt;=$K$5,K38*LOOKUP($K$8,Lists!$A$2:$A$812,Lists!$F$2:$F$812),0)</f>
        <v>0</v>
      </c>
      <c r="M38" s="276">
        <f>IF(B38&gt;0,'BP1'!M38,)</f>
        <v>0</v>
      </c>
      <c r="N38" s="162">
        <f t="shared" ca="1" si="5"/>
        <v>0</v>
      </c>
      <c r="O38" s="163">
        <f ca="1">N38*LOOKUP($K$8,Lists!$A$2:$A$812,Lists!$F$2:$F$812)</f>
        <v>0</v>
      </c>
      <c r="P38" s="229">
        <f ca="1">IF($A$5&lt;=$K$5,INDIRECT("BP"&amp;$A$5-1&amp;"!P38")*(1+$K$7),0)</f>
        <v>0</v>
      </c>
      <c r="Q38" s="389"/>
      <c r="R38" s="136" t="s">
        <v>225</v>
      </c>
    </row>
    <row r="39" spans="1:18" s="5" customFormat="1" ht="14.25" customHeight="1">
      <c r="A39" s="209" t="s">
        <v>5</v>
      </c>
      <c r="B39" s="462">
        <f>IF($A$5&lt;=$K$5,'BP1'!B39,0)</f>
        <v>0</v>
      </c>
      <c r="C39" s="204" t="s">
        <v>464</v>
      </c>
      <c r="D39" s="240" t="str">
        <f>"Undergraduate Student"&amp;IF(B39&gt;0,"s",)</f>
        <v>Undergraduate Student</v>
      </c>
      <c r="E39" s="240"/>
      <c r="F39" s="240"/>
      <c r="G39" s="534">
        <v>12</v>
      </c>
      <c r="H39" s="222">
        <f>IF($A$5&lt;=$K$5,(IF('BP1'!H39&lt;&gt;'BP1'!B39*12,'BP1'!H39,B39*12)),0)</f>
        <v>0</v>
      </c>
      <c r="I39" s="123"/>
      <c r="J39" s="123"/>
      <c r="K39" s="162">
        <f t="shared" ca="1" si="4"/>
        <v>0</v>
      </c>
      <c r="L39" s="123"/>
      <c r="M39" s="276">
        <f>IF(B39&gt;0,'BP1'!M39,)</f>
        <v>0</v>
      </c>
      <c r="N39" s="162">
        <f t="shared" ca="1" si="5"/>
        <v>0</v>
      </c>
      <c r="O39" s="223"/>
      <c r="P39" s="229">
        <f ca="1">IF($A$5&lt;=$K$5,INDIRECT("BP"&amp;$A$5-1&amp;"!P39")*(1+$K$7),0)</f>
        <v>0</v>
      </c>
      <c r="Q39" s="389"/>
      <c r="R39" s="136" t="s">
        <v>225</v>
      </c>
    </row>
    <row r="40" spans="1:18" s="5" customFormat="1" ht="14.25" customHeight="1" thickBot="1">
      <c r="A40" s="209" t="s">
        <v>6</v>
      </c>
      <c r="B40" s="462">
        <f>IF($A$5&lt;=$K$5,'BP1'!B40,0)</f>
        <v>0</v>
      </c>
      <c r="C40" s="204" t="s">
        <v>464</v>
      </c>
      <c r="D40" s="240" t="str">
        <f>"Other"&amp;IF(B40&gt;0,"s",)&amp;" (Carrying Statutory Benefits)"</f>
        <v>Other (Carrying Statutory Benefits)</v>
      </c>
      <c r="E40" s="240"/>
      <c r="F40" s="240"/>
      <c r="G40" s="534">
        <v>12</v>
      </c>
      <c r="H40" s="222">
        <f>IF($A$5&lt;=$K$5,(IF('BP1'!H40&lt;&gt;'BP1'!B40*12,'BP1'!H40,B40*12)),0)</f>
        <v>0</v>
      </c>
      <c r="I40" s="123"/>
      <c r="J40" s="123"/>
      <c r="K40" s="162">
        <f t="shared" ca="1" si="4"/>
        <v>0</v>
      </c>
      <c r="L40" s="163">
        <f>IF($A$5&lt;=$K$5,K40*LOOKUP($K$8,Lists!$A$2:$A4812,Lists!$E$2:$E$812),0)</f>
        <v>0</v>
      </c>
      <c r="M40" s="276">
        <f>IF(B40&gt;0,'BP1'!M40,)</f>
        <v>0</v>
      </c>
      <c r="N40" s="162">
        <f t="shared" ca="1" si="5"/>
        <v>0</v>
      </c>
      <c r="O40" s="163">
        <f ca="1">N40*LOOKUP($K$8,Lists!$A$2:$A$812,Lists!$E$2:$E$812)</f>
        <v>0</v>
      </c>
      <c r="P40" s="229">
        <f ca="1">IF($A$5&lt;=$K$5,INDIRECT("BP"&amp;$A$5-1&amp;"!P40")*(1+$K$7),0)</f>
        <v>0</v>
      </c>
      <c r="Q40" s="389"/>
      <c r="R40" s="136" t="s">
        <v>225</v>
      </c>
    </row>
    <row r="41" spans="1:18" s="5" customFormat="1" ht="14.25" customHeight="1" thickBot="1">
      <c r="A41" s="186"/>
      <c r="B41" s="204" t="s">
        <v>92</v>
      </c>
      <c r="C41" s="187"/>
      <c r="D41" s="181"/>
      <c r="E41" s="181"/>
      <c r="F41" s="181"/>
      <c r="G41" s="181"/>
      <c r="H41" s="188"/>
      <c r="I41" s="189"/>
      <c r="J41" s="187"/>
      <c r="K41" s="852">
        <f>IF($A$5&lt;=$K$5,SUM(K30:K40),0)</f>
        <v>0</v>
      </c>
      <c r="L41" s="853"/>
      <c r="M41" s="272"/>
      <c r="N41" s="867">
        <f ca="1">SUM(N30:N40)</f>
        <v>0</v>
      </c>
      <c r="O41" s="893"/>
      <c r="R41" s="136" t="s">
        <v>225</v>
      </c>
    </row>
    <row r="42" spans="1:18" s="5" customFormat="1" ht="14.25" customHeight="1" thickBot="1">
      <c r="A42" s="209" t="s">
        <v>93</v>
      </c>
      <c r="B42" s="187"/>
      <c r="C42" s="187"/>
      <c r="D42" s="178"/>
      <c r="E42" s="178"/>
      <c r="F42" s="190"/>
      <c r="G42" s="191"/>
      <c r="H42" s="192"/>
      <c r="I42" s="189"/>
      <c r="J42" s="187"/>
      <c r="K42" s="852">
        <f>IF($A$5&lt;=$K$5,SUM(L30:L40),0)</f>
        <v>0</v>
      </c>
      <c r="L42" s="853"/>
      <c r="M42" s="272"/>
      <c r="N42" s="867">
        <f ca="1">SUM(O30:O40)</f>
        <v>0</v>
      </c>
      <c r="O42" s="893"/>
      <c r="R42" s="136" t="s">
        <v>225</v>
      </c>
    </row>
    <row r="43" spans="1:18" s="5" customFormat="1" ht="14.25" customHeight="1" thickBot="1">
      <c r="A43" s="170"/>
      <c r="B43" s="210" t="s">
        <v>212</v>
      </c>
      <c r="C43" s="171"/>
      <c r="D43" s="172"/>
      <c r="E43" s="172"/>
      <c r="F43" s="172"/>
      <c r="G43" s="172"/>
      <c r="H43" s="171"/>
      <c r="I43" s="171"/>
      <c r="J43" s="171"/>
      <c r="K43" s="852">
        <f>IF($A$5&lt;=$K$5,SUM(K41:K42),0)</f>
        <v>0</v>
      </c>
      <c r="L43" s="853"/>
      <c r="M43" s="272"/>
      <c r="N43" s="867">
        <f ca="1">SUM(N41:N42)</f>
        <v>0</v>
      </c>
      <c r="O43" s="893"/>
      <c r="R43" s="136" t="s">
        <v>225</v>
      </c>
    </row>
    <row r="44" spans="1:18" s="5" customFormat="1" ht="14.25" customHeight="1" thickBot="1">
      <c r="A44" s="207" t="s">
        <v>213</v>
      </c>
      <c r="B44" s="166"/>
      <c r="C44" s="166"/>
      <c r="D44" s="167"/>
      <c r="E44" s="167"/>
      <c r="F44" s="167"/>
      <c r="G44" s="167"/>
      <c r="H44" s="166"/>
      <c r="I44" s="182"/>
      <c r="J44" s="166"/>
      <c r="K44" s="23"/>
      <c r="L44" s="24"/>
      <c r="M44" s="272"/>
      <c r="N44" s="35"/>
      <c r="O44" s="36"/>
      <c r="R44" s="136" t="s">
        <v>225</v>
      </c>
    </row>
    <row r="45" spans="1:18" s="5" customFormat="1" ht="14.25" customHeight="1" thickBot="1">
      <c r="A45" s="185"/>
      <c r="B45" s="934"/>
      <c r="C45" s="935"/>
      <c r="D45" s="935"/>
      <c r="E45" s="935"/>
      <c r="F45" s="936"/>
      <c r="G45" s="183"/>
      <c r="H45" s="183"/>
      <c r="I45" s="211" t="s">
        <v>162</v>
      </c>
      <c r="J45" s="184"/>
      <c r="K45" s="962"/>
      <c r="L45" s="963"/>
      <c r="M45" s="272"/>
      <c r="N45" s="776"/>
      <c r="O45" s="777"/>
      <c r="R45" s="136" t="s">
        <v>225</v>
      </c>
    </row>
    <row r="46" spans="1:18" s="5" customFormat="1" ht="14.25" hidden="1" customHeight="1" thickBot="1">
      <c r="A46" s="185"/>
      <c r="B46" s="934"/>
      <c r="C46" s="935"/>
      <c r="D46" s="935"/>
      <c r="E46" s="935"/>
      <c r="F46" s="936"/>
      <c r="G46" s="183"/>
      <c r="H46" s="183"/>
      <c r="I46" s="211" t="s">
        <v>163</v>
      </c>
      <c r="J46" s="184"/>
      <c r="K46" s="962"/>
      <c r="L46" s="963"/>
      <c r="M46" s="272"/>
      <c r="N46" s="776"/>
      <c r="O46" s="777"/>
      <c r="R46" s="136" t="s">
        <v>494</v>
      </c>
    </row>
    <row r="47" spans="1:18" s="5" customFormat="1" ht="14.25" hidden="1" customHeight="1" thickBot="1">
      <c r="A47" s="185"/>
      <c r="B47" s="934"/>
      <c r="C47" s="935"/>
      <c r="D47" s="935"/>
      <c r="E47" s="935"/>
      <c r="F47" s="936"/>
      <c r="G47" s="183"/>
      <c r="H47" s="183"/>
      <c r="I47" s="211" t="s">
        <v>164</v>
      </c>
      <c r="J47" s="184"/>
      <c r="K47" s="962"/>
      <c r="L47" s="963"/>
      <c r="M47" s="272"/>
      <c r="N47" s="776"/>
      <c r="O47" s="777"/>
      <c r="R47" s="136" t="s">
        <v>494</v>
      </c>
    </row>
    <row r="48" spans="1:18" s="5" customFormat="1" ht="14.25" hidden="1" customHeight="1" thickBot="1">
      <c r="A48" s="185"/>
      <c r="B48" s="934"/>
      <c r="C48" s="935"/>
      <c r="D48" s="935"/>
      <c r="E48" s="935"/>
      <c r="F48" s="936"/>
      <c r="G48" s="183"/>
      <c r="H48" s="183"/>
      <c r="I48" s="211" t="s">
        <v>165</v>
      </c>
      <c r="J48" s="184"/>
      <c r="K48" s="962"/>
      <c r="L48" s="963"/>
      <c r="M48" s="272"/>
      <c r="N48" s="776"/>
      <c r="O48" s="777"/>
      <c r="R48" s="136" t="s">
        <v>494</v>
      </c>
    </row>
    <row r="49" spans="1:19" s="5" customFormat="1" ht="14.25" hidden="1" customHeight="1" thickBot="1">
      <c r="A49" s="185"/>
      <c r="B49" s="934"/>
      <c r="C49" s="935"/>
      <c r="D49" s="935"/>
      <c r="E49" s="935"/>
      <c r="F49" s="936"/>
      <c r="G49" s="183"/>
      <c r="H49" s="183"/>
      <c r="I49" s="211" t="s">
        <v>166</v>
      </c>
      <c r="J49" s="184"/>
      <c r="K49" s="962"/>
      <c r="L49" s="963"/>
      <c r="M49" s="272"/>
      <c r="N49" s="776"/>
      <c r="O49" s="777"/>
      <c r="R49" s="136" t="s">
        <v>494</v>
      </c>
    </row>
    <row r="50" spans="1:19" s="5" customFormat="1" ht="14.25" customHeight="1" thickBot="1">
      <c r="A50" s="176"/>
      <c r="B50" s="202" t="s">
        <v>214</v>
      </c>
      <c r="C50" s="177"/>
      <c r="D50" s="169"/>
      <c r="E50" s="169"/>
      <c r="F50" s="169"/>
      <c r="G50" s="169"/>
      <c r="H50" s="169"/>
      <c r="I50" s="169"/>
      <c r="J50" s="169"/>
      <c r="K50" s="862">
        <f>SUM(K45:K49)</f>
        <v>0</v>
      </c>
      <c r="L50" s="853"/>
      <c r="M50" s="272"/>
      <c r="N50" s="900">
        <f>SUM(N45:N49)</f>
        <v>0</v>
      </c>
      <c r="O50" s="901"/>
      <c r="R50" s="136" t="s">
        <v>225</v>
      </c>
    </row>
    <row r="51" spans="1:19" s="5" customFormat="1" ht="14.25" customHeight="1">
      <c r="A51" s="212" t="s">
        <v>215</v>
      </c>
      <c r="B51" s="210"/>
      <c r="C51" s="210"/>
      <c r="D51" s="239"/>
      <c r="E51" s="239"/>
      <c r="F51" s="214"/>
      <c r="G51" s="440" t="s">
        <v>465</v>
      </c>
      <c r="H51" s="858" t="s">
        <v>94</v>
      </c>
      <c r="I51" s="859"/>
      <c r="J51" s="859"/>
      <c r="K51" s="854">
        <f>IF($A$5&lt;=$K$5,(IF(SUM('Travel Calculator'!$L$14:$M$14)&gt;0,('Travel Calculator'!$L$10*(1-'Travel Calculator'!$N$4)),'BP1'!$K$51)),)</f>
        <v>0</v>
      </c>
      <c r="L51" s="855"/>
      <c r="M51" s="272"/>
      <c r="N51" s="854">
        <f>IF($A$5&lt;=$K$5,(IF(SUM('Travel Calculator'!$L$14:$M$14)&gt;0,('Travel Calculator'!$L$10*('Travel Calculator'!$N$4)),'BP1'!$N$51)),)</f>
        <v>0</v>
      </c>
      <c r="O51" s="855"/>
      <c r="R51" s="136" t="s">
        <v>225</v>
      </c>
    </row>
    <row r="52" spans="1:19" s="5" customFormat="1" ht="14.25" customHeight="1" thickBot="1">
      <c r="A52" s="212"/>
      <c r="B52" s="210"/>
      <c r="C52" s="210"/>
      <c r="D52" s="526"/>
      <c r="E52" s="526"/>
      <c r="F52" s="438"/>
      <c r="G52" s="440" t="s">
        <v>466</v>
      </c>
      <c r="H52" s="858" t="s">
        <v>95</v>
      </c>
      <c r="I52" s="859"/>
      <c r="J52" s="859"/>
      <c r="K52" s="864">
        <f>IF($A$5&lt;=$K$5,(IF(SUM('Travel Calculator'!$L$14:$M$14)&gt;0,('Travel Calculator'!$M$10*(1-'Travel Calculator'!$N$4)),'BP1'!$K$52)),)</f>
        <v>0</v>
      </c>
      <c r="L52" s="865"/>
      <c r="M52" s="272"/>
      <c r="N52" s="864">
        <f>IF($A$5&lt;=$K$5,(IF(SUM('Travel Calculator'!$L$14:$M$14)&gt;0,('Travel Calculator'!$M$10*('Travel Calculator'!$N$4)),'BP1'!$N$52)),)</f>
        <v>0</v>
      </c>
      <c r="O52" s="865"/>
      <c r="R52" s="136" t="s">
        <v>225</v>
      </c>
    </row>
    <row r="53" spans="1:19" s="5" customFormat="1" ht="14.25" customHeight="1" thickBot="1">
      <c r="A53" s="196"/>
      <c r="B53" s="202"/>
      <c r="C53" s="202"/>
      <c r="D53" s="242"/>
      <c r="E53" s="242"/>
      <c r="F53" s="242"/>
      <c r="G53" s="527"/>
      <c r="H53" s="860" t="s">
        <v>110</v>
      </c>
      <c r="I53" s="860"/>
      <c r="J53" s="861"/>
      <c r="K53" s="852">
        <f>IF($A$5&lt;=$K$5,K51+K52,0)</f>
        <v>0</v>
      </c>
      <c r="L53" s="853"/>
      <c r="M53" s="272"/>
      <c r="N53" s="867">
        <f>N51+N52</f>
        <v>0</v>
      </c>
      <c r="O53" s="893"/>
      <c r="R53" s="136" t="s">
        <v>225</v>
      </c>
    </row>
    <row r="54" spans="1:19" s="5" customFormat="1" ht="14.25" customHeight="1">
      <c r="A54" s="212" t="s">
        <v>216</v>
      </c>
      <c r="B54" s="210"/>
      <c r="C54" s="210"/>
      <c r="D54" s="239"/>
      <c r="E54" s="239"/>
      <c r="F54" s="239"/>
      <c r="G54" s="239"/>
      <c r="H54" s="210"/>
      <c r="I54" s="217"/>
      <c r="J54" s="210"/>
      <c r="K54" s="29"/>
      <c r="L54" s="24"/>
      <c r="M54" s="272"/>
      <c r="N54" s="37"/>
      <c r="O54" s="38"/>
      <c r="R54" s="136" t="s">
        <v>225</v>
      </c>
    </row>
    <row r="55" spans="1:19" s="5" customFormat="1" ht="14.25" customHeight="1">
      <c r="A55" s="212"/>
      <c r="B55" s="218">
        <v>1</v>
      </c>
      <c r="C55" s="780" t="str">
        <f>'BP1'!C55</f>
        <v>Materials and Supplies</v>
      </c>
      <c r="D55" s="780"/>
      <c r="E55" s="780"/>
      <c r="F55" s="780"/>
      <c r="G55" s="780"/>
      <c r="H55" s="780"/>
      <c r="I55" s="780"/>
      <c r="J55" s="858"/>
      <c r="K55" s="962">
        <f>IF($A$5&lt;=$K$5,'BP1'!K55:L55,0)</f>
        <v>0</v>
      </c>
      <c r="L55" s="963"/>
      <c r="M55" s="272"/>
      <c r="N55" s="776">
        <f>IF($A$5&lt;='BP1'!$K$5,'BP1'!N55,0)</f>
        <v>0</v>
      </c>
      <c r="O55" s="777"/>
      <c r="R55" s="136" t="s">
        <v>225</v>
      </c>
    </row>
    <row r="56" spans="1:19" s="5" customFormat="1" ht="14.25" customHeight="1">
      <c r="A56" s="212"/>
      <c r="B56" s="218">
        <v>2</v>
      </c>
      <c r="C56" s="780" t="str">
        <f>'BP1'!C56</f>
        <v>Publication Costs</v>
      </c>
      <c r="D56" s="780"/>
      <c r="E56" s="780"/>
      <c r="F56" s="780"/>
      <c r="G56" s="780"/>
      <c r="H56" s="780"/>
      <c r="I56" s="780"/>
      <c r="J56" s="858"/>
      <c r="K56" s="962">
        <f>IF($A$5&lt;=$K$5,'BP1'!K56:L56,0)</f>
        <v>0</v>
      </c>
      <c r="L56" s="963"/>
      <c r="M56" s="272"/>
      <c r="N56" s="776">
        <f>IF($A$5&lt;='BP1'!$K$5,'BP1'!N56,0)</f>
        <v>0</v>
      </c>
      <c r="O56" s="777"/>
      <c r="R56" s="136" t="s">
        <v>225</v>
      </c>
    </row>
    <row r="57" spans="1:19" s="5" customFormat="1" ht="14.25" customHeight="1">
      <c r="A57" s="212"/>
      <c r="B57" s="218">
        <v>3</v>
      </c>
      <c r="C57" s="780" t="str">
        <f>'BP1'!C57</f>
        <v>Consultant Services</v>
      </c>
      <c r="D57" s="780"/>
      <c r="E57" s="780"/>
      <c r="F57" s="780"/>
      <c r="G57" s="780"/>
      <c r="H57" s="780"/>
      <c r="I57" s="780"/>
      <c r="J57" s="858"/>
      <c r="K57" s="962">
        <f>IF($A$5&lt;=$K$5,'BP1'!K57:L57,0)</f>
        <v>0</v>
      </c>
      <c r="L57" s="963"/>
      <c r="M57" s="272"/>
      <c r="N57" s="776">
        <f>IF($A$5&lt;='BP1'!$K$5,'BP1'!N57,0)</f>
        <v>0</v>
      </c>
      <c r="O57" s="777"/>
      <c r="R57" s="136" t="s">
        <v>225</v>
      </c>
    </row>
    <row r="58" spans="1:19" s="5" customFormat="1" ht="14.25" customHeight="1">
      <c r="A58" s="212"/>
      <c r="B58" s="218">
        <v>4</v>
      </c>
      <c r="C58" s="780" t="str">
        <f>'BP1'!C58</f>
        <v>Computer Services</v>
      </c>
      <c r="D58" s="780"/>
      <c r="E58" s="780"/>
      <c r="F58" s="780"/>
      <c r="G58" s="780"/>
      <c r="H58" s="780"/>
      <c r="I58" s="780"/>
      <c r="J58" s="858"/>
      <c r="K58" s="962">
        <f>IF($A$5&lt;=$K$5,'BP1'!K58:L58,0)</f>
        <v>0</v>
      </c>
      <c r="L58" s="963"/>
      <c r="M58" s="272"/>
      <c r="N58" s="776">
        <f>IF($A$5&lt;='BP1'!$K$5,'BP1'!N58,0)</f>
        <v>0</v>
      </c>
      <c r="O58" s="777"/>
      <c r="R58" s="136" t="s">
        <v>225</v>
      </c>
    </row>
    <row r="59" spans="1:19" s="5" customFormat="1" ht="14.25" customHeight="1">
      <c r="A59" s="212"/>
      <c r="B59" s="218">
        <v>5</v>
      </c>
      <c r="C59" s="780" t="s">
        <v>221</v>
      </c>
      <c r="D59" s="780"/>
      <c r="E59" s="780"/>
      <c r="F59" s="780"/>
      <c r="G59" s="780"/>
      <c r="H59" s="780"/>
      <c r="I59" s="780"/>
      <c r="J59" s="858"/>
      <c r="K59" s="964">
        <f>IF($A$5&lt;=$K$5,SUM((H38/12)*LOOKUP(K8,Lists!A2:A812,Lists!K2:K812)),0)</f>
        <v>0</v>
      </c>
      <c r="L59" s="964"/>
      <c r="M59" s="272"/>
      <c r="N59" s="917">
        <f>IF($A$5&lt;='BP1'!$K$5,SUM((M38/12)*LOOKUP(K8,Lists!A2:A812,Lists!K2:K812)),0)</f>
        <v>0</v>
      </c>
      <c r="O59" s="937"/>
      <c r="P59" s="8"/>
      <c r="Q59" s="8"/>
      <c r="R59" s="136" t="s">
        <v>225</v>
      </c>
    </row>
    <row r="60" spans="1:19" s="5" customFormat="1" ht="14.25" customHeight="1">
      <c r="A60" s="212"/>
      <c r="B60" s="218">
        <v>6</v>
      </c>
      <c r="C60" s="780" t="str">
        <f>'BP1'!C60</f>
        <v>MTDC Other</v>
      </c>
      <c r="D60" s="780"/>
      <c r="E60" s="780"/>
      <c r="F60" s="780"/>
      <c r="G60" s="780"/>
      <c r="H60" s="780"/>
      <c r="I60" s="780"/>
      <c r="J60" s="858"/>
      <c r="K60" s="919">
        <f>IF($A$5&lt;=$K$5,'BP1'!K60:L60,0)</f>
        <v>0</v>
      </c>
      <c r="L60" s="919"/>
      <c r="M60" s="272"/>
      <c r="N60" s="776">
        <f>IF($A$5&lt;='BP1'!$K$5,'BP1'!N60,0)</f>
        <v>0</v>
      </c>
      <c r="O60" s="777"/>
      <c r="P60" s="8"/>
      <c r="Q60" s="8"/>
      <c r="R60" s="136" t="s">
        <v>225</v>
      </c>
    </row>
    <row r="61" spans="1:19" s="5" customFormat="1" ht="14.25" customHeight="1" thickBot="1">
      <c r="A61" s="212"/>
      <c r="B61" s="218">
        <v>7</v>
      </c>
      <c r="C61" s="780" t="str">
        <f>'BP1'!C61</f>
        <v>Non-MTDC Other (no indirect costs)</v>
      </c>
      <c r="D61" s="780"/>
      <c r="E61" s="780"/>
      <c r="F61" s="780"/>
      <c r="G61" s="780"/>
      <c r="H61" s="780"/>
      <c r="I61" s="780"/>
      <c r="J61" s="858"/>
      <c r="K61" s="924">
        <f>IF($A$5&lt;=$K$5,'BP1'!K61:L61,0)</f>
        <v>0</v>
      </c>
      <c r="L61" s="924"/>
      <c r="M61" s="272"/>
      <c r="N61" s="938">
        <f>IF($A$5&lt;='BP1'!$K$5,'BP1'!N61,0)</f>
        <v>0</v>
      </c>
      <c r="O61" s="939"/>
      <c r="P61" s="219" t="s">
        <v>149</v>
      </c>
      <c r="Q61" s="391"/>
      <c r="R61" s="136" t="s">
        <v>225</v>
      </c>
    </row>
    <row r="62" spans="1:19" s="5" customFormat="1" ht="14.25" customHeight="1" thickBot="1">
      <c r="A62" s="170"/>
      <c r="B62" s="241">
        <v>8</v>
      </c>
      <c r="C62" s="780" t="s">
        <v>573</v>
      </c>
      <c r="D62" s="780"/>
      <c r="E62" s="778" t="s">
        <v>298</v>
      </c>
      <c r="F62" s="779"/>
      <c r="G62" s="768">
        <f>'Subaward Calculator'!B8</f>
        <v>0</v>
      </c>
      <c r="H62" s="769"/>
      <c r="I62" s="770"/>
      <c r="J62" s="299">
        <f>IF('BP1'!K62&lt;25000,25000-('BP1'!K62),0)</f>
        <v>25000</v>
      </c>
      <c r="K62" s="771">
        <f>IF(AND(SUM('BP1'!K62)&gt;0,'Subaward Calculator'!AD9=0,'BP1'!K5&gt;1),'BP1'!K62,'Subaward Calculator'!J9)</f>
        <v>0</v>
      </c>
      <c r="L62" s="772"/>
      <c r="M62" s="272"/>
      <c r="N62" s="922">
        <f>IF(AND(SUM('BP1'!N62)&gt;0,'Subaward Calculator'!AF9=0,'BP1'!K5&gt;1),'BP1'!N62,'Subaward Calculator'!L9)</f>
        <v>0</v>
      </c>
      <c r="O62" s="923"/>
      <c r="P62" s="592">
        <f>'Subaward Calculator'!B9</f>
        <v>0</v>
      </c>
      <c r="Q62" s="397"/>
      <c r="R62" s="136" t="s">
        <v>225</v>
      </c>
      <c r="S62" s="71"/>
    </row>
    <row r="63" spans="1:19" s="5" customFormat="1" ht="14.25" hidden="1" customHeight="1" thickBot="1">
      <c r="A63" s="212"/>
      <c r="B63" s="271"/>
      <c r="C63" s="780" t="s">
        <v>574</v>
      </c>
      <c r="D63" s="780"/>
      <c r="E63" s="778" t="s">
        <v>298</v>
      </c>
      <c r="F63" s="779"/>
      <c r="G63" s="768">
        <f>'Subaward Calculator'!B11</f>
        <v>0</v>
      </c>
      <c r="H63" s="769"/>
      <c r="I63" s="770"/>
      <c r="J63" s="299">
        <f>IF('BP1'!K63&lt;25000,25000-('BP1'!K63),0)</f>
        <v>25000</v>
      </c>
      <c r="K63" s="771">
        <f>IF(AND(SUM('BP1'!K63)&gt;0,'Subaward Calculator'!AD12=0,'BP1'!K5&gt;1),'BP1'!K63,'Subaward Calculator'!J12)</f>
        <v>0</v>
      </c>
      <c r="L63" s="772"/>
      <c r="M63" s="272"/>
      <c r="N63" s="922">
        <f>IF(AND(SUM('BP1'!N63)&gt;0,'Subaward Calculator'!AF12=0,'BP1'!K5&gt;1),'BP1'!N63,'Subaward Calculator'!L12)</f>
        <v>0</v>
      </c>
      <c r="O63" s="923"/>
      <c r="P63" s="592">
        <f>'Subaward Calculator'!B12</f>
        <v>0</v>
      </c>
      <c r="Q63" s="397"/>
      <c r="R63" s="136" t="s">
        <v>228</v>
      </c>
      <c r="S63" s="71"/>
    </row>
    <row r="64" spans="1:19" s="5" customFormat="1" ht="14.25" hidden="1" customHeight="1" thickBot="1">
      <c r="A64" s="170"/>
      <c r="B64" s="241"/>
      <c r="C64" s="780" t="s">
        <v>575</v>
      </c>
      <c r="D64" s="780"/>
      <c r="E64" s="778" t="s">
        <v>298</v>
      </c>
      <c r="F64" s="779"/>
      <c r="G64" s="768">
        <f>'Subaward Calculator'!B14</f>
        <v>0</v>
      </c>
      <c r="H64" s="769"/>
      <c r="I64" s="770"/>
      <c r="J64" s="299">
        <f>IF('BP1'!K64&lt;25000,25000-('BP1'!K64),0)</f>
        <v>25000</v>
      </c>
      <c r="K64" s="771">
        <f>IF(AND(SUM('BP1'!K64)&gt;0,'Subaward Calculator'!AD15=0,'BP1'!K5&gt;1),'BP1'!K64,'Subaward Calculator'!J15)</f>
        <v>0</v>
      </c>
      <c r="L64" s="772"/>
      <c r="M64" s="272"/>
      <c r="N64" s="922">
        <f>IF(AND(SUM('BP1'!N64)&gt;0,'Subaward Calculator'!AF15=0,'BP1'!K5&gt;1),'BP1'!N64,'Subaward Calculator'!L15)</f>
        <v>0</v>
      </c>
      <c r="O64" s="923"/>
      <c r="P64" s="592">
        <f>'Subaward Calculator'!B15</f>
        <v>0</v>
      </c>
      <c r="Q64" s="397"/>
      <c r="R64" s="136" t="s">
        <v>228</v>
      </c>
      <c r="S64" s="71"/>
    </row>
    <row r="65" spans="1:19" s="5" customFormat="1" ht="14.25" hidden="1" customHeight="1" thickBot="1">
      <c r="A65" s="170"/>
      <c r="B65" s="241"/>
      <c r="C65" s="780" t="s">
        <v>576</v>
      </c>
      <c r="D65" s="780"/>
      <c r="E65" s="778" t="s">
        <v>298</v>
      </c>
      <c r="F65" s="779"/>
      <c r="G65" s="768">
        <f>'Subaward Calculator'!B17</f>
        <v>0</v>
      </c>
      <c r="H65" s="769"/>
      <c r="I65" s="770"/>
      <c r="J65" s="299">
        <f>IF('BP1'!$K$65&lt;25000,25000-('BP1'!$K$65),0)</f>
        <v>25000</v>
      </c>
      <c r="K65" s="771">
        <f>IF(AND(SUM('BP1'!K65)&gt;0,'Subaward Calculator'!AD18=0,'BP1'!K5&gt;1),'BP1'!K65,'Subaward Calculator'!J18)</f>
        <v>0</v>
      </c>
      <c r="L65" s="772"/>
      <c r="M65" s="272"/>
      <c r="N65" s="922">
        <f>IF(AND(SUM('BP1'!N65)&gt;0,'Subaward Calculator'!AF18=0,'BP1'!K5&gt;1),'BP1'!N65,'Subaward Calculator'!L18)</f>
        <v>0</v>
      </c>
      <c r="O65" s="923"/>
      <c r="P65" s="592">
        <f>'Subaward Calculator'!B18</f>
        <v>0</v>
      </c>
      <c r="Q65" s="397"/>
      <c r="R65" s="136" t="s">
        <v>228</v>
      </c>
      <c r="S65" s="71"/>
    </row>
    <row r="66" spans="1:19" s="5" customFormat="1" ht="14.25" hidden="1" customHeight="1" thickBot="1">
      <c r="A66" s="170"/>
      <c r="B66" s="241"/>
      <c r="C66" s="780" t="s">
        <v>577</v>
      </c>
      <c r="D66" s="780"/>
      <c r="E66" s="778" t="s">
        <v>298</v>
      </c>
      <c r="F66" s="779"/>
      <c r="G66" s="768">
        <f>'Subaward Calculator'!B20</f>
        <v>0</v>
      </c>
      <c r="H66" s="769"/>
      <c r="I66" s="770"/>
      <c r="J66" s="299">
        <f>IF('BP1'!$K$66&lt;25000,25000-('BP1'!$K$66),0)</f>
        <v>25000</v>
      </c>
      <c r="K66" s="771">
        <f>IF(AND(SUM('BP1'!K66)&gt;0,'Subaward Calculator'!AD21=0,'BP1'!K5&gt;1),'BP1'!K66,'Subaward Calculator'!J21)</f>
        <v>0</v>
      </c>
      <c r="L66" s="772"/>
      <c r="M66" s="272"/>
      <c r="N66" s="922">
        <f>IF(AND(SUM('BP1'!N66)&gt;0,'Subaward Calculator'!AF21=0,'BP1'!K5&gt;1),'BP1'!N66,'Subaward Calculator'!L21)</f>
        <v>0</v>
      </c>
      <c r="O66" s="923"/>
      <c r="P66" s="592">
        <f>'Subaward Calculator'!B21</f>
        <v>0</v>
      </c>
      <c r="Q66" s="397"/>
      <c r="R66" s="136" t="s">
        <v>228</v>
      </c>
      <c r="S66" s="71"/>
    </row>
    <row r="67" spans="1:19" s="5" customFormat="1" ht="14.25" hidden="1" customHeight="1" thickBot="1">
      <c r="A67" s="170"/>
      <c r="B67" s="241"/>
      <c r="C67" s="780" t="s">
        <v>578</v>
      </c>
      <c r="D67" s="780"/>
      <c r="E67" s="778" t="s">
        <v>298</v>
      </c>
      <c r="F67" s="779"/>
      <c r="G67" s="768">
        <f>'Subaward Calculator'!B23</f>
        <v>0</v>
      </c>
      <c r="H67" s="769"/>
      <c r="I67" s="770"/>
      <c r="J67" s="299">
        <f>IF('BP1'!$K$67&lt;25000,25000-('BP1'!$K$67),0)</f>
        <v>25000</v>
      </c>
      <c r="K67" s="771">
        <f>IF(AND(SUM('BP1'!K67)&gt;0,'Subaward Calculator'!AD24=0,'BP1'!K5&gt;1),'BP1'!K67,'Subaward Calculator'!J24)</f>
        <v>0</v>
      </c>
      <c r="L67" s="772"/>
      <c r="M67" s="272"/>
      <c r="N67" s="922">
        <f>IF(AND(SUM('BP1'!N67)&gt;0,'Subaward Calculator'!AF24=0,'BP1'!K5&gt;1),'BP1'!N67,'Subaward Calculator'!L24)</f>
        <v>0</v>
      </c>
      <c r="O67" s="923"/>
      <c r="P67" s="592">
        <f>'Subaward Calculator'!B24</f>
        <v>0</v>
      </c>
      <c r="Q67" s="397"/>
      <c r="R67" s="136" t="s">
        <v>228</v>
      </c>
      <c r="S67" s="71"/>
    </row>
    <row r="68" spans="1:19" s="5" customFormat="1" ht="14.25" hidden="1" customHeight="1" thickBot="1">
      <c r="A68" s="170"/>
      <c r="B68" s="241"/>
      <c r="C68" s="780" t="s">
        <v>579</v>
      </c>
      <c r="D68" s="780"/>
      <c r="E68" s="778" t="s">
        <v>298</v>
      </c>
      <c r="F68" s="779"/>
      <c r="G68" s="768">
        <f>'Subaward Calculator'!B26</f>
        <v>0</v>
      </c>
      <c r="H68" s="769"/>
      <c r="I68" s="770"/>
      <c r="J68" s="299">
        <f>IF('BP1'!$K$68&lt;25000,25000-('BP1'!$K$68),0)</f>
        <v>25000</v>
      </c>
      <c r="K68" s="771">
        <f>IF(AND(SUM('BP1'!K68)&gt;0,'Subaward Calculator'!AD27=0,'BP1'!K5&gt;1),'BP1'!K68,'Subaward Calculator'!J27)</f>
        <v>0</v>
      </c>
      <c r="L68" s="772"/>
      <c r="M68" s="272"/>
      <c r="N68" s="922">
        <f>IF(AND(SUM('BP1'!N68)&gt;0,'Subaward Calculator'!AF27=0,'BP1'!K5&gt;1),'BP1'!N68,'Subaward Calculator'!L27)</f>
        <v>0</v>
      </c>
      <c r="O68" s="923"/>
      <c r="P68" s="592">
        <f>'Subaward Calculator'!B27</f>
        <v>0</v>
      </c>
      <c r="Q68" s="397"/>
      <c r="R68" s="136" t="s">
        <v>229</v>
      </c>
      <c r="S68" s="71"/>
    </row>
    <row r="69" spans="1:19" s="5" customFormat="1" ht="14.25" hidden="1" customHeight="1" thickBot="1">
      <c r="A69" s="170"/>
      <c r="B69" s="241"/>
      <c r="C69" s="780" t="s">
        <v>580</v>
      </c>
      <c r="D69" s="780"/>
      <c r="E69" s="778" t="s">
        <v>298</v>
      </c>
      <c r="F69" s="779"/>
      <c r="G69" s="768">
        <f>'Subaward Calculator'!B29</f>
        <v>0</v>
      </c>
      <c r="H69" s="769"/>
      <c r="I69" s="770"/>
      <c r="J69" s="299">
        <f>IF('BP1'!$K$69&lt;25000,25000-('BP1'!$K$69),0)</f>
        <v>25000</v>
      </c>
      <c r="K69" s="771">
        <f>IF(AND(SUM('BP1'!K69)&gt;0,'Subaward Calculator'!AD30=0,'BP1'!K5&gt;1),'BP1'!K69,'Subaward Calculator'!J30)</f>
        <v>0</v>
      </c>
      <c r="L69" s="772"/>
      <c r="M69" s="272"/>
      <c r="N69" s="922">
        <f>IF(AND(SUM('BP1'!N69)&gt;0,'Subaward Calculator'!AF30=0,'BP1'!K5&gt;1),'BP1'!N69,'Subaward Calculator'!L30)</f>
        <v>0</v>
      </c>
      <c r="O69" s="923"/>
      <c r="P69" s="592">
        <f>'Subaward Calculator'!B30</f>
        <v>0</v>
      </c>
      <c r="Q69" s="397"/>
      <c r="R69" s="136" t="s">
        <v>229</v>
      </c>
      <c r="S69" s="71"/>
    </row>
    <row r="70" spans="1:19" s="5" customFormat="1" ht="14.25" hidden="1" customHeight="1" thickBot="1">
      <c r="A70" s="170"/>
      <c r="B70" s="241"/>
      <c r="C70" s="780" t="s">
        <v>581</v>
      </c>
      <c r="D70" s="780"/>
      <c r="E70" s="778" t="s">
        <v>298</v>
      </c>
      <c r="F70" s="779"/>
      <c r="G70" s="768">
        <f>'Subaward Calculator'!B32</f>
        <v>0</v>
      </c>
      <c r="H70" s="769"/>
      <c r="I70" s="770"/>
      <c r="J70" s="299">
        <f>IF('BP1'!$K$70&lt;25000,25000-('BP1'!$K$70),0)</f>
        <v>25000</v>
      </c>
      <c r="K70" s="771">
        <f>IF(AND(SUM('BP1'!K70)&gt;0,'Subaward Calculator'!AD33=0,'BP1'!K5&gt;1),'BP1'!K70,'Subaward Calculator'!J33)</f>
        <v>0</v>
      </c>
      <c r="L70" s="772"/>
      <c r="M70" s="272"/>
      <c r="N70" s="922">
        <f>IF(AND(SUM('BP1'!N70)&gt;0,'Subaward Calculator'!AF33=0,'BP1'!K5&gt;1),'BP1'!N70,'Subaward Calculator'!L33)</f>
        <v>0</v>
      </c>
      <c r="O70" s="923"/>
      <c r="P70" s="592">
        <f>'Subaward Calculator'!B33</f>
        <v>0</v>
      </c>
      <c r="Q70" s="397"/>
      <c r="R70" s="136" t="s">
        <v>229</v>
      </c>
      <c r="S70" s="71"/>
    </row>
    <row r="71" spans="1:19" s="5" customFormat="1" ht="14.25" hidden="1" customHeight="1" thickBot="1">
      <c r="A71" s="170"/>
      <c r="B71" s="241"/>
      <c r="C71" s="780" t="s">
        <v>582</v>
      </c>
      <c r="D71" s="780"/>
      <c r="E71" s="778" t="s">
        <v>298</v>
      </c>
      <c r="F71" s="779"/>
      <c r="G71" s="768">
        <f>'Subaward Calculator'!B35</f>
        <v>0</v>
      </c>
      <c r="H71" s="769"/>
      <c r="I71" s="770"/>
      <c r="J71" s="299">
        <f>IF('BP1'!$K$71&lt;25000,25000-('BP1'!$K$71),0)</f>
        <v>25000</v>
      </c>
      <c r="K71" s="771">
        <f>IF(AND(SUM('BP1'!K71)&gt;0,'Subaward Calculator'!AD36=0,'BP1'!K5&gt;1),'BP1'!K71,'Subaward Calculator'!J36)</f>
        <v>0</v>
      </c>
      <c r="L71" s="772"/>
      <c r="M71" s="272"/>
      <c r="N71" s="922">
        <f>IF(AND(SUM('BP1'!N71)&gt;0,'Subaward Calculator'!AF36=0,'BP1'!K5&gt;1),'BP1'!N71,'Subaward Calculator'!L36)</f>
        <v>0</v>
      </c>
      <c r="O71" s="923"/>
      <c r="P71" s="592">
        <f>'Subaward Calculator'!B36</f>
        <v>0</v>
      </c>
      <c r="Q71" s="397"/>
      <c r="R71" s="136" t="s">
        <v>229</v>
      </c>
      <c r="S71" s="71"/>
    </row>
    <row r="72" spans="1:19" s="5" customFormat="1" ht="14.25" hidden="1" customHeight="1" thickBot="1">
      <c r="A72" s="170"/>
      <c r="B72" s="241"/>
      <c r="C72" s="780" t="s">
        <v>583</v>
      </c>
      <c r="D72" s="780"/>
      <c r="E72" s="778" t="s">
        <v>298</v>
      </c>
      <c r="F72" s="779"/>
      <c r="G72" s="768">
        <f>'Subaward Calculator'!B38</f>
        <v>0</v>
      </c>
      <c r="H72" s="769"/>
      <c r="I72" s="770"/>
      <c r="J72" s="299">
        <f>IF('BP1'!$K$72&lt;25000,25000-('BP1'!$K$72),0)</f>
        <v>25000</v>
      </c>
      <c r="K72" s="771">
        <f>IF(AND(SUM('BP1'!K72)&gt;0,'Subaward Calculator'!AD39=0,'BP1'!K5&gt;1),'BP1'!K72,'Subaward Calculator'!J39)</f>
        <v>0</v>
      </c>
      <c r="L72" s="772"/>
      <c r="M72" s="272"/>
      <c r="N72" s="922">
        <f>IF(AND(SUM('BP1'!N72)&gt;0,'Subaward Calculator'!AF39=0,'BP1'!K5&gt;1),'BP1'!N72,'Subaward Calculator'!L39)</f>
        <v>0</v>
      </c>
      <c r="O72" s="923"/>
      <c r="P72" s="592">
        <f>'Subaward Calculator'!B39</f>
        <v>0</v>
      </c>
      <c r="Q72" s="397"/>
      <c r="R72" s="136" t="s">
        <v>229</v>
      </c>
      <c r="S72" s="71"/>
    </row>
    <row r="73" spans="1:19" s="5" customFormat="1" ht="14.25" hidden="1" customHeight="1" thickBot="1">
      <c r="A73" s="170"/>
      <c r="B73" s="241"/>
      <c r="C73" s="780" t="s">
        <v>584</v>
      </c>
      <c r="D73" s="780"/>
      <c r="E73" s="778" t="s">
        <v>298</v>
      </c>
      <c r="F73" s="779"/>
      <c r="G73" s="768">
        <f>'Subaward Calculator'!B41</f>
        <v>0</v>
      </c>
      <c r="H73" s="769"/>
      <c r="I73" s="770"/>
      <c r="J73" s="299">
        <f>IF('BP1'!$K$73&lt;25000,25000-('BP1'!$K$73),0)</f>
        <v>25000</v>
      </c>
      <c r="K73" s="771">
        <f>IF(AND(SUM('BP1'!K73)&gt;0,'Subaward Calculator'!AD42=0,'BP1'!K5&gt;1),'BP1'!K73,'Subaward Calculator'!J42)</f>
        <v>0</v>
      </c>
      <c r="L73" s="772"/>
      <c r="M73" s="272"/>
      <c r="N73" s="922">
        <f>IF(AND(SUM('BP1'!N73)&gt;0,'Subaward Calculator'!AF42=0,'BP1'!K5&gt;1),'BP1'!N73,'Subaward Calculator'!L42)</f>
        <v>0</v>
      </c>
      <c r="O73" s="923"/>
      <c r="P73" s="592">
        <f>'Subaward Calculator'!B42</f>
        <v>0</v>
      </c>
      <c r="Q73" s="397"/>
      <c r="R73" s="136" t="s">
        <v>229</v>
      </c>
      <c r="S73" s="71"/>
    </row>
    <row r="74" spans="1:19" s="5" customFormat="1" ht="14.25" customHeight="1" thickBot="1">
      <c r="A74" s="212" t="s">
        <v>96</v>
      </c>
      <c r="B74" s="171"/>
      <c r="C74" s="171"/>
      <c r="D74" s="174"/>
      <c r="E74" s="175"/>
      <c r="F74" s="175"/>
      <c r="G74" s="175"/>
      <c r="H74" s="171"/>
      <c r="I74" s="173"/>
      <c r="J74" s="171"/>
      <c r="K74" s="852">
        <f>IF($A$5&lt;=$K$5,SUM(K55:$K$73),0)</f>
        <v>0</v>
      </c>
      <c r="L74" s="853"/>
      <c r="M74" s="272"/>
      <c r="N74" s="867">
        <f>SUM(N55:N73)</f>
        <v>0</v>
      </c>
      <c r="O74" s="893"/>
      <c r="R74" s="136" t="s">
        <v>225</v>
      </c>
    </row>
    <row r="75" spans="1:19" s="5" customFormat="1" ht="14.25" customHeight="1" thickBot="1">
      <c r="A75" s="212" t="s">
        <v>589</v>
      </c>
      <c r="B75" s="171"/>
      <c r="C75" s="171"/>
      <c r="D75" s="172"/>
      <c r="E75" s="172"/>
      <c r="F75" s="172"/>
      <c r="G75" s="172"/>
      <c r="H75" s="171"/>
      <c r="I75" s="173"/>
      <c r="J75" s="171"/>
      <c r="K75" s="852">
        <f>IF($A$5&lt;=$K$5,SUM(K43+K50+K53+$K$74),0)</f>
        <v>0</v>
      </c>
      <c r="L75" s="853"/>
      <c r="M75" s="272"/>
      <c r="N75" s="867">
        <f ca="1">SUM(N43+N50+N53+N74)</f>
        <v>0</v>
      </c>
      <c r="O75" s="893"/>
      <c r="R75" s="136" t="s">
        <v>225</v>
      </c>
    </row>
    <row r="76" spans="1:19" s="5" customFormat="1" ht="14.25" customHeight="1" thickBot="1">
      <c r="A76" s="212" t="str">
        <f>IF('Appendix C-Grants.gov Form Info'!J1&gt;0,IF(AND(SUM(K62:K73)&gt;0,'Subaward Calculator'!AD46=0),"","     Total NU Direct Costs and Subaward Direct Costs"),"")</f>
        <v/>
      </c>
      <c r="B76" s="171"/>
      <c r="C76" s="171"/>
      <c r="D76" s="172"/>
      <c r="E76" s="172"/>
      <c r="F76" s="172"/>
      <c r="G76" s="172"/>
      <c r="H76" s="171"/>
      <c r="I76" s="173"/>
      <c r="J76" s="171"/>
      <c r="K76" s="852" t="str">
        <f>IF('Appendix C-Grants.gov Form Info'!J1&gt;0,IF(AND(SUM(K62:K73)&gt;0,'Subaward Calculator'!AD46=0),"",IF($A$5&lt;=$K$5,SUM(K43+K50+K53+$K$74),0)-'Subaward Calculator'!J46+'Subaward Calculator'!J44),"")</f>
        <v/>
      </c>
      <c r="L76" s="853"/>
      <c r="M76" s="272"/>
      <c r="N76" s="6"/>
      <c r="O76" s="97"/>
      <c r="P76" s="4"/>
      <c r="Q76" s="4"/>
      <c r="R76" s="136" t="s">
        <v>225</v>
      </c>
    </row>
    <row r="77" spans="1:19" s="5" customFormat="1" ht="14.25" customHeight="1">
      <c r="A77" s="448"/>
      <c r="B77" s="449"/>
      <c r="C77" s="449"/>
      <c r="D77" s="449"/>
      <c r="E77" s="233"/>
      <c r="F77" s="450" t="str">
        <f>IF(OR($L$2="No F&amp;A",$L$2="Custom"),"","Current Fiscal Year Base Rate =")</f>
        <v>Current Fiscal Year Base Rate =</v>
      </c>
      <c r="G77" s="916">
        <f>IF($L$2="No F&amp;A",$L$2,IF($L$2="Custom","Enter Custom Rate:",(VLOOKUP((IF($K$8&gt;=DATE(YEAR($K$8),9,1),DATE(YEAR($K$8),9,1),DATE(YEAR($K$8)-1,9,1))),Lists!A:Q,(MATCH('BP1'!$K$2&amp;" "&amp;'BP1'!$L$2,Lists!$M$1:$Q$1,0)+12),1))))</f>
        <v>0.57999999999999996</v>
      </c>
      <c r="H77" s="916"/>
      <c r="I77" s="856">
        <f ca="1">INDIRECT("BP"&amp;$A$5-1&amp;"!I77")</f>
        <v>0.1</v>
      </c>
      <c r="J77" s="857"/>
      <c r="K77" s="453"/>
      <c r="L77" s="65"/>
      <c r="M77" s="272"/>
      <c r="N77" s="283"/>
      <c r="O77" s="284"/>
      <c r="R77" s="136" t="s">
        <v>225</v>
      </c>
    </row>
    <row r="78" spans="1:19" s="5" customFormat="1" ht="14.25" customHeight="1" thickBot="1">
      <c r="A78" s="894" t="str">
        <f>IF(K3="MTDC","Modified Total Direct Costs (MTDC) Base =","Total Direct Costs (TDC) Base =")</f>
        <v>Modified Total Direct Costs (MTDC) Base =</v>
      </c>
      <c r="B78" s="895"/>
      <c r="C78" s="895"/>
      <c r="D78" s="895"/>
      <c r="E78" s="895"/>
      <c r="F78" s="895"/>
      <c r="G78" s="562">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68"/>
      <c r="I78" s="168"/>
      <c r="J78" s="288"/>
      <c r="K78" s="453"/>
      <c r="L78" s="454"/>
      <c r="M78" s="272"/>
      <c r="N78" s="899" t="s">
        <v>295</v>
      </c>
      <c r="O78" s="899"/>
      <c r="R78" s="136" t="s">
        <v>225</v>
      </c>
    </row>
    <row r="79" spans="1:19" s="5" customFormat="1" ht="14.25" customHeight="1" thickBot="1">
      <c r="A79" s="896">
        <f ca="1">IF(K3="MTDC",IF(G79&gt;0,"Modified Total Direct Costs (MTDC) Cost-Share Base =",),IF(G79&gt;0,"Total Direct Costs (TDC) Cost-Share Base =",))</f>
        <v>0</v>
      </c>
      <c r="B79" s="897"/>
      <c r="C79" s="897"/>
      <c r="D79" s="897"/>
      <c r="E79" s="897"/>
      <c r="F79" s="897"/>
      <c r="G79" s="614">
        <f ca="1">IF(K3="MTDC",IF('BP1'!K5&gt;0,N75-N50-N59-N61-IF(N62="",0,N62)-IF(N63="",0,N63)-IF(N64="",0,N64)-IF(N65="",0,N65)-IF(N66="",0,N66)-IF(N67="",0,N67)-IF(N68="",0,N68)-IF(N69="",0,N69)-IF(N70="",0,N70)-IF(N71="",0,N71)-IF(N72="",0,N72)-IF(N73="",0,N73),0),IF('BP1'!K5&gt;0,N75,0))</f>
        <v>0</v>
      </c>
      <c r="H79" s="898" t="s">
        <v>223</v>
      </c>
      <c r="I79" s="898"/>
      <c r="J79" s="898"/>
      <c r="K79" s="852">
        <f ca="1">IF($L$2="No F&amp;A",0,(IF($L$2="Custom",I77,(AVERAGEIFS(INDIRECT(SUBSTITUTE(SUBSTITUTE(CONCATENATE($K$2,$L$2)," ",""),"-","")),StartDateList,"&gt;="&amp;(DATE(YEAR($K$8),MONTH($K$8),1)),StartDateList,"&lt;="&amp;$K$10))))*G78)</f>
        <v>0</v>
      </c>
      <c r="L79" s="853"/>
      <c r="M79" s="422"/>
      <c r="N79" s="867">
        <f ca="1">IF($L$2="No F&amp;A",0,(IF($L$2="Custom",$I$77,(AVERAGEIFS(INDIRECT(SUBSTITUTE(SUBSTITUTE(CONCATENATE($K$2,$L$2)," ",""),"-","")),StartDateList,"&gt;="&amp;(DATE(YEAR($K$8),MONTH($K$8),1)),StartDateList,"&lt;="&amp;$K$10))))*$G$79)</f>
        <v>0</v>
      </c>
      <c r="O79" s="893"/>
      <c r="R79" s="136" t="s">
        <v>225</v>
      </c>
    </row>
    <row r="80" spans="1:19" s="5" customFormat="1" ht="14.25" customHeight="1" thickBot="1">
      <c r="A80" s="212" t="s">
        <v>98</v>
      </c>
      <c r="B80" s="171"/>
      <c r="C80" s="171"/>
      <c r="D80" s="172"/>
      <c r="E80" s="172"/>
      <c r="F80" s="172"/>
      <c r="G80" s="172"/>
      <c r="H80" s="171"/>
      <c r="I80" s="173"/>
      <c r="J80" s="171"/>
      <c r="K80" s="852">
        <f>IF($A$5&lt;=$K$5,ROUND(K75,0)+ROUND(K79,0),0)</f>
        <v>0</v>
      </c>
      <c r="L80" s="853"/>
      <c r="M80" s="422"/>
      <c r="N80" s="867">
        <f ca="1">ROUND(N75,0)+ROUND(N79,0)</f>
        <v>0</v>
      </c>
      <c r="O80" s="893"/>
      <c r="R80" s="136" t="s">
        <v>225</v>
      </c>
    </row>
    <row r="81" spans="1:18" ht="14.25" customHeight="1" thickBot="1">
      <c r="M81" s="272"/>
      <c r="R81" s="136" t="s">
        <v>225</v>
      </c>
    </row>
    <row r="82" spans="1:18" ht="14.25" customHeight="1" thickBot="1">
      <c r="A82" s="212" t="s">
        <v>591</v>
      </c>
      <c r="B82" s="171"/>
      <c r="C82" s="171"/>
      <c r="D82" s="172"/>
      <c r="E82" s="172"/>
      <c r="F82" s="172"/>
      <c r="G82" s="172"/>
      <c r="H82" s="171"/>
      <c r="I82" s="173"/>
      <c r="J82" s="171"/>
      <c r="K82" s="942">
        <f>'BP1'!K75+'BP2'!K75+'BP3'!K75+'BP4'!K75+'BP5'!K75</f>
        <v>0</v>
      </c>
      <c r="L82" s="942"/>
      <c r="M82" s="272"/>
      <c r="N82" s="867">
        <f ca="1">'BP1'!N75+'BP2'!N75+'BP3'!N75+'BP4'!N75+'BP5'!N75</f>
        <v>0</v>
      </c>
      <c r="O82" s="893"/>
      <c r="R82" s="136" t="s">
        <v>225</v>
      </c>
    </row>
    <row r="83" spans="1:18"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942">
        <f>IF(AND(SUM(K62:K73)&gt;0,'Subaward Calculator'!AD46=0),"",'BP1'!K75+'BP2'!K75+'BP3'!K75+'BP4'!K75+'BP5'!K75-'Subaward Calculator'!AD46+'Subaward Calculator'!AD44)</f>
        <v>0</v>
      </c>
      <c r="L83" s="942"/>
      <c r="M83" s="272"/>
      <c r="N83" s="612"/>
      <c r="O83" s="612"/>
      <c r="R83" s="136" t="s">
        <v>225</v>
      </c>
    </row>
    <row r="84" spans="1:18" ht="14.25" customHeight="1" thickBot="1">
      <c r="A84" s="212" t="s">
        <v>471</v>
      </c>
      <c r="B84" s="171"/>
      <c r="C84" s="171"/>
      <c r="D84" s="172"/>
      <c r="E84" s="172"/>
      <c r="F84" s="172"/>
      <c r="G84" s="172"/>
      <c r="H84" s="171"/>
      <c r="I84" s="173"/>
      <c r="J84" s="171"/>
      <c r="K84" s="942">
        <f ca="1">'BP1'!K80+'BP2'!K80+'BP3'!K80+'BP4'!K80+'BP5'!K80</f>
        <v>0</v>
      </c>
      <c r="L84" s="942"/>
      <c r="M84" s="272"/>
      <c r="N84" s="867">
        <f ca="1">'BP1'!N80+'BP2'!N80+'BP3'!N80+'BP4'!N80+'BP5'!N80</f>
        <v>0</v>
      </c>
      <c r="O84" s="893"/>
      <c r="R84" s="136" t="s">
        <v>225</v>
      </c>
    </row>
    <row r="85" spans="1:18" ht="14.25" customHeight="1" thickBot="1">
      <c r="A85" s="426"/>
      <c r="B85" s="311"/>
      <c r="C85" s="311"/>
      <c r="D85" s="305"/>
      <c r="E85" s="305"/>
      <c r="F85" s="305"/>
      <c r="G85" s="305"/>
      <c r="H85" s="311"/>
      <c r="I85" s="313"/>
      <c r="J85" s="311"/>
      <c r="K85" s="427"/>
      <c r="L85" s="427"/>
      <c r="M85" s="272"/>
      <c r="N85" s="279"/>
      <c r="O85" s="279"/>
      <c r="R85" s="136" t="s">
        <v>225</v>
      </c>
    </row>
    <row r="86" spans="1:18" ht="14.25" customHeight="1" thickBot="1">
      <c r="F86" s="153"/>
      <c r="G86" s="6"/>
      <c r="H86" s="6"/>
      <c r="K86" s="878"/>
      <c r="L86" s="878"/>
      <c r="N86" s="879">
        <f>$A$5</f>
        <v>2</v>
      </c>
      <c r="O86" s="880"/>
      <c r="P86" s="940" t="s">
        <v>430</v>
      </c>
      <c r="Q86" s="941"/>
      <c r="R86" s="136" t="s">
        <v>225</v>
      </c>
    </row>
    <row r="87" spans="1:18" ht="14.25" customHeight="1" thickBot="1">
      <c r="B87" s="6"/>
      <c r="C87" s="6"/>
      <c r="D87" s="304"/>
      <c r="E87" s="304"/>
      <c r="F87" s="305"/>
      <c r="G87" s="887" t="str">
        <f ca="1">IF(('BP1'!$N$80+'BP2'!$N$80+'BP3'!$N$80+'BP4'!$N$80+'BP5'!$N$80)&gt;0,"SUBAWARD COST-SHARE","")</f>
        <v/>
      </c>
      <c r="H87" s="887"/>
      <c r="I87" s="887"/>
      <c r="J87" s="887"/>
      <c r="K87" s="887"/>
      <c r="L87" s="887"/>
      <c r="M87" s="4"/>
      <c r="N87" s="874">
        <f>SUM(N62:N73)</f>
        <v>0</v>
      </c>
      <c r="O87" s="875"/>
      <c r="P87" s="920">
        <f>'BP1'!$N$87+'BP2'!$N$87+'BP3'!$N$87+'BP4'!$N$87+'BP5'!$N$87</f>
        <v>0</v>
      </c>
      <c r="Q87" s="921">
        <f>'BP1'!Q79+'BP2'!Q79+'BP3'!Q79+'BP4'!Q79+'BP5'!Q79</f>
        <v>0</v>
      </c>
      <c r="R87" s="136" t="s">
        <v>225</v>
      </c>
    </row>
    <row r="88" spans="1:18" ht="14.25" customHeight="1" thickBot="1">
      <c r="B88" s="6"/>
      <c r="C88" s="6"/>
      <c r="D88" s="304"/>
      <c r="E88" s="304"/>
      <c r="F88" s="305"/>
      <c r="G88" s="887" t="str">
        <f ca="1">IF(('BP1'!$N$80+'BP2'!$N$80+'BP3'!$N$80+'BP4'!$N$80+'BP5'!$N$80)&gt;0,"THIRD PARTY COST-SHARE","")</f>
        <v/>
      </c>
      <c r="H88" s="887"/>
      <c r="I88" s="887"/>
      <c r="J88" s="887"/>
      <c r="K88" s="887"/>
      <c r="L88" s="887"/>
      <c r="M88" s="4"/>
      <c r="N88" s="888"/>
      <c r="O88" s="889"/>
      <c r="P88" s="920">
        <f>'BP1'!$N$88+'BP2'!$N$88+'BP3'!$N$88+'BP4'!$N$88+'BP5'!$N$88</f>
        <v>0</v>
      </c>
      <c r="Q88" s="921">
        <f>'BP1'!Q78+'BP2'!Q78+'BP3'!Q78+'BP4'!Q78+'BP5'!Q78</f>
        <v>0</v>
      </c>
      <c r="R88" s="136" t="s">
        <v>225</v>
      </c>
    </row>
    <row r="89" spans="1:18" ht="14.25" customHeight="1" thickBot="1">
      <c r="B89" s="6"/>
      <c r="C89" s="6"/>
      <c r="D89" s="304"/>
      <c r="E89" s="304"/>
      <c r="F89" s="302"/>
      <c r="G89" s="887" t="str">
        <f ca="1">IF(('BP1'!$N$80+'BP2'!$N$80+'BP3'!$N$80+'BP4'!$N$80+'BP5'!$N$80)&gt;0,"TOTAL COST-SHARED","")</f>
        <v/>
      </c>
      <c r="H89" s="887"/>
      <c r="I89" s="887"/>
      <c r="J89" s="887"/>
      <c r="K89" s="887"/>
      <c r="L89" s="887"/>
      <c r="M89" s="4"/>
      <c r="N89" s="874">
        <f ca="1">$N$80+$N$88</f>
        <v>0</v>
      </c>
      <c r="O89" s="875"/>
      <c r="P89" s="920">
        <f ca="1">'BP1'!$N$89+'BP2'!$N$89+'BP3'!$N$89+'BP4'!$N$89+'BP5'!$N$89</f>
        <v>0</v>
      </c>
      <c r="Q89" s="921">
        <f>'BP1'!Q79+'BP2'!Q79+'BP3'!Q79+'BP4'!Q79+'BP5'!Q79</f>
        <v>0</v>
      </c>
      <c r="R89" s="136" t="s">
        <v>225</v>
      </c>
    </row>
    <row r="90" spans="1:18" ht="14.25" customHeight="1" thickBot="1">
      <c r="B90" s="6"/>
      <c r="C90" s="6"/>
      <c r="D90" s="304"/>
      <c r="E90" s="304"/>
      <c r="F90" s="885" t="str">
        <f ca="1">IF(('BP1'!$N$80+'BP2'!$N$80+'BP3'!$N$80+'BP4'!$N$80+'BP5'!$N$80)&gt;0,"SPONSOR COSTS","")</f>
        <v/>
      </c>
      <c r="G90" s="885"/>
      <c r="H90" s="885"/>
      <c r="I90" s="885"/>
      <c r="J90" s="885"/>
      <c r="K90" s="885"/>
      <c r="L90" s="885"/>
      <c r="M90" s="4"/>
      <c r="N90" s="874">
        <f ca="1">IF(('BP1'!$N$80+'BP2'!$N$80+'BP3'!$N$80+'BP4'!$N$80+'BP5'!$N$80)&gt;0,$K$80,)</f>
        <v>0</v>
      </c>
      <c r="O90" s="875"/>
      <c r="P90" s="920">
        <f ca="1">'BP1'!$N$90+'BP2'!$N$90+'BP3'!$N$90+'BP4'!$N$90+'BP5'!$N$90</f>
        <v>0</v>
      </c>
      <c r="Q90" s="921">
        <f>'BP1'!Q80+'BP2'!Q80+'BP3'!Q80+'BP4'!Q80+'BP5'!Q80</f>
        <v>0</v>
      </c>
      <c r="R90" s="136" t="s">
        <v>225</v>
      </c>
    </row>
    <row r="91" spans="1:18" ht="14.25" customHeight="1" thickBot="1">
      <c r="B91" s="6"/>
      <c r="C91" s="6"/>
      <c r="D91" s="304"/>
      <c r="E91" s="304"/>
      <c r="F91" s="302"/>
      <c r="G91" s="885" t="str">
        <f ca="1">IF(('BP1'!$N$80+'BP2'!$N$80+'BP3'!$N$80+'BP4'!$N$80+'BP5'!$N$80)&gt;0,"PROJECT COSTS","")</f>
        <v/>
      </c>
      <c r="H91" s="885"/>
      <c r="I91" s="885"/>
      <c r="J91" s="885"/>
      <c r="K91" s="885"/>
      <c r="L91" s="885"/>
      <c r="M91" s="4"/>
      <c r="N91" s="874">
        <f ca="1">IF(('BP1'!$N$80+'BP2'!$N$80+'BP3'!$N$80+'BP4'!$N$80+'BP5'!$N$80)&gt;0,$N$90+$N$89,)</f>
        <v>0</v>
      </c>
      <c r="O91" s="875"/>
      <c r="P91" s="920">
        <f ca="1">'BP1'!$N$91+'BP2'!$N$91+'BP3'!$N$91+'BP4'!$N$91+'BP5'!$N$91</f>
        <v>0</v>
      </c>
      <c r="Q91" s="921">
        <f>'BP1'!Q81+'BP2'!Q81+'BP3'!Q81+'BP4'!Q81+'BP5'!Q81</f>
        <v>0</v>
      </c>
      <c r="R91" s="136" t="s">
        <v>225</v>
      </c>
    </row>
    <row r="92" spans="1:18" ht="14.25" customHeight="1" thickBot="1">
      <c r="B92" s="6"/>
      <c r="C92" s="6"/>
      <c r="D92" s="304"/>
      <c r="E92" s="304"/>
      <c r="F92" s="303"/>
      <c r="G92" s="886" t="str">
        <f ca="1">IF(('BP1'!$N$80+'BP2'!$N$80+'BP3'!$N$80+'BP4'!$N$80+'BP5'!$N$80)&gt;0,"COST-SHARE AS % OF SPONSOR COSTS","")</f>
        <v/>
      </c>
      <c r="H92" s="886"/>
      <c r="I92" s="886"/>
      <c r="J92" s="886"/>
      <c r="K92" s="886"/>
      <c r="L92" s="886"/>
      <c r="M92" s="4"/>
      <c r="N92" s="876">
        <f ca="1">IFERROR($N$89/$N$90,)</f>
        <v>0</v>
      </c>
      <c r="O92" s="877"/>
      <c r="P92" s="943">
        <f ca="1">IFERROR($P$89/$P$90,)</f>
        <v>0</v>
      </c>
      <c r="Q92" s="944"/>
      <c r="R92" s="136" t="s">
        <v>225</v>
      </c>
    </row>
    <row r="93" spans="1:18" ht="14.25" customHeight="1" thickBot="1">
      <c r="B93" s="6"/>
      <c r="C93" s="6"/>
      <c r="D93" s="304"/>
      <c r="E93" s="304"/>
      <c r="F93" s="885" t="str">
        <f ca="1">IF(('BP1'!$N$80+'BP2'!$N$80+'BP3'!$N$80+'BP4'!$N$80+'BP5'!$N$80)&gt;0,"COST-SHARE AS % OF PROJECT COSTS","")</f>
        <v/>
      </c>
      <c r="G93" s="885"/>
      <c r="H93" s="885"/>
      <c r="I93" s="885"/>
      <c r="J93" s="885"/>
      <c r="K93" s="885"/>
      <c r="L93" s="885"/>
      <c r="M93" s="4"/>
      <c r="N93" s="876">
        <f ca="1">IFERROR($N$89/$N$91,)</f>
        <v>0</v>
      </c>
      <c r="O93" s="877"/>
      <c r="P93" s="943">
        <f ca="1">IFERROR($P$89/$P$91,)</f>
        <v>0</v>
      </c>
      <c r="Q93" s="944"/>
      <c r="R93" s="136" t="s">
        <v>225</v>
      </c>
    </row>
    <row r="94" spans="1:18" ht="12.75">
      <c r="D94" s="309"/>
      <c r="E94" s="309"/>
      <c r="F94" s="309"/>
      <c r="G94" s="60"/>
      <c r="H94" s="60"/>
      <c r="I94" s="307"/>
      <c r="J94" s="308"/>
      <c r="K94" s="307"/>
      <c r="L94" s="306"/>
      <c r="M94" s="306"/>
      <c r="N94" s="307"/>
      <c r="O94" s="306"/>
    </row>
  </sheetData>
  <sheetProtection formatCells="0" formatColumns="0" formatRows="0"/>
  <autoFilter ref="R1:R93" xr:uid="{00000000-0009-0000-0000-000003000000}">
    <filterColumn colId="0">
      <filters>
        <filter val="A) Condensed"/>
      </filters>
    </filterColumn>
  </autoFilter>
  <mergeCells count="196">
    <mergeCell ref="B22:F22"/>
    <mergeCell ref="B28:F28"/>
    <mergeCell ref="A5:J6"/>
    <mergeCell ref="A30:F30"/>
    <mergeCell ref="B29:F29"/>
    <mergeCell ref="K42:L42"/>
    <mergeCell ref="B27:F27"/>
    <mergeCell ref="B45:F45"/>
    <mergeCell ref="B46:F46"/>
    <mergeCell ref="H8:J9"/>
    <mergeCell ref="H10:J11"/>
    <mergeCell ref="K10:L11"/>
    <mergeCell ref="E11:G11"/>
    <mergeCell ref="N41:O41"/>
    <mergeCell ref="N48:O48"/>
    <mergeCell ref="N49:O49"/>
    <mergeCell ref="N50:O50"/>
    <mergeCell ref="N51:O51"/>
    <mergeCell ref="B48:F48"/>
    <mergeCell ref="C56:J56"/>
    <mergeCell ref="K56:L56"/>
    <mergeCell ref="K59:L59"/>
    <mergeCell ref="K58:L58"/>
    <mergeCell ref="N53:O53"/>
    <mergeCell ref="N55:O55"/>
    <mergeCell ref="K57:L57"/>
    <mergeCell ref="H51:J51"/>
    <mergeCell ref="H52:J52"/>
    <mergeCell ref="K41:L41"/>
    <mergeCell ref="K45:L45"/>
    <mergeCell ref="K48:L48"/>
    <mergeCell ref="K46:L46"/>
    <mergeCell ref="K47:L47"/>
    <mergeCell ref="K52:L52"/>
    <mergeCell ref="K49:L49"/>
    <mergeCell ref="K55:L55"/>
    <mergeCell ref="K50:L50"/>
    <mergeCell ref="M1:O9"/>
    <mergeCell ref="G12:G14"/>
    <mergeCell ref="N12:O13"/>
    <mergeCell ref="B19:F19"/>
    <mergeCell ref="B24:F24"/>
    <mergeCell ref="M10:O11"/>
    <mergeCell ref="B20:F20"/>
    <mergeCell ref="N42:O42"/>
    <mergeCell ref="H12:J12"/>
    <mergeCell ref="H13:J13"/>
    <mergeCell ref="K5:L5"/>
    <mergeCell ref="K6:L6"/>
    <mergeCell ref="A11:D11"/>
    <mergeCell ref="K7:L7"/>
    <mergeCell ref="A1:J4"/>
    <mergeCell ref="K1:L1"/>
    <mergeCell ref="B16:F16"/>
    <mergeCell ref="B26:F26"/>
    <mergeCell ref="E9:G9"/>
    <mergeCell ref="B15:F15"/>
    <mergeCell ref="B18:F18"/>
    <mergeCell ref="B17:F17"/>
    <mergeCell ref="B21:F21"/>
    <mergeCell ref="B23:F23"/>
    <mergeCell ref="P93:Q93"/>
    <mergeCell ref="N88:O88"/>
    <mergeCell ref="F90:L90"/>
    <mergeCell ref="F93:L93"/>
    <mergeCell ref="N89:O89"/>
    <mergeCell ref="N90:O90"/>
    <mergeCell ref="N91:O91"/>
    <mergeCell ref="N92:O92"/>
    <mergeCell ref="N93:O93"/>
    <mergeCell ref="P91:Q91"/>
    <mergeCell ref="P92:Q92"/>
    <mergeCell ref="G91:L91"/>
    <mergeCell ref="G92:L92"/>
    <mergeCell ref="G88:L88"/>
    <mergeCell ref="G89:L89"/>
    <mergeCell ref="N86:O86"/>
    <mergeCell ref="P86:Q86"/>
    <mergeCell ref="P88:Q88"/>
    <mergeCell ref="P89:Q89"/>
    <mergeCell ref="P90:Q90"/>
    <mergeCell ref="A78:F78"/>
    <mergeCell ref="A79:F79"/>
    <mergeCell ref="H79:J79"/>
    <mergeCell ref="N84:O84"/>
    <mergeCell ref="N82:O82"/>
    <mergeCell ref="K84:L84"/>
    <mergeCell ref="K82:L82"/>
    <mergeCell ref="K86:L86"/>
    <mergeCell ref="K83:L83"/>
    <mergeCell ref="K80:L80"/>
    <mergeCell ref="K79:L79"/>
    <mergeCell ref="N71:O71"/>
    <mergeCell ref="N72:O72"/>
    <mergeCell ref="N73:O73"/>
    <mergeCell ref="N52:O52"/>
    <mergeCell ref="N43:O43"/>
    <mergeCell ref="N45:O45"/>
    <mergeCell ref="N46:O46"/>
    <mergeCell ref="N47:O47"/>
    <mergeCell ref="N56:O56"/>
    <mergeCell ref="N57:O57"/>
    <mergeCell ref="N58:O58"/>
    <mergeCell ref="N64:O64"/>
    <mergeCell ref="N65:O65"/>
    <mergeCell ref="N59:O59"/>
    <mergeCell ref="N60:O60"/>
    <mergeCell ref="N61:O61"/>
    <mergeCell ref="K53:L53"/>
    <mergeCell ref="C55:J55"/>
    <mergeCell ref="K4:L4"/>
    <mergeCell ref="K3:L3"/>
    <mergeCell ref="K12:L13"/>
    <mergeCell ref="K8:L9"/>
    <mergeCell ref="B25:F25"/>
    <mergeCell ref="A9:D9"/>
    <mergeCell ref="K76:L76"/>
    <mergeCell ref="K74:L74"/>
    <mergeCell ref="K75:L75"/>
    <mergeCell ref="E71:F71"/>
    <mergeCell ref="G71:I71"/>
    <mergeCell ref="C57:J57"/>
    <mergeCell ref="K62:L62"/>
    <mergeCell ref="G72:I72"/>
    <mergeCell ref="G62:I62"/>
    <mergeCell ref="E62:F62"/>
    <mergeCell ref="C62:D62"/>
    <mergeCell ref="B47:F47"/>
    <mergeCell ref="C61:J61"/>
    <mergeCell ref="B49:F49"/>
    <mergeCell ref="K43:L43"/>
    <mergeCell ref="K51:L51"/>
    <mergeCell ref="K63:L63"/>
    <mergeCell ref="K64:L64"/>
    <mergeCell ref="C63:D63"/>
    <mergeCell ref="E65:F65"/>
    <mergeCell ref="K61:L61"/>
    <mergeCell ref="E63:F63"/>
    <mergeCell ref="G65:I65"/>
    <mergeCell ref="E66:F66"/>
    <mergeCell ref="G66:I66"/>
    <mergeCell ref="H53:J53"/>
    <mergeCell ref="C70:D70"/>
    <mergeCell ref="C71:D71"/>
    <mergeCell ref="C72:D72"/>
    <mergeCell ref="C67:D67"/>
    <mergeCell ref="C68:D68"/>
    <mergeCell ref="C69:D69"/>
    <mergeCell ref="G67:I67"/>
    <mergeCell ref="E68:F68"/>
    <mergeCell ref="G68:I68"/>
    <mergeCell ref="E69:F69"/>
    <mergeCell ref="G69:I69"/>
    <mergeCell ref="C58:J58"/>
    <mergeCell ref="C59:J59"/>
    <mergeCell ref="C60:J60"/>
    <mergeCell ref="C64:D64"/>
    <mergeCell ref="C65:D65"/>
    <mergeCell ref="C66:D66"/>
    <mergeCell ref="C73:D73"/>
    <mergeCell ref="E72:F72"/>
    <mergeCell ref="E73:F73"/>
    <mergeCell ref="E70:F70"/>
    <mergeCell ref="G70:I70"/>
    <mergeCell ref="E64:F64"/>
    <mergeCell ref="G64:I64"/>
    <mergeCell ref="K70:L70"/>
    <mergeCell ref="K71:L71"/>
    <mergeCell ref="K73:L73"/>
    <mergeCell ref="G73:I73"/>
    <mergeCell ref="E67:F67"/>
    <mergeCell ref="K65:L65"/>
    <mergeCell ref="G77:H77"/>
    <mergeCell ref="K60:L60"/>
    <mergeCell ref="G63:I63"/>
    <mergeCell ref="G87:L87"/>
    <mergeCell ref="N87:O87"/>
    <mergeCell ref="P87:Q87"/>
    <mergeCell ref="I77:J77"/>
    <mergeCell ref="N75:O75"/>
    <mergeCell ref="N78:O78"/>
    <mergeCell ref="N79:O79"/>
    <mergeCell ref="N80:O80"/>
    <mergeCell ref="K68:L68"/>
    <mergeCell ref="K69:L69"/>
    <mergeCell ref="N66:O66"/>
    <mergeCell ref="N67:O67"/>
    <mergeCell ref="N68:O68"/>
    <mergeCell ref="N69:O69"/>
    <mergeCell ref="N70:O70"/>
    <mergeCell ref="K72:L72"/>
    <mergeCell ref="K66:L66"/>
    <mergeCell ref="K67:L67"/>
    <mergeCell ref="N74:O74"/>
    <mergeCell ref="N62:O62"/>
    <mergeCell ref="N63:O63"/>
  </mergeCells>
  <phoneticPr fontId="10" type="noConversion"/>
  <conditionalFormatting sqref="Q15:Q29">
    <cfRule type="cellIs" dxfId="20" priority="6" operator="greaterThan">
      <formula>0</formula>
    </cfRule>
  </conditionalFormatting>
  <conditionalFormatting sqref="I77:J77">
    <cfRule type="expression" dxfId="19" priority="4">
      <formula>$L$2&lt;&gt;"Custom"</formula>
    </cfRule>
    <cfRule type="expression" dxfId="18" priority="5">
      <formula>$L$2="Custom"</formula>
    </cfRule>
  </conditionalFormatting>
  <conditionalFormatting sqref="P87:Q93">
    <cfRule type="expression" dxfId="17" priority="2">
      <formula>$N$80&gt;0</formula>
    </cfRule>
  </conditionalFormatting>
  <conditionalFormatting sqref="P86:Q86">
    <cfRule type="expression" dxfId="16" priority="1">
      <formula>$N$80&gt;1</formula>
    </cfRule>
  </conditionalFormatting>
  <dataValidations count="3">
    <dataValidation errorStyle="warning" allowBlank="1" showInputMessage="1" sqref="K7" xr:uid="{00000000-0002-0000-0300-000000000000}"/>
    <dataValidation allowBlank="1" showErrorMessage="1" sqref="K2:K3 L2" xr:uid="{00000000-0002-0000-0300-000001000000}"/>
    <dataValidation type="whole" allowBlank="1" showInputMessage="1" showErrorMessage="1" sqref="A5:J6" xr:uid="{00000000-0002-0000-03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A15:O16 A53:O61 A51:F52 H51:J52 A41:O50 A34:A37 C34:F37 A32:F33 A38:F40 H32:O40 L51:M51 L52:M52 K51 K52 N52:O52 N51:O51 A85:O86 H78:O78 H79:O79 A88:F88 H88:O88 A90:O91 A89:F89 H89:M89 A93:E93 A92:G92 H92:O92 G93:O93 A11 A77:H77 J77:O77 A81:O81 B82:M82 A74:O74 A73:B73 J62:J73 L62:M62 M63:M73 G62:I73 B80:O80 B75:J75 L75:O75 A62:B62 D62:F62 A63:B63 D63:F63 A64:B64 D64:F64 A65:B65 D65:F65 A66:B66 D66:F66 A67:B67 D67:F67 A68:B68 D68:F68 A69:B69 D69:F69 A70:B70 D70:F70 A71:B71 D71:F71 A72:B72 D72:F72 D73:F73 B84:M84 O82 O84 O72 O71 O70 O69 O68 O67 O66 O65 O64 O63 O73 O62 N72 N62 N73 N63 N64 N65 N66 N67 N68 N69 N70 N71 A18:O31 A17:F17 H17:O17" unlockedFormula="1"/>
    <ignoredError sqref="G51:G52"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filterMode="1">
    <tabColor theme="4" tint="0.59999389629810485"/>
    <pageSetUpPr fitToPage="1"/>
  </sheetPr>
  <dimension ref="A1:W94"/>
  <sheetViews>
    <sheetView showGridLines="0" showZeros="0" zoomScaleNormal="100" workbookViewId="0">
      <selection activeCell="R1" sqref="R1"/>
    </sheetView>
  </sheetViews>
  <sheetFormatPr defaultColWidth="10.7109375" defaultRowHeight="12" customHeight="1"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8" width="6.85546875" customWidth="1"/>
    <col min="9" max="9" width="6.85546875" style="6" customWidth="1"/>
    <col min="10" max="10" width="6.85546875" style="137" customWidth="1"/>
    <col min="11" max="11" width="12.140625" style="6" customWidth="1"/>
    <col min="12" max="12" width="12.140625" style="97" customWidth="1"/>
    <col min="13" max="13" width="5.85546875" style="97" bestFit="1" customWidth="1" outlineLevel="1"/>
    <col min="14" max="14" width="12.140625" style="6" customWidth="1" outlineLevel="1"/>
    <col min="15" max="15" width="12.140625" style="97" customWidth="1" outlineLevel="1"/>
    <col min="16" max="17" width="14.42578125" style="4" customWidth="1"/>
    <col min="18" max="18" width="35.7109375" style="4" customWidth="1"/>
    <col min="19" max="23" width="10.7109375" style="4" customWidth="1"/>
    <col min="24" max="16384" width="10.7109375" style="1"/>
  </cols>
  <sheetData>
    <row r="1" spans="1:23" ht="14.25" customHeight="1" thickBot="1">
      <c r="A1" s="955" t="str">
        <f>'BP1'!A1:L1</f>
        <v>Title</v>
      </c>
      <c r="B1" s="956"/>
      <c r="C1" s="956"/>
      <c r="D1" s="956"/>
      <c r="E1" s="956"/>
      <c r="F1" s="956"/>
      <c r="G1" s="956"/>
      <c r="H1" s="956"/>
      <c r="I1" s="956"/>
      <c r="J1" s="957"/>
      <c r="K1" s="822" t="s">
        <v>231</v>
      </c>
      <c r="L1" s="823"/>
      <c r="M1" s="945"/>
      <c r="N1" s="945"/>
      <c r="O1" s="945"/>
      <c r="R1" s="139" t="s">
        <v>194</v>
      </c>
    </row>
    <row r="2" spans="1:23" ht="14.25" customHeight="1">
      <c r="A2" s="958"/>
      <c r="B2" s="959"/>
      <c r="C2" s="959"/>
      <c r="D2" s="959"/>
      <c r="E2" s="959"/>
      <c r="F2" s="959"/>
      <c r="G2" s="959"/>
      <c r="H2" s="959"/>
      <c r="I2" s="959"/>
      <c r="J2" s="959"/>
      <c r="K2" s="563" t="str">
        <f>'BP1'!K2</f>
        <v>Federal</v>
      </c>
      <c r="L2" s="564" t="str">
        <f>'BP1'!L2</f>
        <v>On Campus</v>
      </c>
      <c r="M2" s="945"/>
      <c r="N2" s="945"/>
      <c r="O2" s="945"/>
      <c r="R2" s="136" t="s">
        <v>225</v>
      </c>
    </row>
    <row r="3" spans="1:23" ht="14.25" customHeight="1">
      <c r="A3" s="958"/>
      <c r="B3" s="959"/>
      <c r="C3" s="959"/>
      <c r="D3" s="959"/>
      <c r="E3" s="959"/>
      <c r="F3" s="959"/>
      <c r="G3" s="959"/>
      <c r="H3" s="959"/>
      <c r="I3" s="959"/>
      <c r="J3" s="959"/>
      <c r="K3" s="925" t="str">
        <f>'BP1'!K3</f>
        <v>MTDC</v>
      </c>
      <c r="L3" s="926"/>
      <c r="M3" s="945"/>
      <c r="N3" s="945"/>
      <c r="O3" s="945"/>
      <c r="R3" s="136" t="s">
        <v>225</v>
      </c>
    </row>
    <row r="4" spans="1:23" ht="14.25" customHeight="1">
      <c r="A4" s="958"/>
      <c r="B4" s="959"/>
      <c r="C4" s="959"/>
      <c r="D4" s="959"/>
      <c r="E4" s="959"/>
      <c r="F4" s="959"/>
      <c r="G4" s="959"/>
      <c r="H4" s="959"/>
      <c r="I4" s="959"/>
      <c r="J4" s="960"/>
      <c r="K4" s="824" t="s">
        <v>452</v>
      </c>
      <c r="L4" s="825"/>
      <c r="M4" s="945"/>
      <c r="N4" s="945"/>
      <c r="O4" s="945"/>
      <c r="R4" s="136" t="s">
        <v>225</v>
      </c>
    </row>
    <row r="5" spans="1:23" ht="14.25" customHeight="1">
      <c r="A5" s="965">
        <f>'BP2'!A5+1</f>
        <v>3</v>
      </c>
      <c r="B5" s="966"/>
      <c r="C5" s="966"/>
      <c r="D5" s="966"/>
      <c r="E5" s="966"/>
      <c r="F5" s="966"/>
      <c r="G5" s="966"/>
      <c r="H5" s="966"/>
      <c r="I5" s="966"/>
      <c r="J5" s="967"/>
      <c r="K5" s="951">
        <f>'BP1'!K5</f>
        <v>1</v>
      </c>
      <c r="L5" s="952"/>
      <c r="M5" s="945"/>
      <c r="N5" s="945"/>
      <c r="O5" s="945"/>
      <c r="R5" s="136" t="s">
        <v>225</v>
      </c>
    </row>
    <row r="6" spans="1:23" ht="13.5" customHeight="1">
      <c r="A6" s="965"/>
      <c r="B6" s="966"/>
      <c r="C6" s="966"/>
      <c r="D6" s="966"/>
      <c r="E6" s="966"/>
      <c r="F6" s="966"/>
      <c r="G6" s="966"/>
      <c r="H6" s="966"/>
      <c r="I6" s="966"/>
      <c r="J6" s="967"/>
      <c r="K6" s="828" t="s">
        <v>100</v>
      </c>
      <c r="L6" s="829"/>
      <c r="M6" s="946"/>
      <c r="N6" s="945"/>
      <c r="O6" s="945"/>
      <c r="R6" s="136" t="s">
        <v>225</v>
      </c>
    </row>
    <row r="7" spans="1:23" ht="13.5" customHeight="1">
      <c r="A7" s="243"/>
      <c r="B7" s="244"/>
      <c r="C7" s="244"/>
      <c r="D7" s="245"/>
      <c r="E7" s="245"/>
      <c r="F7" s="245"/>
      <c r="G7" s="246"/>
      <c r="H7" s="244"/>
      <c r="I7" s="244"/>
      <c r="J7" s="247"/>
      <c r="K7" s="953">
        <f>'BP1'!$K$7</f>
        <v>0.03</v>
      </c>
      <c r="L7" s="954"/>
      <c r="M7" s="946"/>
      <c r="N7" s="945"/>
      <c r="O7" s="945"/>
      <c r="R7" s="136" t="s">
        <v>225</v>
      </c>
    </row>
    <row r="8" spans="1:23" ht="14.25" customHeight="1">
      <c r="A8" s="203" t="s">
        <v>206</v>
      </c>
      <c r="B8" s="204"/>
      <c r="C8" s="204"/>
      <c r="D8" s="205"/>
      <c r="E8" s="240" t="str">
        <f>'BP1'!E8</f>
        <v>Originating Sponsor</v>
      </c>
      <c r="F8" s="178"/>
      <c r="G8" s="178"/>
      <c r="H8" s="838" t="s">
        <v>521</v>
      </c>
      <c r="I8" s="838"/>
      <c r="J8" s="839"/>
      <c r="K8" s="834">
        <f>EDATE('BP2'!K10,0)+1</f>
        <v>42978</v>
      </c>
      <c r="L8" s="969"/>
      <c r="M8" s="946"/>
      <c r="N8" s="945"/>
      <c r="O8" s="945"/>
      <c r="R8" s="136" t="s">
        <v>225</v>
      </c>
    </row>
    <row r="9" spans="1:23" s="2" customFormat="1" ht="14.25" customHeight="1">
      <c r="A9" s="809" t="s">
        <v>1</v>
      </c>
      <c r="B9" s="810"/>
      <c r="C9" s="810"/>
      <c r="D9" s="810"/>
      <c r="E9" s="961">
        <f>'BP1'!E9</f>
        <v>0</v>
      </c>
      <c r="F9" s="961"/>
      <c r="G9" s="961"/>
      <c r="H9" s="840"/>
      <c r="I9" s="840"/>
      <c r="J9" s="841"/>
      <c r="K9" s="970"/>
      <c r="L9" s="971"/>
      <c r="M9" s="947"/>
      <c r="N9" s="948"/>
      <c r="O9" s="948"/>
      <c r="P9" s="5"/>
      <c r="Q9" s="5"/>
      <c r="R9" s="136" t="s">
        <v>225</v>
      </c>
      <c r="S9" s="5"/>
      <c r="T9" s="5"/>
      <c r="U9" s="5"/>
      <c r="V9" s="5"/>
      <c r="W9" s="5"/>
    </row>
    <row r="10" spans="1:23" s="2" customFormat="1" ht="14.25" customHeight="1">
      <c r="A10" s="207" t="s">
        <v>211</v>
      </c>
      <c r="B10" s="179"/>
      <c r="C10" s="179"/>
      <c r="D10" s="233"/>
      <c r="E10" s="240" t="str">
        <f>'BP1'!E10</f>
        <v>Flow-through Sponsor</v>
      </c>
      <c r="F10" s="178"/>
      <c r="G10" s="178"/>
      <c r="H10" s="838" t="s">
        <v>522</v>
      </c>
      <c r="I10" s="838"/>
      <c r="J10" s="839"/>
      <c r="K10" s="834">
        <f>EDATE(K8,12)-1</f>
        <v>43342</v>
      </c>
      <c r="L10" s="969"/>
      <c r="M10" s="847" t="s">
        <v>569</v>
      </c>
      <c r="N10" s="848"/>
      <c r="O10" s="949"/>
      <c r="P10" s="5"/>
      <c r="Q10" s="5"/>
      <c r="R10" s="136" t="s">
        <v>225</v>
      </c>
      <c r="S10" s="5"/>
      <c r="T10" s="5"/>
      <c r="U10" s="5"/>
      <c r="V10" s="5"/>
      <c r="W10" s="5"/>
    </row>
    <row r="11" spans="1:23" s="2" customFormat="1" ht="14.25" customHeight="1">
      <c r="A11" s="811" t="str">
        <f>'BP1'!A11:D11</f>
        <v>Professor McCormick</v>
      </c>
      <c r="B11" s="812"/>
      <c r="C11" s="812"/>
      <c r="D11" s="812"/>
      <c r="E11" s="961">
        <f>'BP1'!E11</f>
        <v>0</v>
      </c>
      <c r="F11" s="961"/>
      <c r="G11" s="961"/>
      <c r="H11" s="840"/>
      <c r="I11" s="840"/>
      <c r="J11" s="841"/>
      <c r="K11" s="970"/>
      <c r="L11" s="971"/>
      <c r="M11" s="849"/>
      <c r="N11" s="850"/>
      <c r="O11" s="950"/>
      <c r="P11" s="5"/>
      <c r="Q11" s="5"/>
      <c r="R11" s="136" t="s">
        <v>225</v>
      </c>
      <c r="S11" s="5"/>
      <c r="T11" s="5"/>
      <c r="U11" s="5"/>
      <c r="V11" s="5"/>
      <c r="W11" s="5"/>
    </row>
    <row r="12" spans="1:23" s="2" customFormat="1" ht="14.25" customHeight="1">
      <c r="A12" s="207" t="s">
        <v>208</v>
      </c>
      <c r="B12" s="179"/>
      <c r="C12" s="179"/>
      <c r="D12" s="180"/>
      <c r="E12" s="180"/>
      <c r="F12" s="394"/>
      <c r="G12" s="789" t="s">
        <v>915</v>
      </c>
      <c r="H12" s="792" t="s">
        <v>523</v>
      </c>
      <c r="I12" s="793"/>
      <c r="J12" s="794"/>
      <c r="K12" s="800" t="s">
        <v>35</v>
      </c>
      <c r="L12" s="801"/>
      <c r="M12" s="456" t="s">
        <v>292</v>
      </c>
      <c r="N12" s="800" t="s">
        <v>35</v>
      </c>
      <c r="O12" s="801"/>
      <c r="P12" s="5"/>
      <c r="Q12" s="5"/>
      <c r="R12" s="136" t="s">
        <v>225</v>
      </c>
      <c r="S12" s="5"/>
      <c r="T12" s="5"/>
      <c r="U12" s="5"/>
      <c r="V12" s="5"/>
      <c r="W12" s="5"/>
    </row>
    <row r="13" spans="1:23" s="2" customFormat="1" ht="14.25" customHeight="1">
      <c r="A13" s="165"/>
      <c r="B13" s="179"/>
      <c r="C13" s="179"/>
      <c r="D13" s="180"/>
      <c r="E13" s="180"/>
      <c r="F13" s="395"/>
      <c r="G13" s="790"/>
      <c r="H13" s="890" t="s">
        <v>291</v>
      </c>
      <c r="I13" s="891"/>
      <c r="J13" s="892"/>
      <c r="K13" s="802"/>
      <c r="L13" s="803"/>
      <c r="M13" s="455" t="s">
        <v>293</v>
      </c>
      <c r="N13" s="802"/>
      <c r="O13" s="803"/>
      <c r="P13" s="5"/>
      <c r="Q13" s="5"/>
      <c r="R13" s="136" t="s">
        <v>225</v>
      </c>
      <c r="S13" s="5"/>
      <c r="T13" s="5"/>
      <c r="U13" s="5"/>
      <c r="V13" s="5"/>
      <c r="W13" s="5"/>
    </row>
    <row r="14" spans="1:23" s="2" customFormat="1" ht="14.25" customHeight="1">
      <c r="A14" s="165"/>
      <c r="B14" s="177"/>
      <c r="C14" s="177"/>
      <c r="D14" s="175"/>
      <c r="E14" s="175"/>
      <c r="F14" s="457"/>
      <c r="G14" s="791"/>
      <c r="H14" s="197" t="s">
        <v>2</v>
      </c>
      <c r="I14" s="198" t="s">
        <v>204</v>
      </c>
      <c r="J14" s="198" t="s">
        <v>205</v>
      </c>
      <c r="K14" s="194" t="s">
        <v>33</v>
      </c>
      <c r="L14" s="195" t="s">
        <v>34</v>
      </c>
      <c r="M14" s="278" t="s">
        <v>294</v>
      </c>
      <c r="N14" s="194" t="s">
        <v>33</v>
      </c>
      <c r="O14" s="195" t="s">
        <v>34</v>
      </c>
      <c r="P14" s="219" t="s">
        <v>111</v>
      </c>
      <c r="Q14" s="219" t="s">
        <v>870</v>
      </c>
      <c r="R14" s="136" t="s">
        <v>225</v>
      </c>
      <c r="S14" s="5"/>
      <c r="T14" s="5"/>
      <c r="U14" s="5"/>
      <c r="V14" s="5"/>
      <c r="W14" s="5"/>
    </row>
    <row r="15" spans="1:23" s="2" customFormat="1" ht="14.25" customHeight="1">
      <c r="A15" s="257">
        <v>1</v>
      </c>
      <c r="B15" s="931">
        <f>IF($A$5&lt;=$K$5,'BP2'!B15,)</f>
        <v>0</v>
      </c>
      <c r="C15" s="932"/>
      <c r="D15" s="932"/>
      <c r="E15" s="932"/>
      <c r="F15" s="933"/>
      <c r="G15" s="268">
        <f>IF($A$5&lt;=$K$5,'BP1'!G15,)</f>
        <v>0</v>
      </c>
      <c r="H15" s="249">
        <f>IF($G15&gt;0,'BP2'!H15,)</f>
        <v>0</v>
      </c>
      <c r="I15" s="250">
        <f>IF($G15&gt;0,'BP2'!I15,)</f>
        <v>0</v>
      </c>
      <c r="J15" s="250">
        <f>IF($G15&gt;0,'BP2'!J15,)</f>
        <v>0</v>
      </c>
      <c r="K15" s="162">
        <f ca="1">IFERROR(IF(Q15&gt;0,Q15/G15*(SUM(H15:J15)),P15/G15*(SUM(H15:J15))),)</f>
        <v>0</v>
      </c>
      <c r="L15" s="163">
        <f ca="1">IF(K15&gt;2,K15*LOOKUP($K$8,Lists!$A$2:$A$812,IF($K$2="Non-Federal",Lists!$D$2:$D$812,Lists!$C$2:$C$812)),0)</f>
        <v>0</v>
      </c>
      <c r="M15" s="276">
        <f>IF(G15&gt;0,'BP1'!M15,)</f>
        <v>0</v>
      </c>
      <c r="N15" s="162">
        <f ca="1">IFERROR(IF(Q15&gt;0,Q15/G15*M15,P15/G15*M15),)</f>
        <v>0</v>
      </c>
      <c r="O15" s="163">
        <f ca="1">N15*LOOKUP($K$8,Lists!$A$2:$A$812,IF($K$2="Non-Federal",Lists!$D$2:$D$812,Lists!$C$2:$C$812))</f>
        <v>0</v>
      </c>
      <c r="P15" s="229">
        <f ca="1">IF($A$5&lt;='BP1'!$K$5,(1+$K$7)*INDIRECT("BP"&amp;$A$5-1&amp;"!P15"),)</f>
        <v>0</v>
      </c>
      <c r="Q15" s="259">
        <f t="shared" ref="Q15:Q29" si="0">IF(COUNTIF(NIH,$E$9)&gt;0,(IF(G15&gt;0,IF((P15/G15)*12&gt;NIHSalCap,(NIHSalCap/12)*G15,),)),)</f>
        <v>0</v>
      </c>
      <c r="R15" s="136" t="s">
        <v>225</v>
      </c>
      <c r="S15" s="5"/>
      <c r="T15" s="5"/>
      <c r="U15" s="5"/>
      <c r="V15" s="5"/>
      <c r="W15" s="5"/>
    </row>
    <row r="16" spans="1:23" s="5" customFormat="1" ht="14.25" customHeight="1">
      <c r="A16" s="257">
        <v>2</v>
      </c>
      <c r="B16" s="931">
        <f>IF($A$5&lt;=$K$5,'BP2'!B16,)</f>
        <v>0</v>
      </c>
      <c r="C16" s="932"/>
      <c r="D16" s="932"/>
      <c r="E16" s="932"/>
      <c r="F16" s="933"/>
      <c r="G16" s="268">
        <f>IF($A$5&lt;=$K$5,'BP1'!G16,)</f>
        <v>0</v>
      </c>
      <c r="H16" s="249">
        <f>IF($G16&gt;0,'BP2'!H16,)</f>
        <v>0</v>
      </c>
      <c r="I16" s="250">
        <f>IF($G16&gt;0,'BP2'!I16,)</f>
        <v>0</v>
      </c>
      <c r="J16" s="250">
        <f>IF($G16&gt;0,'BP2'!J16,)</f>
        <v>0</v>
      </c>
      <c r="K16" s="162">
        <f ca="1">IFERROR(IF(Q16&gt;0,Q16/G16*(SUM(H16:J16)),P16/G16*(SUM(H16:J16))),)</f>
        <v>0</v>
      </c>
      <c r="L16" s="163">
        <f ca="1">IF(K16&gt;2,K16*LOOKUP($K$8,Lists!$A$2:$A$812,IF($K$2="Non-Federal",Lists!$D$2:$D$812,Lists!$C$2:$C$812)),0)</f>
        <v>0</v>
      </c>
      <c r="M16" s="276">
        <f>IF(G16&gt;0,'BP1'!M16,)</f>
        <v>0</v>
      </c>
      <c r="N16" s="162">
        <f t="shared" ref="N16:N29" ca="1" si="1">IFERROR(IF(Q16&gt;0,Q16/G16*M16,P16/G16*M16),)</f>
        <v>0</v>
      </c>
      <c r="O16" s="163">
        <f ca="1">N16*LOOKUP($K$8,Lists!$A$2:$A$812,IF($K$2="Non-Federal",Lists!$D$2:$D$812,Lists!$C$2:$C$812))</f>
        <v>0</v>
      </c>
      <c r="P16" s="229">
        <f ca="1">IF($A$5&lt;='BP1'!$K$5,(1+$K$7)*INDIRECT("BP"&amp;$A$5-1&amp;"!P16"),)</f>
        <v>0</v>
      </c>
      <c r="Q16" s="259">
        <f>IF(COUNTIF(NIH,$E$9)&gt;0,(IF(G16&gt;0,IF((P16/G16)*12&gt;NIHSalCap,(NIHSalCap/12)*G16,),)),)</f>
        <v>0</v>
      </c>
      <c r="R16" s="136" t="s">
        <v>225</v>
      </c>
    </row>
    <row r="17" spans="1:18" s="5" customFormat="1" ht="14.25" customHeight="1">
      <c r="A17" s="257">
        <v>3</v>
      </c>
      <c r="B17" s="931">
        <f>IF($A$5&lt;=$K$5,'BP2'!B17,)</f>
        <v>0</v>
      </c>
      <c r="C17" s="932"/>
      <c r="D17" s="932"/>
      <c r="E17" s="932"/>
      <c r="F17" s="933"/>
      <c r="G17" s="268">
        <f>IF($A$5&lt;=$K$5,'BP1'!G17,)</f>
        <v>0</v>
      </c>
      <c r="H17" s="249">
        <f>IF($G17&gt;0,'BP2'!H17,)</f>
        <v>0</v>
      </c>
      <c r="I17" s="250">
        <f>IF($G17&gt;0,'BP2'!I17,)</f>
        <v>0</v>
      </c>
      <c r="J17" s="250">
        <f>IF($G17&gt;0,'BP2'!J17,)</f>
        <v>0</v>
      </c>
      <c r="K17" s="162">
        <f t="shared" ref="K17:K29" ca="1" si="2">IFERROR(IF(Q17&gt;0,Q17/G17*(SUM(H17:J17)),P17/G17*(SUM(H17:J17))),)</f>
        <v>0</v>
      </c>
      <c r="L17" s="163">
        <f ca="1">IF(K17&gt;2,K17*LOOKUP($K$8,Lists!$A$2:$A$812,IF($K$2="Non-Federal",Lists!$D$2:$D$812,Lists!$C$2:$C$812)),0)</f>
        <v>0</v>
      </c>
      <c r="M17" s="276">
        <f>IF(G17&gt;0,'BP1'!M17,)</f>
        <v>0</v>
      </c>
      <c r="N17" s="162">
        <f t="shared" ca="1" si="1"/>
        <v>0</v>
      </c>
      <c r="O17" s="163">
        <f ca="1">N17*LOOKUP($K$8,Lists!$A$2:$A$812,IF($K$2="Non-Federal",Lists!$D$2:$D$812,Lists!$C$2:$C$812))</f>
        <v>0</v>
      </c>
      <c r="P17" s="229">
        <f ca="1">IF($A$5&lt;='BP1'!$K$5,(1+$K$7)*INDIRECT("BP"&amp;$A$5-1&amp;"!P17"),)</f>
        <v>0</v>
      </c>
      <c r="Q17" s="259">
        <f t="shared" si="0"/>
        <v>0</v>
      </c>
      <c r="R17" s="136" t="s">
        <v>225</v>
      </c>
    </row>
    <row r="18" spans="1:18" s="5" customFormat="1" ht="14.25" customHeight="1">
      <c r="A18" s="257">
        <v>4</v>
      </c>
      <c r="B18" s="931">
        <f>IF($A$5&lt;=$K$5,'BP2'!B18,)</f>
        <v>0</v>
      </c>
      <c r="C18" s="932"/>
      <c r="D18" s="932"/>
      <c r="E18" s="932"/>
      <c r="F18" s="933"/>
      <c r="G18" s="268">
        <f>IF($A$5&lt;=$K$5,'BP1'!G18,)</f>
        <v>0</v>
      </c>
      <c r="H18" s="249">
        <f>IF($G18&gt;0,'BP2'!H18,)</f>
        <v>0</v>
      </c>
      <c r="I18" s="250">
        <f>IF($G18&gt;0,'BP2'!I18,)</f>
        <v>0</v>
      </c>
      <c r="J18" s="250">
        <f>IF($G18&gt;0,'BP2'!J18,)</f>
        <v>0</v>
      </c>
      <c r="K18" s="162">
        <f t="shared" ca="1" si="2"/>
        <v>0</v>
      </c>
      <c r="L18" s="163">
        <f ca="1">IF(K18&gt;2,K18*LOOKUP($K$8,Lists!$A$2:$A$812,IF($K$2="Non-Federal",Lists!$D$2:$D$812,Lists!$C$2:$C$812)),0)</f>
        <v>0</v>
      </c>
      <c r="M18" s="276">
        <f>IF(G18&gt;0,'BP1'!M18,)</f>
        <v>0</v>
      </c>
      <c r="N18" s="162">
        <f t="shared" ca="1" si="1"/>
        <v>0</v>
      </c>
      <c r="O18" s="163">
        <f ca="1">N18*LOOKUP($K$8,Lists!$A$2:$A$812,IF($K$2="Non-Federal",Lists!$D$2:$D$812,Lists!$C$2:$C$812))</f>
        <v>0</v>
      </c>
      <c r="P18" s="229">
        <f ca="1">IF($A$5&lt;='BP1'!$K$5,(1+$K$7)*INDIRECT("BP"&amp;$A$5-1&amp;"!P18"),)</f>
        <v>0</v>
      </c>
      <c r="Q18" s="259">
        <f t="shared" si="0"/>
        <v>0</v>
      </c>
      <c r="R18" s="136" t="s">
        <v>225</v>
      </c>
    </row>
    <row r="19" spans="1:18" s="5" customFormat="1" ht="14.25" customHeight="1">
      <c r="A19" s="257">
        <v>5</v>
      </c>
      <c r="B19" s="931">
        <f>IF($A$5&lt;=$K$5,'BP2'!B19,)</f>
        <v>0</v>
      </c>
      <c r="C19" s="932"/>
      <c r="D19" s="932"/>
      <c r="E19" s="932"/>
      <c r="F19" s="933"/>
      <c r="G19" s="268">
        <f>IF($A$5&lt;=$K$5,'BP1'!G19,)</f>
        <v>0</v>
      </c>
      <c r="H19" s="249">
        <f>IF($G19&gt;0,'BP2'!H19,)</f>
        <v>0</v>
      </c>
      <c r="I19" s="250">
        <f>IF($G19&gt;0,'BP2'!I19,)</f>
        <v>0</v>
      </c>
      <c r="J19" s="250">
        <f>IF($G19&gt;0,'BP2'!J19,)</f>
        <v>0</v>
      </c>
      <c r="K19" s="162">
        <f t="shared" ca="1" si="2"/>
        <v>0</v>
      </c>
      <c r="L19" s="163">
        <f ca="1">IF(K19&gt;2,K19*LOOKUP($K$8,Lists!$A$2:$A$812,IF($K$2="Non-Federal",Lists!$D$2:$D$812,Lists!$C$2:$C$812)),0)</f>
        <v>0</v>
      </c>
      <c r="M19" s="276">
        <f>IF(G19&gt;0,'BP1'!M19,)</f>
        <v>0</v>
      </c>
      <c r="N19" s="162">
        <f t="shared" ca="1" si="1"/>
        <v>0</v>
      </c>
      <c r="O19" s="163">
        <f ca="1">N19*LOOKUP($K$8,Lists!$A$2:$A$812,IF($K$2="Non-Federal",Lists!$D$2:$D$812,Lists!$C$2:$C$812))</f>
        <v>0</v>
      </c>
      <c r="P19" s="229">
        <f ca="1">IF($A$5&lt;='BP1'!$K$5,(1+$K$7)*INDIRECT("BP"&amp;$A$5-1&amp;"!P19"),)</f>
        <v>0</v>
      </c>
      <c r="Q19" s="259">
        <f t="shared" si="0"/>
        <v>0</v>
      </c>
      <c r="R19" s="136" t="s">
        <v>225</v>
      </c>
    </row>
    <row r="20" spans="1:18" s="5" customFormat="1" ht="14.25" hidden="1" customHeight="1">
      <c r="A20" s="257">
        <v>6</v>
      </c>
      <c r="B20" s="931">
        <f>IF($A$5&lt;=$K$5,'BP2'!B20,)</f>
        <v>0</v>
      </c>
      <c r="C20" s="932"/>
      <c r="D20" s="932"/>
      <c r="E20" s="932"/>
      <c r="F20" s="933"/>
      <c r="G20" s="268">
        <f>IF($A$5&lt;=$K$5,'BP1'!G20,)</f>
        <v>0</v>
      </c>
      <c r="H20" s="249">
        <f>IF($G20&gt;0,'BP2'!H20,)</f>
        <v>0</v>
      </c>
      <c r="I20" s="250">
        <f>IF($G20&gt;0,'BP2'!I20,)</f>
        <v>0</v>
      </c>
      <c r="J20" s="250">
        <f>IF($G20&gt;0,'BP2'!J20,)</f>
        <v>0</v>
      </c>
      <c r="K20" s="162">
        <f t="shared" ca="1" si="2"/>
        <v>0</v>
      </c>
      <c r="L20" s="163">
        <f ca="1">IF(K20&gt;2,K20*LOOKUP($K$8,Lists!$A$2:$A$812,IF($K$2="Non-Federal",Lists!$D$2:$D$812,Lists!$C$2:$C$812)),0)</f>
        <v>0</v>
      </c>
      <c r="M20" s="276">
        <f>IF(G20&gt;0,'BP1'!M20,)</f>
        <v>0</v>
      </c>
      <c r="N20" s="162">
        <f t="shared" ca="1" si="1"/>
        <v>0</v>
      </c>
      <c r="O20" s="163">
        <f ca="1">N20*LOOKUP($K$8,Lists!$A$2:$A$812,IF($K$2="Non-Federal",Lists!$D$2:$D$812,Lists!$C$2:$C$812))</f>
        <v>0</v>
      </c>
      <c r="P20" s="229">
        <f ca="1">IF($A$5&lt;='BP1'!$K$5,(1+$K$7)*INDIRECT("BP"&amp;$A$5-1&amp;"!P20"),)</f>
        <v>0</v>
      </c>
      <c r="Q20" s="259">
        <f t="shared" si="0"/>
        <v>0</v>
      </c>
      <c r="R20" s="136" t="s">
        <v>492</v>
      </c>
    </row>
    <row r="21" spans="1:18" s="5" customFormat="1" ht="14.25" hidden="1" customHeight="1">
      <c r="A21" s="257">
        <v>7</v>
      </c>
      <c r="B21" s="931">
        <f>IF($A$5&lt;=$K$5,'BP2'!B21,)</f>
        <v>0</v>
      </c>
      <c r="C21" s="932"/>
      <c r="D21" s="932"/>
      <c r="E21" s="932"/>
      <c r="F21" s="933"/>
      <c r="G21" s="268">
        <f>IF($A$5&lt;=$K$5,'BP1'!G21,)</f>
        <v>0</v>
      </c>
      <c r="H21" s="249">
        <f>IF($G21&gt;0,'BP2'!H21,)</f>
        <v>0</v>
      </c>
      <c r="I21" s="250">
        <f>IF($G21&gt;0,'BP2'!I21,)</f>
        <v>0</v>
      </c>
      <c r="J21" s="250">
        <f>IF($G21&gt;0,'BP2'!J21,)</f>
        <v>0</v>
      </c>
      <c r="K21" s="162">
        <f t="shared" ca="1" si="2"/>
        <v>0</v>
      </c>
      <c r="L21" s="163">
        <f ca="1">IF(K21&gt;2,K21*LOOKUP($K$8,Lists!$A$2:$A$812,IF($K$2="Non-Federal",Lists!$D$2:$D$812,Lists!$C$2:$C$812)),0)</f>
        <v>0</v>
      </c>
      <c r="M21" s="276">
        <f>IF(G21&gt;0,'BP1'!M21,)</f>
        <v>0</v>
      </c>
      <c r="N21" s="162">
        <f t="shared" ca="1" si="1"/>
        <v>0</v>
      </c>
      <c r="O21" s="163">
        <f ca="1">N21*LOOKUP($K$8,Lists!$A$2:$A$812,IF($K$2="Non-Federal",Lists!$D$2:$D$812,Lists!$C$2:$C$812))</f>
        <v>0</v>
      </c>
      <c r="P21" s="229">
        <f ca="1">IF($A$5&lt;='BP1'!$K$5,(1+$K$7)*INDIRECT("BP"&amp;$A$5-1&amp;"!P21"),)</f>
        <v>0</v>
      </c>
      <c r="Q21" s="259">
        <f t="shared" si="0"/>
        <v>0</v>
      </c>
      <c r="R21" s="136" t="s">
        <v>492</v>
      </c>
    </row>
    <row r="22" spans="1:18" s="5" customFormat="1" ht="14.25" hidden="1" customHeight="1">
      <c r="A22" s="257">
        <v>8</v>
      </c>
      <c r="B22" s="931">
        <f>IF($A$5&lt;=$K$5,'BP2'!B22,)</f>
        <v>0</v>
      </c>
      <c r="C22" s="932"/>
      <c r="D22" s="932"/>
      <c r="E22" s="932"/>
      <c r="F22" s="933"/>
      <c r="G22" s="268">
        <f>IF($A$5&lt;=$K$5,'BP1'!G22,)</f>
        <v>0</v>
      </c>
      <c r="H22" s="249">
        <f>IF($G22&gt;0,'BP2'!H22,)</f>
        <v>0</v>
      </c>
      <c r="I22" s="250">
        <f>IF($G22&gt;0,'BP2'!I22,)</f>
        <v>0</v>
      </c>
      <c r="J22" s="250">
        <f>IF($G22&gt;0,'BP2'!J22,)</f>
        <v>0</v>
      </c>
      <c r="K22" s="162">
        <f t="shared" ca="1" si="2"/>
        <v>0</v>
      </c>
      <c r="L22" s="163">
        <f ca="1">IF(K22&gt;2,K22*LOOKUP($K$8,Lists!$A$2:$A$812,IF($K$2="Non-Federal",Lists!$D$2:$D$812,Lists!$C$2:$C$812)),0)</f>
        <v>0</v>
      </c>
      <c r="M22" s="276">
        <f>IF(G22&gt;0,'BP1'!M22,)</f>
        <v>0</v>
      </c>
      <c r="N22" s="162">
        <f t="shared" ca="1" si="1"/>
        <v>0</v>
      </c>
      <c r="O22" s="163">
        <f ca="1">N22*LOOKUP($K$8,Lists!$A$2:$A$812,IF($K$2="Non-Federal",Lists!$D$2:$D$812,Lists!$C$2:$C$812))</f>
        <v>0</v>
      </c>
      <c r="P22" s="229">
        <f ca="1">IF($A$5&lt;='BP1'!$K$5,(1+$K$7)*INDIRECT("BP"&amp;$A$5-1&amp;"!P22"),)</f>
        <v>0</v>
      </c>
      <c r="Q22" s="259">
        <f t="shared" si="0"/>
        <v>0</v>
      </c>
      <c r="R22" s="136" t="s">
        <v>492</v>
      </c>
    </row>
    <row r="23" spans="1:18" s="5" customFormat="1" ht="14.25" hidden="1" customHeight="1">
      <c r="A23" s="257">
        <v>9</v>
      </c>
      <c r="B23" s="931">
        <f>IF($A$5&lt;=$K$5,'BP2'!B23,)</f>
        <v>0</v>
      </c>
      <c r="C23" s="932"/>
      <c r="D23" s="932"/>
      <c r="E23" s="932"/>
      <c r="F23" s="933"/>
      <c r="G23" s="268">
        <f>IF($A$5&lt;=$K$5,'BP1'!G23,)</f>
        <v>0</v>
      </c>
      <c r="H23" s="249">
        <f>IF($G23&gt;0,'BP2'!H23,)</f>
        <v>0</v>
      </c>
      <c r="I23" s="250">
        <f>IF($G23&gt;0,'BP2'!I23,)</f>
        <v>0</v>
      </c>
      <c r="J23" s="250">
        <f>IF($G23&gt;0,'BP2'!J23,)</f>
        <v>0</v>
      </c>
      <c r="K23" s="162">
        <f t="shared" ca="1" si="2"/>
        <v>0</v>
      </c>
      <c r="L23" s="163">
        <f ca="1">IF(K23&gt;2,K23*LOOKUP($K$8,Lists!$A$2:$A$812,IF($K$2="Non-Federal",Lists!$D$2:$D$812,Lists!$C$2:$C$812)),0)</f>
        <v>0</v>
      </c>
      <c r="M23" s="276">
        <f>IF(G23&gt;0,'BP1'!M23,)</f>
        <v>0</v>
      </c>
      <c r="N23" s="162">
        <f t="shared" ca="1" si="1"/>
        <v>0</v>
      </c>
      <c r="O23" s="163">
        <f ca="1">N23*LOOKUP($K$8,Lists!$A$2:$A$812,IF($K$2="Non-Federal",Lists!$D$2:$D$812,Lists!$C$2:$C$812))</f>
        <v>0</v>
      </c>
      <c r="P23" s="229">
        <f ca="1">IF($A$5&lt;='BP1'!$K$5,(1+$K$7)*INDIRECT("BP"&amp;$A$5-1&amp;"!P23"),)</f>
        <v>0</v>
      </c>
      <c r="Q23" s="259">
        <f t="shared" si="0"/>
        <v>0</v>
      </c>
      <c r="R23" s="136" t="s">
        <v>492</v>
      </c>
    </row>
    <row r="24" spans="1:18" s="5" customFormat="1" ht="14.25" hidden="1" customHeight="1">
      <c r="A24" s="257">
        <v>10</v>
      </c>
      <c r="B24" s="931">
        <f>IF($A$5&lt;=$K$5,'BP2'!B24,)</f>
        <v>0</v>
      </c>
      <c r="C24" s="932"/>
      <c r="D24" s="932"/>
      <c r="E24" s="932"/>
      <c r="F24" s="933"/>
      <c r="G24" s="268">
        <f>IF($A$5&lt;=$K$5,'BP1'!G24,)</f>
        <v>0</v>
      </c>
      <c r="H24" s="249">
        <f>IF($G24&gt;0,'BP2'!H24,)</f>
        <v>0</v>
      </c>
      <c r="I24" s="250">
        <f>IF($G24&gt;0,'BP2'!I24,)</f>
        <v>0</v>
      </c>
      <c r="J24" s="250">
        <f>IF($G24&gt;0,'BP2'!J24,)</f>
        <v>0</v>
      </c>
      <c r="K24" s="162">
        <f t="shared" ca="1" si="2"/>
        <v>0</v>
      </c>
      <c r="L24" s="163">
        <f ca="1">IF(K24&gt;2,K24*LOOKUP($K$8,Lists!$A$2:$A$812,IF($K$2="Non-Federal",Lists!$D$2:$D$812,Lists!$C$2:$C$812)),0)</f>
        <v>0</v>
      </c>
      <c r="M24" s="276">
        <f>IF(G24&gt;0,'BP1'!M24,)</f>
        <v>0</v>
      </c>
      <c r="N24" s="162">
        <f t="shared" ca="1" si="1"/>
        <v>0</v>
      </c>
      <c r="O24" s="163">
        <f ca="1">N24*LOOKUP($K$8,Lists!$A$2:$A$812,IF($K$2="Non-Federal",Lists!$D$2:$D$812,Lists!$C$2:$C$812))</f>
        <v>0</v>
      </c>
      <c r="P24" s="229">
        <f ca="1">IF($A$5&lt;='BP1'!$K$5,(1+$K$7)*INDIRECT("BP"&amp;$A$5-1&amp;"!P24"),)</f>
        <v>0</v>
      </c>
      <c r="Q24" s="259">
        <f t="shared" si="0"/>
        <v>0</v>
      </c>
      <c r="R24" s="136" t="s">
        <v>492</v>
      </c>
    </row>
    <row r="25" spans="1:18" s="5" customFormat="1" ht="14.25" hidden="1" customHeight="1">
      <c r="A25" s="257">
        <v>11</v>
      </c>
      <c r="B25" s="931">
        <f>IF($A$5&lt;=$K$5,'BP2'!B25,)</f>
        <v>0</v>
      </c>
      <c r="C25" s="932"/>
      <c r="D25" s="932"/>
      <c r="E25" s="932"/>
      <c r="F25" s="933"/>
      <c r="G25" s="268">
        <f>IF($A$5&lt;=$K$5,'BP1'!G25,)</f>
        <v>0</v>
      </c>
      <c r="H25" s="249">
        <f>IF($G25&gt;0,'BP2'!H25,)</f>
        <v>0</v>
      </c>
      <c r="I25" s="250">
        <f>IF($G25&gt;0,'BP2'!I25,)</f>
        <v>0</v>
      </c>
      <c r="J25" s="250">
        <f>IF($G25&gt;0,'BP2'!J25,)</f>
        <v>0</v>
      </c>
      <c r="K25" s="162">
        <f t="shared" ca="1" si="2"/>
        <v>0</v>
      </c>
      <c r="L25" s="163">
        <f ca="1">IF(K25&gt;2,K25*LOOKUP($K$8,Lists!$A$2:$A$812,IF($K$2="Non-Federal",Lists!$D$2:$D$812,Lists!$C$2:$C$812)),0)</f>
        <v>0</v>
      </c>
      <c r="M25" s="276">
        <f>IF(G25&gt;0,'BP1'!M25,)</f>
        <v>0</v>
      </c>
      <c r="N25" s="162">
        <f t="shared" ca="1" si="1"/>
        <v>0</v>
      </c>
      <c r="O25" s="163">
        <f ca="1">N25*LOOKUP($K$8,Lists!$A$2:$A$812,IF($K$2="Non-Federal",Lists!$D$2:$D$812,Lists!$C$2:$C$812))</f>
        <v>0</v>
      </c>
      <c r="P25" s="229">
        <f ca="1">IF($A$5&lt;='BP1'!$K$5,(1+$K$7)*INDIRECT("BP"&amp;$A$5-1&amp;"!P25"),)</f>
        <v>0</v>
      </c>
      <c r="Q25" s="259">
        <f t="shared" si="0"/>
        <v>0</v>
      </c>
      <c r="R25" s="136" t="s">
        <v>493</v>
      </c>
    </row>
    <row r="26" spans="1:18" s="5" customFormat="1" ht="14.25" hidden="1" customHeight="1">
      <c r="A26" s="257">
        <v>12</v>
      </c>
      <c r="B26" s="931">
        <f>IF($A$5&lt;=$K$5,'BP2'!B26,)</f>
        <v>0</v>
      </c>
      <c r="C26" s="932"/>
      <c r="D26" s="932"/>
      <c r="E26" s="932"/>
      <c r="F26" s="933"/>
      <c r="G26" s="268">
        <f>IF($A$5&lt;=$K$5,'BP1'!G26,)</f>
        <v>0</v>
      </c>
      <c r="H26" s="249">
        <f>IF($G26&gt;0,'BP2'!H26,)</f>
        <v>0</v>
      </c>
      <c r="I26" s="250">
        <f>IF($G26&gt;0,'BP2'!I26,)</f>
        <v>0</v>
      </c>
      <c r="J26" s="250">
        <f>IF($G26&gt;0,'BP2'!J26,)</f>
        <v>0</v>
      </c>
      <c r="K26" s="162">
        <f t="shared" ca="1" si="2"/>
        <v>0</v>
      </c>
      <c r="L26" s="163">
        <f ca="1">IF(K26&gt;2,K26*LOOKUP($K$8,Lists!$A$2:$A$812,IF($K$2="Non-Federal",Lists!$D$2:$D$812,Lists!$C$2:$C$812)),0)</f>
        <v>0</v>
      </c>
      <c r="M26" s="276">
        <f>IF(G26&gt;0,'BP1'!M26,)</f>
        <v>0</v>
      </c>
      <c r="N26" s="162">
        <f t="shared" ca="1" si="1"/>
        <v>0</v>
      </c>
      <c r="O26" s="163">
        <f ca="1">N26*LOOKUP($K$8,Lists!$A$2:$A$812,IF($K$2="Non-Federal",Lists!$D$2:$D$812,Lists!$C$2:$C$812))</f>
        <v>0</v>
      </c>
      <c r="P26" s="229">
        <f ca="1">IF($A$5&lt;='BP1'!$K$5,(1+$K$7)*INDIRECT("BP"&amp;$A$5-1&amp;"!P26"),)</f>
        <v>0</v>
      </c>
      <c r="Q26" s="259">
        <f t="shared" si="0"/>
        <v>0</v>
      </c>
      <c r="R26" s="136" t="s">
        <v>493</v>
      </c>
    </row>
    <row r="27" spans="1:18" s="5" customFormat="1" ht="14.25" hidden="1" customHeight="1">
      <c r="A27" s="257">
        <v>13</v>
      </c>
      <c r="B27" s="931">
        <f>IF($A$5&lt;=$K$5,'BP2'!B27,)</f>
        <v>0</v>
      </c>
      <c r="C27" s="932"/>
      <c r="D27" s="932"/>
      <c r="E27" s="932"/>
      <c r="F27" s="933"/>
      <c r="G27" s="268">
        <f>IF($A$5&lt;=$K$5,'BP1'!G27,)</f>
        <v>0</v>
      </c>
      <c r="H27" s="249">
        <f>IF($G27&gt;0,'BP2'!H27,)</f>
        <v>0</v>
      </c>
      <c r="I27" s="250">
        <f>IF($G27&gt;0,'BP2'!I27,)</f>
        <v>0</v>
      </c>
      <c r="J27" s="250">
        <f>IF($G27&gt;0,'BP2'!J27,)</f>
        <v>0</v>
      </c>
      <c r="K27" s="162">
        <f t="shared" ca="1" si="2"/>
        <v>0</v>
      </c>
      <c r="L27" s="163">
        <f ca="1">IF(K27&gt;2,K27*LOOKUP($K$8,Lists!$A$2:$A$812,IF($K$2="Non-Federal",Lists!$D$2:$D$812,Lists!$C$2:$C$812)),0)</f>
        <v>0</v>
      </c>
      <c r="M27" s="276">
        <f>IF(G27&gt;0,'BP1'!M27,)</f>
        <v>0</v>
      </c>
      <c r="N27" s="162">
        <f t="shared" ca="1" si="1"/>
        <v>0</v>
      </c>
      <c r="O27" s="163">
        <f ca="1">N27*LOOKUP($K$8,Lists!$A$2:$A$812,IF($K$2="Non-Federal",Lists!$D$2:$D$812,Lists!$C$2:$C$812))</f>
        <v>0</v>
      </c>
      <c r="P27" s="229">
        <f ca="1">IF($A$5&lt;='BP1'!$K$5,(1+$K$7)*INDIRECT("BP"&amp;$A$5-1&amp;"!P27"),)</f>
        <v>0</v>
      </c>
      <c r="Q27" s="259">
        <f t="shared" si="0"/>
        <v>0</v>
      </c>
      <c r="R27" s="136" t="s">
        <v>493</v>
      </c>
    </row>
    <row r="28" spans="1:18" s="5" customFormat="1" ht="14.25" hidden="1" customHeight="1">
      <c r="A28" s="257">
        <v>14</v>
      </c>
      <c r="B28" s="931">
        <f>IF($A$5&lt;=$K$5,'BP2'!B28,)</f>
        <v>0</v>
      </c>
      <c r="C28" s="932"/>
      <c r="D28" s="932"/>
      <c r="E28" s="932"/>
      <c r="F28" s="933"/>
      <c r="G28" s="268">
        <f>IF($A$5&lt;=$K$5,'BP1'!G28,)</f>
        <v>0</v>
      </c>
      <c r="H28" s="249">
        <f>IF($G28&gt;0,'BP2'!H28,)</f>
        <v>0</v>
      </c>
      <c r="I28" s="250">
        <f>IF($G28&gt;0,'BP2'!I28,)</f>
        <v>0</v>
      </c>
      <c r="J28" s="250">
        <f>IF($G28&gt;0,'BP2'!J28,)</f>
        <v>0</v>
      </c>
      <c r="K28" s="162">
        <f t="shared" ca="1" si="2"/>
        <v>0</v>
      </c>
      <c r="L28" s="163">
        <f ca="1">IF(K28&gt;2,K28*LOOKUP($K$8,Lists!$A$2:$A$812,IF($K$2="Non-Federal",Lists!$D$2:$D$812,Lists!$C$2:$C$812)),0)</f>
        <v>0</v>
      </c>
      <c r="M28" s="276">
        <f>IF(G28&gt;0,'BP1'!M28,)</f>
        <v>0</v>
      </c>
      <c r="N28" s="162">
        <f t="shared" ca="1" si="1"/>
        <v>0</v>
      </c>
      <c r="O28" s="163">
        <f ca="1">N28*LOOKUP($K$8,Lists!$A$2:$A$812,IF($K$2="Non-Federal",Lists!$D$2:$D$812,Lists!$C$2:$C$812))</f>
        <v>0</v>
      </c>
      <c r="P28" s="229">
        <f ca="1">IF($A$5&lt;='BP1'!$K$5,(1+$K$7)*INDIRECT("BP"&amp;$A$5-1&amp;"!P28"),)</f>
        <v>0</v>
      </c>
      <c r="Q28" s="259">
        <f t="shared" si="0"/>
        <v>0</v>
      </c>
      <c r="R28" s="136" t="s">
        <v>493</v>
      </c>
    </row>
    <row r="29" spans="1:18" s="5" customFormat="1" ht="14.25" hidden="1" customHeight="1">
      <c r="A29" s="257">
        <v>15</v>
      </c>
      <c r="B29" s="931">
        <f>IF($A$5&lt;=$K$5,'BP2'!B29,)</f>
        <v>0</v>
      </c>
      <c r="C29" s="932"/>
      <c r="D29" s="932"/>
      <c r="E29" s="932"/>
      <c r="F29" s="933"/>
      <c r="G29" s="268">
        <f>IF($A$5&lt;=$K$5,'BP1'!G29,)</f>
        <v>0</v>
      </c>
      <c r="H29" s="249">
        <f>IF($G29&gt;0,'BP2'!H29,)</f>
        <v>0</v>
      </c>
      <c r="I29" s="250">
        <f>IF($G29&gt;0,'BP2'!I29,)</f>
        <v>0</v>
      </c>
      <c r="J29" s="250">
        <f>IF($G29&gt;0,'BP2'!J29,)</f>
        <v>0</v>
      </c>
      <c r="K29" s="162">
        <f t="shared" ca="1" si="2"/>
        <v>0</v>
      </c>
      <c r="L29" s="163">
        <f ca="1">IF(K29&gt;2,K29*LOOKUP($K$8,Lists!$A$2:$A$812,IF($K$2="Non-Federal",Lists!$D$2:$D$812,Lists!$C$2:$C$812)),0)</f>
        <v>0</v>
      </c>
      <c r="M29" s="276">
        <f>IF(G29&gt;0,'BP1'!M29,)</f>
        <v>0</v>
      </c>
      <c r="N29" s="162">
        <f t="shared" ca="1" si="1"/>
        <v>0</v>
      </c>
      <c r="O29" s="163">
        <f ca="1">N29*LOOKUP($K$8,Lists!$A$2:$A$812,IF($K$2="Non-Federal",Lists!$D$2:$D$812,Lists!$C$2:$C$812))</f>
        <v>0</v>
      </c>
      <c r="P29" s="229">
        <f ca="1">IF($A$5&lt;='BP1'!$K$5,(1+$K$7)*INDIRECT("BP"&amp;$A$5-1&amp;"!P29"),)</f>
        <v>0</v>
      </c>
      <c r="Q29" s="259">
        <f t="shared" si="0"/>
        <v>0</v>
      </c>
      <c r="R29" s="136" t="s">
        <v>493</v>
      </c>
    </row>
    <row r="30" spans="1:18" s="5" customFormat="1" ht="14.25" customHeight="1">
      <c r="A30" s="842" t="s">
        <v>209</v>
      </c>
      <c r="B30" s="843"/>
      <c r="C30" s="843"/>
      <c r="D30" s="843"/>
      <c r="E30" s="843"/>
      <c r="F30" s="844"/>
      <c r="G30" s="31"/>
      <c r="H30" s="224">
        <f t="shared" ref="H30:O30" si="3">SUM(H15:H29)</f>
        <v>0</v>
      </c>
      <c r="I30" s="224">
        <f t="shared" si="3"/>
        <v>0</v>
      </c>
      <c r="J30" s="224">
        <f t="shared" si="3"/>
        <v>0</v>
      </c>
      <c r="K30" s="163">
        <f t="shared" ca="1" si="3"/>
        <v>0</v>
      </c>
      <c r="L30" s="163">
        <f t="shared" ca="1" si="3"/>
        <v>0</v>
      </c>
      <c r="M30" s="276">
        <f t="shared" si="3"/>
        <v>0</v>
      </c>
      <c r="N30" s="164">
        <f t="shared" ca="1" si="3"/>
        <v>0</v>
      </c>
      <c r="O30" s="163">
        <f t="shared" ca="1" si="3"/>
        <v>0</v>
      </c>
      <c r="P30" s="70"/>
      <c r="Q30" s="390"/>
      <c r="R30" s="136" t="s">
        <v>225</v>
      </c>
    </row>
    <row r="31" spans="1:18" s="5" customFormat="1" ht="14.25" customHeight="1">
      <c r="A31" s="209" t="s">
        <v>210</v>
      </c>
      <c r="B31" s="248"/>
      <c r="C31" s="248"/>
      <c r="D31" s="240"/>
      <c r="E31" s="240"/>
      <c r="F31" s="240"/>
      <c r="G31" s="32"/>
      <c r="H31" s="225"/>
      <c r="I31" s="226"/>
      <c r="J31" s="226"/>
      <c r="K31" s="39"/>
      <c r="L31" s="423"/>
      <c r="M31" s="425"/>
      <c r="N31" s="33"/>
      <c r="O31" s="34"/>
      <c r="P31" s="219" t="s">
        <v>111</v>
      </c>
      <c r="Q31" s="391"/>
      <c r="R31" s="136" t="s">
        <v>225</v>
      </c>
    </row>
    <row r="32" spans="1:18" s="5" customFormat="1" ht="14.25" customHeight="1">
      <c r="A32" s="252" t="s">
        <v>3</v>
      </c>
      <c r="B32" s="462">
        <f>IF($A$5&lt;=$K$5,'BP2'!B32,0)</f>
        <v>0</v>
      </c>
      <c r="C32" s="204" t="s">
        <v>464</v>
      </c>
      <c r="D32" s="240" t="str">
        <f>"Postdoctoral Associate"&amp;IF(B32&gt;0,"s",)</f>
        <v>Postdoctoral Associate</v>
      </c>
      <c r="E32" s="251"/>
      <c r="F32" s="251"/>
      <c r="G32" s="534">
        <v>12</v>
      </c>
      <c r="H32" s="222">
        <f>IF($A$5&lt;=$K$5,(IF('BP2'!H32&lt;&gt;'BP2'!B32*12,'BP2'!H32,B32*12)),0)</f>
        <v>0</v>
      </c>
      <c r="I32" s="223"/>
      <c r="J32" s="223"/>
      <c r="K32" s="162">
        <f t="shared" ref="K32:K40" ca="1" si="4">IFERROR(P32/12*H32,)</f>
        <v>0</v>
      </c>
      <c r="L32" s="163">
        <f>IF($A$5&lt;=$K$5,K32*LOOKUP($K$8,Lists!$A$2:$A$812,IF('BP1'!$K$2="Non-Federal",Lists!$D$2:$D$812,Lists!$C$2:$C$812)),0)</f>
        <v>0</v>
      </c>
      <c r="M32" s="276">
        <f>IF(B32&gt;0,'BP1'!M32,)</f>
        <v>0</v>
      </c>
      <c r="N32" s="162">
        <f ca="1">IFERROR(P32/12*M32,)</f>
        <v>0</v>
      </c>
      <c r="O32" s="163">
        <f ca="1">N32*LOOKUP($K$8,Lists!$A$2:$A$812,IF($K$2="Non-Federal",Lists!$D$2:$D$812,Lists!$C$2:$C$812))</f>
        <v>0</v>
      </c>
      <c r="P32" s="229">
        <f ca="1">IF($A$5&lt;=$K$5,INDIRECT("BP"&amp;$A$5-1&amp;"!P32")*(1+$K$7),0)</f>
        <v>0</v>
      </c>
      <c r="Q32" s="389"/>
      <c r="R32" s="136" t="s">
        <v>225</v>
      </c>
    </row>
    <row r="33" spans="1:18" s="5" customFormat="1" ht="14.25" customHeight="1">
      <c r="A33" s="209" t="s">
        <v>495</v>
      </c>
      <c r="B33" s="462">
        <f>IF($A$5&lt;=$K$5,'BP2'!B33,0)</f>
        <v>0</v>
      </c>
      <c r="C33" s="204" t="s">
        <v>464</v>
      </c>
      <c r="D33" s="240" t="str">
        <f>'BP1'!D33</f>
        <v>Other Professional</v>
      </c>
      <c r="E33" s="251"/>
      <c r="F33" s="251"/>
      <c r="G33" s="534">
        <v>12</v>
      </c>
      <c r="H33" s="222">
        <f>IF($A$5&lt;=$K$5,(IF('BP2'!H33&lt;&gt;'BP2'!B33*12,'BP2'!H33,B33*12)),0)</f>
        <v>0</v>
      </c>
      <c r="I33" s="223"/>
      <c r="J33" s="223"/>
      <c r="K33" s="162">
        <f t="shared" ca="1" si="4"/>
        <v>0</v>
      </c>
      <c r="L33" s="163">
        <f>IF($A$5&lt;=$K$5,K33*LOOKUP($K$8,Lists!$A$2:$A$812,IF('BP1'!$K$2="Non-Federal",Lists!$D$2:$D$812,Lists!$C$2:$C$812)),0)</f>
        <v>0</v>
      </c>
      <c r="M33" s="276">
        <f>IF(B33&gt;0,'BP1'!M33,)</f>
        <v>0</v>
      </c>
      <c r="N33" s="162">
        <f t="shared" ref="N33:N40" ca="1" si="5">IFERROR(P33/12*M33,)</f>
        <v>0</v>
      </c>
      <c r="O33" s="163">
        <f ca="1">N33*LOOKUP($K$8,Lists!$A$2:$A$812,IF($K$2="Non-Federal",Lists!$D$2:$D$812,Lists!$C$2:$C$812))</f>
        <v>0</v>
      </c>
      <c r="P33" s="229">
        <f ca="1">IF($A$5&lt;=$K$5,INDIRECT("BP"&amp;$A$5-1&amp;"!P33")*(1+$K$7),0)</f>
        <v>0</v>
      </c>
      <c r="Q33" s="389"/>
      <c r="R33" s="136" t="s">
        <v>225</v>
      </c>
    </row>
    <row r="34" spans="1:18" s="5" customFormat="1" ht="14.25" hidden="1" customHeight="1">
      <c r="A34" s="209" t="s">
        <v>496</v>
      </c>
      <c r="B34" s="462">
        <f>IF($A$5&lt;=$K$5,'BP2'!B34,0)</f>
        <v>0</v>
      </c>
      <c r="C34" s="204" t="s">
        <v>464</v>
      </c>
      <c r="D34" s="240" t="str">
        <f>'BP1'!D34</f>
        <v>Other Professional</v>
      </c>
      <c r="E34" s="251"/>
      <c r="F34" s="251"/>
      <c r="G34" s="534">
        <v>12</v>
      </c>
      <c r="H34" s="222">
        <f>IF($A$5&lt;=$K$5,(IF('BP2'!H34&lt;&gt;'BP2'!B34*12,'BP2'!H34,B34*12)),0)</f>
        <v>0</v>
      </c>
      <c r="I34" s="223"/>
      <c r="J34" s="223"/>
      <c r="K34" s="162">
        <f t="shared" ca="1" si="4"/>
        <v>0</v>
      </c>
      <c r="L34" s="163">
        <f>IF($A$5&lt;=$K$5,K34*LOOKUP($K$8,Lists!$A$2:$A$812,IF('BP1'!$K$2="Non-Federal",Lists!$D$2:$D$812,Lists!$C$2:$C$812)),0)</f>
        <v>0</v>
      </c>
      <c r="M34" s="276">
        <f>IF(B34&gt;0,'BP1'!M34,)</f>
        <v>0</v>
      </c>
      <c r="N34" s="162">
        <f t="shared" ca="1" si="5"/>
        <v>0</v>
      </c>
      <c r="O34" s="163">
        <f ca="1">N34*LOOKUP($K$8,Lists!$A$2:$A$812,IF($K$2="Non-Federal",Lists!$D$2:$D$812,Lists!$C$2:$C$812))</f>
        <v>0</v>
      </c>
      <c r="P34" s="229">
        <f ca="1">IF($A$5&lt;=$K$5,INDIRECT("BP"&amp;$A$5-1&amp;"!P34")*(1+$K$7),0)</f>
        <v>0</v>
      </c>
      <c r="Q34" s="389"/>
      <c r="R34" s="136" t="s">
        <v>500</v>
      </c>
    </row>
    <row r="35" spans="1:18" s="5" customFormat="1" ht="14.25" hidden="1" customHeight="1">
      <c r="A35" s="209" t="s">
        <v>497</v>
      </c>
      <c r="B35" s="462">
        <f>IF($A$5&lt;=$K$5,'BP2'!B35,0)</f>
        <v>0</v>
      </c>
      <c r="C35" s="204" t="s">
        <v>464</v>
      </c>
      <c r="D35" s="240" t="str">
        <f>'BP1'!D35</f>
        <v>Other Professional</v>
      </c>
      <c r="E35" s="251"/>
      <c r="F35" s="251"/>
      <c r="G35" s="534">
        <v>12</v>
      </c>
      <c r="H35" s="222">
        <f>IF($A$5&lt;=$K$5,(IF('BP2'!H35&lt;&gt;'BP2'!B35*12,'BP2'!H35,B35*12)),0)</f>
        <v>0</v>
      </c>
      <c r="I35" s="223"/>
      <c r="J35" s="223"/>
      <c r="K35" s="162">
        <f t="shared" ca="1" si="4"/>
        <v>0</v>
      </c>
      <c r="L35" s="163">
        <f>IF($A$5&lt;=$K$5,K35*LOOKUP($K$8,Lists!$A$2:$A$812,IF('BP1'!$K$2="Non-Federal",Lists!$D$2:$D$812,Lists!$C$2:$C$812)),0)</f>
        <v>0</v>
      </c>
      <c r="M35" s="276">
        <f>IF(B35&gt;0,'BP1'!M35,)</f>
        <v>0</v>
      </c>
      <c r="N35" s="162">
        <f t="shared" ca="1" si="5"/>
        <v>0</v>
      </c>
      <c r="O35" s="163">
        <f ca="1">N35*LOOKUP($K$8,Lists!$A$2:$A$812,IF($K$2="Non-Federal",Lists!$D$2:$D$812,Lists!$C$2:$C$812))</f>
        <v>0</v>
      </c>
      <c r="P35" s="229">
        <f ca="1">IF($A$5&lt;=$K$5,INDIRECT("BP"&amp;$A$5-1&amp;"!P35")*(1+$K$7),0)</f>
        <v>0</v>
      </c>
      <c r="Q35" s="389"/>
      <c r="R35" s="136" t="s">
        <v>500</v>
      </c>
    </row>
    <row r="36" spans="1:18" s="5" customFormat="1" ht="14.25" hidden="1" customHeight="1">
      <c r="A36" s="209" t="s">
        <v>498</v>
      </c>
      <c r="B36" s="462">
        <f>IF($A$5&lt;=$K$5,'BP2'!B36,0)</f>
        <v>0</v>
      </c>
      <c r="C36" s="204" t="s">
        <v>464</v>
      </c>
      <c r="D36" s="240" t="str">
        <f>'BP1'!D36</f>
        <v>Other Professional</v>
      </c>
      <c r="E36" s="251"/>
      <c r="F36" s="251"/>
      <c r="G36" s="534">
        <v>12</v>
      </c>
      <c r="H36" s="222">
        <f>IF($A$5&lt;=$K$5,(IF('BP2'!H36&lt;&gt;'BP2'!B36*12,'BP2'!H36,B36*12)),0)</f>
        <v>0</v>
      </c>
      <c r="I36" s="223"/>
      <c r="J36" s="223"/>
      <c r="K36" s="162">
        <f t="shared" ca="1" si="4"/>
        <v>0</v>
      </c>
      <c r="L36" s="163">
        <f>IF($A$5&lt;=$K$5,K36*LOOKUP($K$8,Lists!$A$2:$A$812,IF('BP1'!$K$2="Non-Federal",Lists!$D$2:$D$812,Lists!$C$2:$C$812)),0)</f>
        <v>0</v>
      </c>
      <c r="M36" s="276">
        <f>IF(B36&gt;0,'BP1'!M36,)</f>
        <v>0</v>
      </c>
      <c r="N36" s="162">
        <f t="shared" ca="1" si="5"/>
        <v>0</v>
      </c>
      <c r="O36" s="163">
        <f ca="1">N36*LOOKUP($K$8,Lists!$A$2:$A$812,IF($K$2="Non-Federal",Lists!$D$2:$D$812,Lists!$C$2:$C$812))</f>
        <v>0</v>
      </c>
      <c r="P36" s="229">
        <f ca="1">IF($A$5&lt;=$K$5,INDIRECT("BP"&amp;$A$5-1&amp;"!P36")*(1+$K$7),0)</f>
        <v>0</v>
      </c>
      <c r="Q36" s="389"/>
      <c r="R36" s="136" t="s">
        <v>500</v>
      </c>
    </row>
    <row r="37" spans="1:18" s="5" customFormat="1" ht="14.25" hidden="1" customHeight="1">
      <c r="A37" s="209" t="s">
        <v>499</v>
      </c>
      <c r="B37" s="462">
        <f>IF($A$5&lt;=$K$5,'BP2'!B37,0)</f>
        <v>0</v>
      </c>
      <c r="C37" s="204" t="s">
        <v>464</v>
      </c>
      <c r="D37" s="240" t="str">
        <f>'BP1'!D37</f>
        <v>Other Professional</v>
      </c>
      <c r="E37" s="251"/>
      <c r="F37" s="251"/>
      <c r="G37" s="534">
        <v>12</v>
      </c>
      <c r="H37" s="222">
        <f>IF($A$5&lt;=$K$5,(IF('BP2'!H37&lt;&gt;'BP2'!B37*12,'BP2'!H37,B37*12)),0)</f>
        <v>0</v>
      </c>
      <c r="I37" s="223"/>
      <c r="J37" s="223"/>
      <c r="K37" s="162">
        <f t="shared" ca="1" si="4"/>
        <v>0</v>
      </c>
      <c r="L37" s="163">
        <f>IF($A$5&lt;=$K$5,K37*LOOKUP($K$8,Lists!$A$2:$A$812,IF('BP1'!$K$2="Non-Federal",Lists!$D$2:$D$812,Lists!$C$2:$C$812)),0)</f>
        <v>0</v>
      </c>
      <c r="M37" s="276">
        <f>IF(B37&gt;0,'BP1'!M37,)</f>
        <v>0</v>
      </c>
      <c r="N37" s="162">
        <f t="shared" ca="1" si="5"/>
        <v>0</v>
      </c>
      <c r="O37" s="163">
        <f ca="1">N37*LOOKUP($K$8,Lists!$A$2:$A$812,IF($K$2="Non-Federal",Lists!$D$2:$D$812,Lists!$C$2:$C$812))</f>
        <v>0</v>
      </c>
      <c r="P37" s="229">
        <f ca="1">IF($A$5&lt;=$K$5,INDIRECT("BP"&amp;$A$5-1&amp;"!P37")*(1+$K$7),0)</f>
        <v>0</v>
      </c>
      <c r="Q37" s="389"/>
      <c r="R37" s="136" t="s">
        <v>500</v>
      </c>
    </row>
    <row r="38" spans="1:18" s="5" customFormat="1" ht="14.25" customHeight="1">
      <c r="A38" s="252" t="s">
        <v>4</v>
      </c>
      <c r="B38" s="462">
        <f>IF($A$5&lt;=$K$5,'BP2'!B38,0)</f>
        <v>0</v>
      </c>
      <c r="C38" s="204" t="s">
        <v>464</v>
      </c>
      <c r="D38" s="240" t="str">
        <f>"Graduate Student"&amp;IF(B38&gt;0,"s",)</f>
        <v>Graduate Student</v>
      </c>
      <c r="E38" s="251"/>
      <c r="F38" s="251"/>
      <c r="G38" s="534">
        <v>12</v>
      </c>
      <c r="H38" s="222">
        <f>IF($A$5&lt;=$K$5,(IF('BP2'!H38&lt;&gt;'BP2'!B38*12,'BP2'!H38,B38*12)),0)</f>
        <v>0</v>
      </c>
      <c r="I38" s="223"/>
      <c r="J38" s="223"/>
      <c r="K38" s="162">
        <f t="shared" ca="1" si="4"/>
        <v>0</v>
      </c>
      <c r="L38" s="163">
        <f>IF($A$5&lt;=$K$5,K38*LOOKUP($K$8,Lists!$A$2:$A$812,Lists!$F$2:$F$812),0)</f>
        <v>0</v>
      </c>
      <c r="M38" s="276">
        <f>IF(B38&gt;0,'BP1'!M38,)</f>
        <v>0</v>
      </c>
      <c r="N38" s="162">
        <f t="shared" ca="1" si="5"/>
        <v>0</v>
      </c>
      <c r="O38" s="163">
        <f ca="1">N38*LOOKUP($K$8,Lists!$A$2:$A$812,Lists!$F$2:$F$812)</f>
        <v>0</v>
      </c>
      <c r="P38" s="229">
        <f ca="1">IF($A$5&lt;=$K$5,INDIRECT("BP"&amp;$A$5-1&amp;"!P38")*(1+$K$7),0)</f>
        <v>0</v>
      </c>
      <c r="Q38" s="389"/>
      <c r="R38" s="136" t="s">
        <v>225</v>
      </c>
    </row>
    <row r="39" spans="1:18" s="5" customFormat="1" ht="14.25" customHeight="1">
      <c r="A39" s="252" t="s">
        <v>5</v>
      </c>
      <c r="B39" s="462">
        <f>IF($A$5&lt;=$K$5,'BP2'!B39,0)</f>
        <v>0</v>
      </c>
      <c r="C39" s="204" t="s">
        <v>464</v>
      </c>
      <c r="D39" s="240" t="str">
        <f>"Undergraduate Student"&amp;IF(B39&gt;0,"s",)</f>
        <v>Undergraduate Student</v>
      </c>
      <c r="E39" s="251"/>
      <c r="F39" s="251"/>
      <c r="G39" s="534">
        <v>12</v>
      </c>
      <c r="H39" s="222">
        <f>IF($A$5&lt;=$K$5,(IF('BP2'!H39&lt;&gt;'BP2'!B39*12,'BP2'!H39,B39*12)),0)</f>
        <v>0</v>
      </c>
      <c r="I39" s="223"/>
      <c r="J39" s="223"/>
      <c r="K39" s="162">
        <f t="shared" ca="1" si="4"/>
        <v>0</v>
      </c>
      <c r="L39" s="223"/>
      <c r="M39" s="276">
        <f>IF(B39&gt;0,'BP1'!M39,)</f>
        <v>0</v>
      </c>
      <c r="N39" s="162">
        <f ca="1">IFERROR(P39/12*M39,)</f>
        <v>0</v>
      </c>
      <c r="O39" s="223"/>
      <c r="P39" s="229">
        <f ca="1">IF($A$5&lt;=$K$5,INDIRECT("BP"&amp;$A$5-1&amp;"!P39")*(1+$K$7),0)</f>
        <v>0</v>
      </c>
      <c r="Q39" s="389"/>
      <c r="R39" s="136" t="s">
        <v>225</v>
      </c>
    </row>
    <row r="40" spans="1:18" s="5" customFormat="1" ht="14.25" customHeight="1" thickBot="1">
      <c r="A40" s="252" t="s">
        <v>6</v>
      </c>
      <c r="B40" s="462">
        <f>IF($A$5&lt;=$K$5,'BP2'!B40,0)</f>
        <v>0</v>
      </c>
      <c r="C40" s="204" t="s">
        <v>464</v>
      </c>
      <c r="D40" s="240" t="str">
        <f>"Other"&amp;IF(B40&gt;0,"s",)&amp;" (Carrying Statutory Benefits)"</f>
        <v>Other (Carrying Statutory Benefits)</v>
      </c>
      <c r="E40" s="251"/>
      <c r="F40" s="251"/>
      <c r="G40" s="534">
        <v>12</v>
      </c>
      <c r="H40" s="222">
        <f>IF($A$5&lt;=$K$5,(IF('BP2'!H40&lt;&gt;'BP2'!B40*12,'BP2'!H40,B40*12)),0)</f>
        <v>0</v>
      </c>
      <c r="I40" s="223"/>
      <c r="J40" s="223"/>
      <c r="K40" s="162">
        <f t="shared" ca="1" si="4"/>
        <v>0</v>
      </c>
      <c r="L40" s="163">
        <f>IF($A$5&lt;=$K$5,K40*LOOKUP($K$8,Lists!$A$2:$A$812,Lists!$E$2:$E$812),0)</f>
        <v>0</v>
      </c>
      <c r="M40" s="276">
        <f>IF(B40&gt;0,'BP1'!M40,)</f>
        <v>0</v>
      </c>
      <c r="N40" s="162">
        <f t="shared" ca="1" si="5"/>
        <v>0</v>
      </c>
      <c r="O40" s="163">
        <f ca="1">N40*LOOKUP($K$8,Lists!$A$2:$A$812,Lists!$E$2:$E$812)</f>
        <v>0</v>
      </c>
      <c r="P40" s="229">
        <f ca="1">IF($A$5&lt;=$K$5,INDIRECT("BP"&amp;$A$5-1&amp;"!P40")*(1+$K$7),0)</f>
        <v>0</v>
      </c>
      <c r="Q40" s="389"/>
      <c r="R40" s="136" t="s">
        <v>225</v>
      </c>
    </row>
    <row r="41" spans="1:18" s="5" customFormat="1" ht="14.25" customHeight="1" thickBot="1">
      <c r="A41" s="186"/>
      <c r="B41" s="204" t="s">
        <v>92</v>
      </c>
      <c r="C41" s="187"/>
      <c r="D41" s="181"/>
      <c r="E41" s="181"/>
      <c r="F41" s="181"/>
      <c r="G41" s="181"/>
      <c r="H41" s="188"/>
      <c r="I41" s="189"/>
      <c r="J41" s="187"/>
      <c r="K41" s="852">
        <f>IF($A$5&lt;=$K$5,SUM(K30:K40),0)</f>
        <v>0</v>
      </c>
      <c r="L41" s="853"/>
      <c r="M41" s="272"/>
      <c r="N41" s="867">
        <f ca="1">SUM(N30:N40)</f>
        <v>0</v>
      </c>
      <c r="O41" s="893"/>
      <c r="R41" s="136" t="s">
        <v>225</v>
      </c>
    </row>
    <row r="42" spans="1:18" s="5" customFormat="1" ht="14.25" customHeight="1" thickBot="1">
      <c r="A42" s="209" t="s">
        <v>93</v>
      </c>
      <c r="B42" s="187"/>
      <c r="C42" s="187"/>
      <c r="D42" s="178"/>
      <c r="E42" s="178"/>
      <c r="F42" s="190"/>
      <c r="G42" s="191"/>
      <c r="H42" s="192"/>
      <c r="I42" s="189"/>
      <c r="J42" s="187"/>
      <c r="K42" s="852">
        <f>IF($A$5&lt;=$K$5,SUM(L30:L40),0)</f>
        <v>0</v>
      </c>
      <c r="L42" s="853"/>
      <c r="M42" s="272"/>
      <c r="N42" s="867">
        <f ca="1">SUM(O30:O40)</f>
        <v>0</v>
      </c>
      <c r="O42" s="893"/>
      <c r="R42" s="136" t="s">
        <v>225</v>
      </c>
    </row>
    <row r="43" spans="1:18" s="5" customFormat="1" ht="14.25" customHeight="1" thickBot="1">
      <c r="A43" s="170"/>
      <c r="B43" s="210" t="s">
        <v>212</v>
      </c>
      <c r="C43" s="171"/>
      <c r="D43" s="172"/>
      <c r="E43" s="172"/>
      <c r="F43" s="172"/>
      <c r="G43" s="172"/>
      <c r="H43" s="171"/>
      <c r="I43" s="171"/>
      <c r="J43" s="171"/>
      <c r="K43" s="852">
        <f>IF($A$5&lt;=$K$5,SUM(K41:K42),0)</f>
        <v>0</v>
      </c>
      <c r="L43" s="853"/>
      <c r="M43" s="272"/>
      <c r="N43" s="867">
        <f ca="1">SUM(N41:N42)</f>
        <v>0</v>
      </c>
      <c r="O43" s="893"/>
      <c r="R43" s="136" t="s">
        <v>225</v>
      </c>
    </row>
    <row r="44" spans="1:18" s="5" customFormat="1" ht="14.25" customHeight="1" thickBot="1">
      <c r="A44" s="207" t="s">
        <v>213</v>
      </c>
      <c r="B44" s="166"/>
      <c r="C44" s="166"/>
      <c r="D44" s="167"/>
      <c r="E44" s="167"/>
      <c r="F44" s="167"/>
      <c r="G44" s="167"/>
      <c r="H44" s="166"/>
      <c r="I44" s="182"/>
      <c r="J44" s="166"/>
      <c r="K44" s="23"/>
      <c r="L44" s="24"/>
      <c r="M44" s="272"/>
      <c r="N44" s="35"/>
      <c r="O44" s="36"/>
      <c r="R44" s="136" t="s">
        <v>225</v>
      </c>
    </row>
    <row r="45" spans="1:18" s="5" customFormat="1" ht="14.25" customHeight="1" thickBot="1">
      <c r="A45" s="185"/>
      <c r="B45" s="934"/>
      <c r="C45" s="935"/>
      <c r="D45" s="935"/>
      <c r="E45" s="935"/>
      <c r="F45" s="936"/>
      <c r="G45" s="183"/>
      <c r="H45" s="183"/>
      <c r="I45" s="211" t="s">
        <v>162</v>
      </c>
      <c r="J45" s="184"/>
      <c r="K45" s="962"/>
      <c r="L45" s="963"/>
      <c r="M45" s="272"/>
      <c r="N45" s="776"/>
      <c r="O45" s="777"/>
      <c r="R45" s="136" t="s">
        <v>225</v>
      </c>
    </row>
    <row r="46" spans="1:18" s="5" customFormat="1" ht="14.25" hidden="1" customHeight="1" thickBot="1">
      <c r="A46" s="185"/>
      <c r="B46" s="934"/>
      <c r="C46" s="935"/>
      <c r="D46" s="935"/>
      <c r="E46" s="935"/>
      <c r="F46" s="936"/>
      <c r="G46" s="183"/>
      <c r="H46" s="183"/>
      <c r="I46" s="211" t="s">
        <v>163</v>
      </c>
      <c r="J46" s="184"/>
      <c r="K46" s="962"/>
      <c r="L46" s="963"/>
      <c r="M46" s="272"/>
      <c r="N46" s="776"/>
      <c r="O46" s="777"/>
      <c r="R46" s="136" t="s">
        <v>494</v>
      </c>
    </row>
    <row r="47" spans="1:18" s="5" customFormat="1" ht="14.25" hidden="1" customHeight="1" thickBot="1">
      <c r="A47" s="185"/>
      <c r="B47" s="934"/>
      <c r="C47" s="935"/>
      <c r="D47" s="935"/>
      <c r="E47" s="935"/>
      <c r="F47" s="936"/>
      <c r="G47" s="183"/>
      <c r="H47" s="183"/>
      <c r="I47" s="211" t="s">
        <v>164</v>
      </c>
      <c r="J47" s="184"/>
      <c r="K47" s="962"/>
      <c r="L47" s="963"/>
      <c r="M47" s="272"/>
      <c r="N47" s="776"/>
      <c r="O47" s="777"/>
      <c r="R47" s="136" t="s">
        <v>494</v>
      </c>
    </row>
    <row r="48" spans="1:18" s="5" customFormat="1" ht="14.25" hidden="1" customHeight="1" thickBot="1">
      <c r="A48" s="185"/>
      <c r="B48" s="934"/>
      <c r="C48" s="935"/>
      <c r="D48" s="935"/>
      <c r="E48" s="935"/>
      <c r="F48" s="936"/>
      <c r="G48" s="183"/>
      <c r="H48" s="183"/>
      <c r="I48" s="211" t="s">
        <v>165</v>
      </c>
      <c r="J48" s="184"/>
      <c r="K48" s="962"/>
      <c r="L48" s="963"/>
      <c r="M48" s="272"/>
      <c r="N48" s="776"/>
      <c r="O48" s="777"/>
      <c r="R48" s="136" t="s">
        <v>494</v>
      </c>
    </row>
    <row r="49" spans="1:19" s="5" customFormat="1" ht="14.25" hidden="1" customHeight="1" thickBot="1">
      <c r="A49" s="185"/>
      <c r="B49" s="934"/>
      <c r="C49" s="935"/>
      <c r="D49" s="935"/>
      <c r="E49" s="935"/>
      <c r="F49" s="936"/>
      <c r="G49" s="183"/>
      <c r="H49" s="183"/>
      <c r="I49" s="211" t="s">
        <v>166</v>
      </c>
      <c r="J49" s="184"/>
      <c r="K49" s="962"/>
      <c r="L49" s="963"/>
      <c r="M49" s="272"/>
      <c r="N49" s="776"/>
      <c r="O49" s="777"/>
      <c r="R49" s="136" t="s">
        <v>494</v>
      </c>
    </row>
    <row r="50" spans="1:19" s="5" customFormat="1" ht="14.25" customHeight="1" thickBot="1">
      <c r="A50" s="176"/>
      <c r="B50" s="202" t="s">
        <v>214</v>
      </c>
      <c r="C50" s="177"/>
      <c r="D50" s="169"/>
      <c r="E50" s="169"/>
      <c r="F50" s="169"/>
      <c r="G50" s="169"/>
      <c r="H50" s="169"/>
      <c r="I50" s="169"/>
      <c r="J50" s="169"/>
      <c r="K50" s="862">
        <f>SUM(K45:K49)</f>
        <v>0</v>
      </c>
      <c r="L50" s="853"/>
      <c r="M50" s="272"/>
      <c r="N50" s="900">
        <f>SUM(N45:N49)</f>
        <v>0</v>
      </c>
      <c r="O50" s="901"/>
      <c r="R50" s="136" t="s">
        <v>225</v>
      </c>
    </row>
    <row r="51" spans="1:19" s="5" customFormat="1" ht="14.25" customHeight="1">
      <c r="A51" s="212" t="s">
        <v>215</v>
      </c>
      <c r="B51" s="210"/>
      <c r="C51" s="210"/>
      <c r="D51" s="526"/>
      <c r="E51" s="526"/>
      <c r="F51" s="214"/>
      <c r="G51" s="440" t="s">
        <v>465</v>
      </c>
      <c r="H51" s="858" t="s">
        <v>94</v>
      </c>
      <c r="I51" s="859"/>
      <c r="J51" s="859"/>
      <c r="K51" s="854">
        <f>IF($A$5&lt;=$K$5,(IF(SUM('Travel Calculator'!$L$14:$M$14)&gt;0,('Travel Calculator'!$L$11*(1-'Travel Calculator'!$N$4)),'BP2'!$K$51)),)</f>
        <v>0</v>
      </c>
      <c r="L51" s="855"/>
      <c r="M51" s="272"/>
      <c r="N51" s="854">
        <f>IF($A$5&lt;=$K$5,(IF(SUM('Travel Calculator'!$L$14:$M$14)&gt;0,('Travel Calculator'!$L$11*('Travel Calculator'!$N$4)),'BP2'!$N$51)),)</f>
        <v>0</v>
      </c>
      <c r="O51" s="855"/>
      <c r="R51" s="136" t="s">
        <v>225</v>
      </c>
    </row>
    <row r="52" spans="1:19" s="5" customFormat="1" ht="14.25" customHeight="1" thickBot="1">
      <c r="A52" s="212"/>
      <c r="B52" s="210"/>
      <c r="C52" s="210"/>
      <c r="D52" s="526"/>
      <c r="E52" s="526"/>
      <c r="F52" s="438"/>
      <c r="G52" s="440" t="s">
        <v>466</v>
      </c>
      <c r="H52" s="858" t="s">
        <v>95</v>
      </c>
      <c r="I52" s="859"/>
      <c r="J52" s="859"/>
      <c r="K52" s="864">
        <f>IF($A$5&lt;=$K$5,(IF(SUM('Travel Calculator'!$L$14:$M$14)&gt;0,('Travel Calculator'!$M$11*(1-'Travel Calculator'!$N$4)),'BP2'!$K$52)),)</f>
        <v>0</v>
      </c>
      <c r="L52" s="865"/>
      <c r="M52" s="272"/>
      <c r="N52" s="864">
        <f>IF($A$5&lt;=$K$5,(IF(SUM('Travel Calculator'!$L$14:$M$14)&gt;0,('Travel Calculator'!$M$11*('Travel Calculator'!$N$4)),'BP2'!$N$52)),)</f>
        <v>0</v>
      </c>
      <c r="O52" s="865"/>
      <c r="R52" s="136" t="s">
        <v>225</v>
      </c>
    </row>
    <row r="53" spans="1:19" s="5" customFormat="1" ht="14.25" customHeight="1" thickBot="1">
      <c r="A53" s="196"/>
      <c r="B53" s="202"/>
      <c r="C53" s="202"/>
      <c r="D53" s="527"/>
      <c r="E53" s="527"/>
      <c r="F53" s="527"/>
      <c r="G53" s="527"/>
      <c r="H53" s="860" t="s">
        <v>110</v>
      </c>
      <c r="I53" s="860"/>
      <c r="J53" s="861"/>
      <c r="K53" s="852">
        <f>IF($A$5&lt;=$K$5,K51+K52,0)</f>
        <v>0</v>
      </c>
      <c r="L53" s="853"/>
      <c r="M53" s="272"/>
      <c r="N53" s="867">
        <f>N51+N52</f>
        <v>0</v>
      </c>
      <c r="O53" s="893"/>
      <c r="R53" s="136" t="s">
        <v>225</v>
      </c>
    </row>
    <row r="54" spans="1:19" s="5" customFormat="1" ht="14.25" customHeight="1">
      <c r="A54" s="212" t="s">
        <v>216</v>
      </c>
      <c r="B54" s="210"/>
      <c r="C54" s="210"/>
      <c r="D54" s="239"/>
      <c r="E54" s="239"/>
      <c r="F54" s="239"/>
      <c r="G54" s="239"/>
      <c r="H54" s="210"/>
      <c r="I54" s="217"/>
      <c r="J54" s="210"/>
      <c r="K54" s="25"/>
      <c r="L54" s="26"/>
      <c r="M54" s="272"/>
      <c r="N54" s="37"/>
      <c r="O54" s="38"/>
      <c r="R54" s="136" t="s">
        <v>225</v>
      </c>
    </row>
    <row r="55" spans="1:19" s="5" customFormat="1" ht="14.25" customHeight="1">
      <c r="A55" s="212"/>
      <c r="B55" s="218">
        <v>1</v>
      </c>
      <c r="C55" s="780" t="str">
        <f>'BP1'!C55</f>
        <v>Materials and Supplies</v>
      </c>
      <c r="D55" s="780"/>
      <c r="E55" s="780"/>
      <c r="F55" s="780"/>
      <c r="G55" s="780"/>
      <c r="H55" s="780"/>
      <c r="I55" s="780"/>
      <c r="J55" s="858"/>
      <c r="K55" s="968">
        <f>IF($A$5&lt;=$K$5,'BP2'!K55,0)</f>
        <v>0</v>
      </c>
      <c r="L55" s="963"/>
      <c r="M55" s="272"/>
      <c r="N55" s="776">
        <f>IF($A$5&lt;='BP1'!$K$5,'BP2'!N55,0)</f>
        <v>0</v>
      </c>
      <c r="O55" s="777"/>
      <c r="R55" s="136" t="s">
        <v>225</v>
      </c>
    </row>
    <row r="56" spans="1:19" s="5" customFormat="1" ht="14.25" customHeight="1">
      <c r="A56" s="212"/>
      <c r="B56" s="218">
        <v>2</v>
      </c>
      <c r="C56" s="780" t="str">
        <f>'BP1'!C56</f>
        <v>Publication Costs</v>
      </c>
      <c r="D56" s="780"/>
      <c r="E56" s="780"/>
      <c r="F56" s="780"/>
      <c r="G56" s="780"/>
      <c r="H56" s="780"/>
      <c r="I56" s="780"/>
      <c r="J56" s="858"/>
      <c r="K56" s="968">
        <f>IF($A$5&lt;=$K$5,'BP2'!K56,0)</f>
        <v>0</v>
      </c>
      <c r="L56" s="963"/>
      <c r="M56" s="272"/>
      <c r="N56" s="776">
        <f>IF($A$5&lt;='BP1'!$K$5,'BP2'!N56,0)</f>
        <v>0</v>
      </c>
      <c r="O56" s="777"/>
      <c r="R56" s="136" t="s">
        <v>225</v>
      </c>
    </row>
    <row r="57" spans="1:19" s="5" customFormat="1" ht="14.25" customHeight="1">
      <c r="A57" s="212"/>
      <c r="B57" s="218">
        <v>3</v>
      </c>
      <c r="C57" s="780" t="str">
        <f>'BP1'!C57</f>
        <v>Consultant Services</v>
      </c>
      <c r="D57" s="780"/>
      <c r="E57" s="780"/>
      <c r="F57" s="780"/>
      <c r="G57" s="780"/>
      <c r="H57" s="780"/>
      <c r="I57" s="780"/>
      <c r="J57" s="858"/>
      <c r="K57" s="968">
        <f>IF($A$5&lt;=$K$5,'BP2'!K57,0)</f>
        <v>0</v>
      </c>
      <c r="L57" s="963"/>
      <c r="M57" s="272"/>
      <c r="N57" s="776">
        <f>IF($A$5&lt;='BP1'!$K$5,'BP2'!N57,0)</f>
        <v>0</v>
      </c>
      <c r="O57" s="777"/>
      <c r="R57" s="136" t="s">
        <v>225</v>
      </c>
    </row>
    <row r="58" spans="1:19" s="5" customFormat="1" ht="14.25" customHeight="1">
      <c r="A58" s="212"/>
      <c r="B58" s="218">
        <v>4</v>
      </c>
      <c r="C58" s="780" t="str">
        <f>'BP1'!C58</f>
        <v>Computer Services</v>
      </c>
      <c r="D58" s="780"/>
      <c r="E58" s="780"/>
      <c r="F58" s="780"/>
      <c r="G58" s="780"/>
      <c r="H58" s="780"/>
      <c r="I58" s="780"/>
      <c r="J58" s="858"/>
      <c r="K58" s="968">
        <f>IF($A$5&lt;=$K$5,'BP2'!K58,0)</f>
        <v>0</v>
      </c>
      <c r="L58" s="963"/>
      <c r="M58" s="272"/>
      <c r="N58" s="776">
        <f>IF($A$5&lt;='BP1'!$K$5,'BP2'!N58,0)</f>
        <v>0</v>
      </c>
      <c r="O58" s="777"/>
      <c r="R58" s="136" t="s">
        <v>225</v>
      </c>
    </row>
    <row r="59" spans="1:19" s="5" customFormat="1" ht="14.25" customHeight="1">
      <c r="A59" s="212"/>
      <c r="B59" s="218">
        <v>5</v>
      </c>
      <c r="C59" s="780" t="s">
        <v>221</v>
      </c>
      <c r="D59" s="780"/>
      <c r="E59" s="780"/>
      <c r="F59" s="780"/>
      <c r="G59" s="780"/>
      <c r="H59" s="780"/>
      <c r="I59" s="780"/>
      <c r="J59" s="858"/>
      <c r="K59" s="964">
        <f>IF($A$5&lt;=$K$5,SUM((H38/12)*LOOKUP(K8,Lists!A2:A812,Lists!K2:K812)),0)</f>
        <v>0</v>
      </c>
      <c r="L59" s="964"/>
      <c r="M59" s="272"/>
      <c r="N59" s="917">
        <f>IF($A$5&lt;='BP1'!$K$5,SUM((M38/12)*LOOKUP(K8,Lists!A2:A812,Lists!K2:K812)),0)</f>
        <v>0</v>
      </c>
      <c r="O59" s="937"/>
      <c r="P59" s="8"/>
      <c r="Q59" s="8"/>
      <c r="R59" s="136" t="s">
        <v>225</v>
      </c>
    </row>
    <row r="60" spans="1:19" s="5" customFormat="1" ht="14.25" customHeight="1">
      <c r="A60" s="212"/>
      <c r="B60" s="218">
        <v>6</v>
      </c>
      <c r="C60" s="780" t="str">
        <f>'BP1'!C60</f>
        <v>MTDC Other</v>
      </c>
      <c r="D60" s="780"/>
      <c r="E60" s="780"/>
      <c r="F60" s="780"/>
      <c r="G60" s="780"/>
      <c r="H60" s="780"/>
      <c r="I60" s="780"/>
      <c r="J60" s="858"/>
      <c r="K60" s="919">
        <f>IF($A$5&lt;=$K$5,'BP2'!K60,0)</f>
        <v>0</v>
      </c>
      <c r="L60" s="919"/>
      <c r="M60" s="272"/>
      <c r="N60" s="776">
        <f>IF($A$5&lt;='BP1'!$K$5,'BP2'!N60,0)</f>
        <v>0</v>
      </c>
      <c r="O60" s="777"/>
      <c r="P60" s="8"/>
      <c r="Q60" s="8"/>
      <c r="R60" s="136" t="s">
        <v>225</v>
      </c>
    </row>
    <row r="61" spans="1:19" s="5" customFormat="1" ht="14.25" customHeight="1" thickBot="1">
      <c r="A61" s="212"/>
      <c r="B61" s="218">
        <v>7</v>
      </c>
      <c r="C61" s="780" t="str">
        <f>'BP1'!C61</f>
        <v>Non-MTDC Other (no indirect costs)</v>
      </c>
      <c r="D61" s="780"/>
      <c r="E61" s="780"/>
      <c r="F61" s="780"/>
      <c r="G61" s="780"/>
      <c r="H61" s="780"/>
      <c r="I61" s="780"/>
      <c r="J61" s="858"/>
      <c r="K61" s="968">
        <f>IF($A$5&lt;=$K$5,'BP2'!K61,0)</f>
        <v>0</v>
      </c>
      <c r="L61" s="963"/>
      <c r="M61" s="272"/>
      <c r="N61" s="776">
        <f>IF($A$5&lt;='BP1'!$K$5,'BP2'!N61,0)</f>
        <v>0</v>
      </c>
      <c r="O61" s="777"/>
      <c r="P61" s="219" t="s">
        <v>149</v>
      </c>
      <c r="Q61" s="391"/>
      <c r="R61" s="136" t="s">
        <v>225</v>
      </c>
    </row>
    <row r="62" spans="1:19" s="5" customFormat="1" ht="14.25" customHeight="1" thickBot="1">
      <c r="A62" s="170"/>
      <c r="B62" s="241">
        <v>8</v>
      </c>
      <c r="C62" s="780" t="s">
        <v>573</v>
      </c>
      <c r="D62" s="780"/>
      <c r="E62" s="778" t="s">
        <v>298</v>
      </c>
      <c r="F62" s="779"/>
      <c r="G62" s="768">
        <f>'Subaward Calculator'!B8</f>
        <v>0</v>
      </c>
      <c r="H62" s="769"/>
      <c r="I62" s="770"/>
      <c r="J62" s="299">
        <f>IF('BP2'!K62+'BP1'!K62&lt;25000,25000-('BP2'!K62+'BP1'!K62),0)</f>
        <v>25000</v>
      </c>
      <c r="K62" s="771">
        <f>IF(AND(SUM('BP2'!K62)&gt;0,'Subaward Calculator'!AD9=0,'BP1'!K5&gt;2),'BP2'!K62,'Subaward Calculator'!O9)</f>
        <v>0</v>
      </c>
      <c r="L62" s="772"/>
      <c r="M62" s="272"/>
      <c r="N62" s="922">
        <f>IF(AND(SUM('BP2'!N62)&gt;0,'Subaward Calculator'!AF9=0,'BP1'!K5&gt;2),'BP2'!N62,'Subaward Calculator'!Q9)</f>
        <v>0</v>
      </c>
      <c r="O62" s="923"/>
      <c r="P62" s="592">
        <f>'Subaward Calculator'!B9</f>
        <v>0</v>
      </c>
      <c r="Q62" s="397"/>
      <c r="R62" s="136" t="s">
        <v>225</v>
      </c>
      <c r="S62" s="72"/>
    </row>
    <row r="63" spans="1:19" s="5" customFormat="1" ht="14.25" hidden="1" customHeight="1" thickBot="1">
      <c r="A63" s="212"/>
      <c r="B63" s="271"/>
      <c r="C63" s="780" t="s">
        <v>574</v>
      </c>
      <c r="D63" s="780"/>
      <c r="E63" s="778" t="s">
        <v>298</v>
      </c>
      <c r="F63" s="779"/>
      <c r="G63" s="768">
        <f>'Subaward Calculator'!B11</f>
        <v>0</v>
      </c>
      <c r="H63" s="769"/>
      <c r="I63" s="770"/>
      <c r="J63" s="299">
        <f>IF('BP2'!K63+'BP1'!K63&lt;25000,25000-('BP2'!K63+'BP1'!K63),0)</f>
        <v>25000</v>
      </c>
      <c r="K63" s="771">
        <f>IF(AND(SUM('BP2'!K63)&gt;0,'Subaward Calculator'!AD12=0,'BP1'!K5&gt;2),'BP2'!K63,'Subaward Calculator'!O12)</f>
        <v>0</v>
      </c>
      <c r="L63" s="772"/>
      <c r="M63" s="272"/>
      <c r="N63" s="922">
        <f>IF(AND(SUM('BP2'!N63)&gt;0,'Subaward Calculator'!AF12=0,'BP1'!K5&gt;2),'BP2'!N63,'Subaward Calculator'!Q12)</f>
        <v>0</v>
      </c>
      <c r="O63" s="923"/>
      <c r="P63" s="592">
        <f>'Subaward Calculator'!B12</f>
        <v>0</v>
      </c>
      <c r="Q63" s="397"/>
      <c r="R63" s="136" t="s">
        <v>228</v>
      </c>
      <c r="S63" s="72"/>
    </row>
    <row r="64" spans="1:19" s="5" customFormat="1" ht="14.25" hidden="1" customHeight="1" thickBot="1">
      <c r="A64" s="170"/>
      <c r="B64" s="241"/>
      <c r="C64" s="780" t="s">
        <v>575</v>
      </c>
      <c r="D64" s="780"/>
      <c r="E64" s="778" t="s">
        <v>298</v>
      </c>
      <c r="F64" s="779"/>
      <c r="G64" s="768">
        <f>'Subaward Calculator'!B14</f>
        <v>0</v>
      </c>
      <c r="H64" s="769"/>
      <c r="I64" s="770"/>
      <c r="J64" s="299">
        <f>IF('BP2'!K64+'BP1'!K64&lt;25000,25000-('BP2'!K64+'BP1'!K64),0)</f>
        <v>25000</v>
      </c>
      <c r="K64" s="771">
        <f>IF(AND(SUM('BP2'!K64)&gt;0,'Subaward Calculator'!AD15=0,'BP1'!K5&gt;2),'BP2'!K64,'Subaward Calculator'!O15)</f>
        <v>0</v>
      </c>
      <c r="L64" s="772"/>
      <c r="M64" s="272"/>
      <c r="N64" s="922">
        <f>IF(AND(SUM('BP2'!N64)&gt;0,'Subaward Calculator'!AF15=0,'BP1'!K5&gt;2),'BP2'!N64,'Subaward Calculator'!Q15)</f>
        <v>0</v>
      </c>
      <c r="O64" s="923"/>
      <c r="P64" s="592">
        <f>'Subaward Calculator'!B15</f>
        <v>0</v>
      </c>
      <c r="Q64" s="397"/>
      <c r="R64" s="136" t="s">
        <v>228</v>
      </c>
      <c r="S64" s="72"/>
    </row>
    <row r="65" spans="1:19" s="5" customFormat="1" ht="14.25" hidden="1" customHeight="1" thickBot="1">
      <c r="A65" s="170"/>
      <c r="B65" s="241"/>
      <c r="C65" s="780" t="s">
        <v>576</v>
      </c>
      <c r="D65" s="780"/>
      <c r="E65" s="778" t="s">
        <v>298</v>
      </c>
      <c r="F65" s="779"/>
      <c r="G65" s="768">
        <f>'Subaward Calculator'!B17</f>
        <v>0</v>
      </c>
      <c r="H65" s="769"/>
      <c r="I65" s="770"/>
      <c r="J65" s="299">
        <f>IF('BP2'!$K$65+'BP1'!$K$65&lt;25000,25000-('BP2'!$K$65+'BP1'!$K$65),0)</f>
        <v>25000</v>
      </c>
      <c r="K65" s="771">
        <f>IF(AND(SUM('BP2'!K65)&gt;0,'Subaward Calculator'!AD18=0,'BP1'!K5&gt;2),'BP2'!K65,'Subaward Calculator'!O18)</f>
        <v>0</v>
      </c>
      <c r="L65" s="772"/>
      <c r="M65" s="272"/>
      <c r="N65" s="922">
        <f>IF(AND(SUM('BP2'!N65)&gt;0,'Subaward Calculator'!AF18=0,'BP1'!K5&gt;2),'BP2'!N65,'Subaward Calculator'!Q18)</f>
        <v>0</v>
      </c>
      <c r="O65" s="923"/>
      <c r="P65" s="592">
        <f>'Subaward Calculator'!B18</f>
        <v>0</v>
      </c>
      <c r="Q65" s="397"/>
      <c r="R65" s="136" t="s">
        <v>228</v>
      </c>
      <c r="S65" s="72"/>
    </row>
    <row r="66" spans="1:19" s="5" customFormat="1" ht="14.25" hidden="1" customHeight="1" thickBot="1">
      <c r="A66" s="170"/>
      <c r="B66" s="241"/>
      <c r="C66" s="780" t="s">
        <v>577</v>
      </c>
      <c r="D66" s="780"/>
      <c r="E66" s="778" t="s">
        <v>298</v>
      </c>
      <c r="F66" s="779"/>
      <c r="G66" s="768">
        <f>'Subaward Calculator'!B20</f>
        <v>0</v>
      </c>
      <c r="H66" s="769"/>
      <c r="I66" s="770"/>
      <c r="J66" s="299">
        <f>IF('BP2'!$K$66+'BP1'!$K$66&lt;25000,25000-('BP2'!$K$66+'BP1'!$K$66),0)</f>
        <v>25000</v>
      </c>
      <c r="K66" s="771">
        <f>IF(AND(SUM('BP2'!K66)&gt;0,'Subaward Calculator'!AD21=0,'BP1'!K5&gt;2),'BP2'!K66,'Subaward Calculator'!O21)</f>
        <v>0</v>
      </c>
      <c r="L66" s="772"/>
      <c r="M66" s="272"/>
      <c r="N66" s="922">
        <f>IF(AND(SUM('BP2'!N66)&gt;0,'Subaward Calculator'!AF21=0,'BP1'!K5&gt;2),'BP2'!N66,'Subaward Calculator'!Q21)</f>
        <v>0</v>
      </c>
      <c r="O66" s="923"/>
      <c r="P66" s="592">
        <f>'Subaward Calculator'!B21</f>
        <v>0</v>
      </c>
      <c r="Q66" s="397"/>
      <c r="R66" s="136" t="s">
        <v>228</v>
      </c>
      <c r="S66" s="72"/>
    </row>
    <row r="67" spans="1:19" s="5" customFormat="1" ht="14.25" hidden="1" customHeight="1" thickBot="1">
      <c r="A67" s="170"/>
      <c r="B67" s="241"/>
      <c r="C67" s="780" t="s">
        <v>578</v>
      </c>
      <c r="D67" s="780"/>
      <c r="E67" s="778" t="s">
        <v>298</v>
      </c>
      <c r="F67" s="779"/>
      <c r="G67" s="768">
        <f>'Subaward Calculator'!B23</f>
        <v>0</v>
      </c>
      <c r="H67" s="769"/>
      <c r="I67" s="770"/>
      <c r="J67" s="299">
        <f>IF('BP2'!$K$67+'BP1'!$K$67&lt;25000,25000-('BP2'!$K$67+'BP1'!$K$67),0)</f>
        <v>25000</v>
      </c>
      <c r="K67" s="771">
        <f>IF(AND(SUM('BP2'!K67)&gt;0,'Subaward Calculator'!AD24=0,'BP1'!K5&gt;2),'BP2'!K67,'Subaward Calculator'!O24)</f>
        <v>0</v>
      </c>
      <c r="L67" s="772"/>
      <c r="M67" s="272"/>
      <c r="N67" s="922">
        <f>IF(AND(SUM('BP2'!N67)&gt;0,'Subaward Calculator'!AF24=0,'BP1'!K5&gt;2),'BP2'!N67,'Subaward Calculator'!Q24)</f>
        <v>0</v>
      </c>
      <c r="O67" s="923"/>
      <c r="P67" s="592">
        <f>'Subaward Calculator'!B24</f>
        <v>0</v>
      </c>
      <c r="Q67" s="397"/>
      <c r="R67" s="136" t="s">
        <v>228</v>
      </c>
      <c r="S67" s="72"/>
    </row>
    <row r="68" spans="1:19" s="5" customFormat="1" ht="14.25" hidden="1" customHeight="1" thickBot="1">
      <c r="A68" s="170"/>
      <c r="B68" s="241"/>
      <c r="C68" s="780" t="s">
        <v>579</v>
      </c>
      <c r="D68" s="780"/>
      <c r="E68" s="778" t="s">
        <v>298</v>
      </c>
      <c r="F68" s="779"/>
      <c r="G68" s="768">
        <f>'Subaward Calculator'!B26</f>
        <v>0</v>
      </c>
      <c r="H68" s="769"/>
      <c r="I68" s="770"/>
      <c r="J68" s="299">
        <f>IF('BP2'!$K$68+'BP1'!$K$68&lt;25000,25000-('BP2'!$K$68+'BP1'!$K$68),0)</f>
        <v>25000</v>
      </c>
      <c r="K68" s="771">
        <f>IF(AND(SUM('BP2'!K68)&gt;0,'Subaward Calculator'!AD27=0,'BP1'!K5&gt;2),'BP2'!K68,'Subaward Calculator'!O27)</f>
        <v>0</v>
      </c>
      <c r="L68" s="772"/>
      <c r="M68" s="272"/>
      <c r="N68" s="922">
        <f>IF(AND(SUM('BP2'!N68)&gt;0,'Subaward Calculator'!AF27=0,'BP1'!K5&gt;2),'BP2'!N68,'Subaward Calculator'!Q27)</f>
        <v>0</v>
      </c>
      <c r="O68" s="923"/>
      <c r="P68" s="592">
        <f>'Subaward Calculator'!B27</f>
        <v>0</v>
      </c>
      <c r="Q68" s="397"/>
      <c r="R68" s="136" t="s">
        <v>229</v>
      </c>
      <c r="S68" s="72"/>
    </row>
    <row r="69" spans="1:19" s="5" customFormat="1" ht="14.25" hidden="1" customHeight="1" thickBot="1">
      <c r="A69" s="170"/>
      <c r="B69" s="241"/>
      <c r="C69" s="780" t="s">
        <v>580</v>
      </c>
      <c r="D69" s="780"/>
      <c r="E69" s="778" t="s">
        <v>298</v>
      </c>
      <c r="F69" s="779"/>
      <c r="G69" s="768">
        <f>'Subaward Calculator'!B29</f>
        <v>0</v>
      </c>
      <c r="H69" s="769"/>
      <c r="I69" s="770"/>
      <c r="J69" s="299">
        <f>IF('BP2'!$K$69+'BP1'!$K$69&lt;25000,25000-('BP2'!$K$69+'BP1'!$K$69),0)</f>
        <v>25000</v>
      </c>
      <c r="K69" s="771">
        <f>IF(AND(SUM('BP2'!K69)&gt;0,'Subaward Calculator'!AD30=0,'BP1'!K5&gt;2),'BP2'!K69,'Subaward Calculator'!O30)</f>
        <v>0</v>
      </c>
      <c r="L69" s="772"/>
      <c r="M69" s="272"/>
      <c r="N69" s="922">
        <f>IF(AND(SUM('BP2'!N69)&gt;0,'Subaward Calculator'!AF30=0,'BP1'!K5&gt;2),'BP2'!N69,'Subaward Calculator'!Q30)</f>
        <v>0</v>
      </c>
      <c r="O69" s="923"/>
      <c r="P69" s="592">
        <f>'Subaward Calculator'!B30</f>
        <v>0</v>
      </c>
      <c r="Q69" s="397"/>
      <c r="R69" s="136" t="s">
        <v>229</v>
      </c>
      <c r="S69" s="72"/>
    </row>
    <row r="70" spans="1:19" s="5" customFormat="1" ht="14.25" hidden="1" customHeight="1" thickBot="1">
      <c r="A70" s="170"/>
      <c r="B70" s="241"/>
      <c r="C70" s="780" t="s">
        <v>581</v>
      </c>
      <c r="D70" s="780"/>
      <c r="E70" s="778" t="s">
        <v>298</v>
      </c>
      <c r="F70" s="779"/>
      <c r="G70" s="768">
        <f>'Subaward Calculator'!B32</f>
        <v>0</v>
      </c>
      <c r="H70" s="769"/>
      <c r="I70" s="770"/>
      <c r="J70" s="299">
        <f>IF('BP2'!$K$70+'BP1'!$K$70&lt;25000,25000-('BP2'!$K$70+'BP1'!$K$70),0)</f>
        <v>25000</v>
      </c>
      <c r="K70" s="771">
        <f>IF(AND(SUM('BP2'!K70)&gt;0,'Subaward Calculator'!AD33=0,'BP1'!K5&gt;2),'BP2'!K70,'Subaward Calculator'!O33)</f>
        <v>0</v>
      </c>
      <c r="L70" s="772"/>
      <c r="M70" s="272"/>
      <c r="N70" s="922">
        <f>IF(AND(SUM('BP2'!N70)&gt;0,'Subaward Calculator'!AF33=0,'BP1'!K5&gt;2),'BP2'!N70,'Subaward Calculator'!Q33)</f>
        <v>0</v>
      </c>
      <c r="O70" s="923"/>
      <c r="P70" s="592">
        <f>'Subaward Calculator'!B33</f>
        <v>0</v>
      </c>
      <c r="Q70" s="397"/>
      <c r="R70" s="136" t="s">
        <v>229</v>
      </c>
      <c r="S70" s="72"/>
    </row>
    <row r="71" spans="1:19" s="5" customFormat="1" ht="14.25" hidden="1" customHeight="1" thickBot="1">
      <c r="A71" s="170"/>
      <c r="B71" s="241"/>
      <c r="C71" s="780" t="s">
        <v>582</v>
      </c>
      <c r="D71" s="780"/>
      <c r="E71" s="778" t="s">
        <v>298</v>
      </c>
      <c r="F71" s="779"/>
      <c r="G71" s="768">
        <f>'Subaward Calculator'!B35</f>
        <v>0</v>
      </c>
      <c r="H71" s="769"/>
      <c r="I71" s="770"/>
      <c r="J71" s="299">
        <f>IF('BP2'!$K$71+'BP1'!$K$71&lt;25000,25000-('BP2'!$K$71+'BP1'!$K$71),0)</f>
        <v>25000</v>
      </c>
      <c r="K71" s="771">
        <f>IF(AND(SUM('BP2'!K71)&gt;0,'Subaward Calculator'!AD36=0,'BP1'!K5&gt;2),'BP2'!K71,'Subaward Calculator'!O36)</f>
        <v>0</v>
      </c>
      <c r="L71" s="772"/>
      <c r="M71" s="272"/>
      <c r="N71" s="922">
        <f>IF(AND(SUM('BP2'!N71)&gt;0,'Subaward Calculator'!AF36=0,'BP1'!K5&gt;2),'BP2'!N71,'Subaward Calculator'!Q36)</f>
        <v>0</v>
      </c>
      <c r="O71" s="923"/>
      <c r="P71" s="592">
        <f>'Subaward Calculator'!B36</f>
        <v>0</v>
      </c>
      <c r="Q71" s="397"/>
      <c r="R71" s="136" t="s">
        <v>229</v>
      </c>
      <c r="S71" s="72"/>
    </row>
    <row r="72" spans="1:19" s="5" customFormat="1" ht="14.25" hidden="1" customHeight="1" thickBot="1">
      <c r="A72" s="170"/>
      <c r="B72" s="241"/>
      <c r="C72" s="780" t="s">
        <v>583</v>
      </c>
      <c r="D72" s="780"/>
      <c r="E72" s="778" t="s">
        <v>298</v>
      </c>
      <c r="F72" s="779"/>
      <c r="G72" s="768">
        <f>'Subaward Calculator'!B38</f>
        <v>0</v>
      </c>
      <c r="H72" s="769"/>
      <c r="I72" s="770"/>
      <c r="J72" s="299">
        <f>IF('BP2'!$K$72+'BP1'!$K$72&lt;25000,25000-('BP2'!$K$72+'BP1'!$K$72),0)</f>
        <v>25000</v>
      </c>
      <c r="K72" s="771">
        <f>IF(AND(SUM('BP2'!K72)&gt;0,'Subaward Calculator'!AD39=0,'BP1'!K5&gt;2),'BP2'!K72,'Subaward Calculator'!O39)</f>
        <v>0</v>
      </c>
      <c r="L72" s="772"/>
      <c r="M72" s="272"/>
      <c r="N72" s="922">
        <f>IF(AND(SUM('BP2'!N72)&gt;0,'Subaward Calculator'!AF39=0,'BP1'!K5&gt;2),'BP2'!N72,'Subaward Calculator'!Q39)</f>
        <v>0</v>
      </c>
      <c r="O72" s="923"/>
      <c r="P72" s="592">
        <f>'Subaward Calculator'!B39</f>
        <v>0</v>
      </c>
      <c r="Q72" s="397"/>
      <c r="R72" s="136" t="s">
        <v>229</v>
      </c>
      <c r="S72" s="72"/>
    </row>
    <row r="73" spans="1:19" s="5" customFormat="1" ht="14.25" hidden="1" customHeight="1" thickBot="1">
      <c r="A73" s="170"/>
      <c r="B73" s="241"/>
      <c r="C73" s="780" t="s">
        <v>584</v>
      </c>
      <c r="D73" s="780"/>
      <c r="E73" s="778" t="s">
        <v>298</v>
      </c>
      <c r="F73" s="779"/>
      <c r="G73" s="768">
        <f>'Subaward Calculator'!B41</f>
        <v>0</v>
      </c>
      <c r="H73" s="769"/>
      <c r="I73" s="770"/>
      <c r="J73" s="299">
        <f>IF('BP2'!$K$73+'BP1'!$K$73&lt;25000,25000-('BP2'!$K$73+'BP1'!$K$73),0)</f>
        <v>25000</v>
      </c>
      <c r="K73" s="771">
        <f>IF(AND(SUM('BP2'!K73)&gt;0,'Subaward Calculator'!AD42=0,'BP1'!K5&gt;2),'BP2'!K73,'Subaward Calculator'!O42)</f>
        <v>0</v>
      </c>
      <c r="L73" s="772"/>
      <c r="M73" s="272"/>
      <c r="N73" s="922">
        <f>IF(AND(SUM('BP2'!N73)&gt;0,'Subaward Calculator'!AF42=0,'BP1'!K5&gt;2),'BP2'!N73,'Subaward Calculator'!Q42)</f>
        <v>0</v>
      </c>
      <c r="O73" s="923"/>
      <c r="P73" s="592">
        <f>'Subaward Calculator'!B42</f>
        <v>0</v>
      </c>
      <c r="Q73" s="397"/>
      <c r="R73" s="136" t="s">
        <v>229</v>
      </c>
      <c r="S73" s="72"/>
    </row>
    <row r="74" spans="1:19" s="5" customFormat="1" ht="14.25" customHeight="1" thickBot="1">
      <c r="A74" s="212" t="s">
        <v>96</v>
      </c>
      <c r="B74" s="171"/>
      <c r="C74" s="171"/>
      <c r="D74" s="174"/>
      <c r="E74" s="175"/>
      <c r="F74" s="175"/>
      <c r="G74" s="175"/>
      <c r="H74" s="171"/>
      <c r="I74" s="173"/>
      <c r="J74" s="171"/>
      <c r="K74" s="852">
        <f>IF($A$5&lt;=$K$5,SUM(K55:$K$73),0)</f>
        <v>0</v>
      </c>
      <c r="L74" s="853"/>
      <c r="M74" s="272"/>
      <c r="N74" s="867">
        <f>SUM(N55:N73)</f>
        <v>0</v>
      </c>
      <c r="O74" s="893"/>
      <c r="R74" s="136" t="s">
        <v>225</v>
      </c>
    </row>
    <row r="75" spans="1:19" s="5" customFormat="1" ht="14.25" customHeight="1" thickBot="1">
      <c r="A75" s="212" t="s">
        <v>589</v>
      </c>
      <c r="B75" s="171"/>
      <c r="C75" s="171"/>
      <c r="D75" s="172"/>
      <c r="E75" s="172"/>
      <c r="F75" s="172"/>
      <c r="G75" s="172"/>
      <c r="H75" s="171"/>
      <c r="I75" s="173"/>
      <c r="J75" s="171"/>
      <c r="K75" s="852">
        <f>IF($A$5&lt;=$K$5,SUM(K43+K50+K53+$K$74),0)</f>
        <v>0</v>
      </c>
      <c r="L75" s="853"/>
      <c r="M75" s="272"/>
      <c r="N75" s="867">
        <f ca="1">SUM(N43+N50+N53+N74)</f>
        <v>0</v>
      </c>
      <c r="O75" s="893"/>
      <c r="R75" s="136" t="s">
        <v>225</v>
      </c>
    </row>
    <row r="76" spans="1:19" s="5" customFormat="1" ht="14.25" customHeight="1" thickBot="1">
      <c r="A76" s="212" t="str">
        <f>IF('Appendix C-Grants.gov Form Info'!J1&gt;0,IF(AND(SUM(K62:K73)&gt;0,'Subaward Calculator'!AD46=0),"","     Total NU Direct Costs and Subaward Direct Costs"),"")</f>
        <v/>
      </c>
      <c r="B76" s="171"/>
      <c r="C76" s="171"/>
      <c r="D76" s="172"/>
      <c r="E76" s="172"/>
      <c r="F76" s="253"/>
      <c r="G76" s="253"/>
      <c r="H76" s="171"/>
      <c r="I76" s="173"/>
      <c r="J76" s="171"/>
      <c r="K76" s="852" t="str">
        <f>IF('Appendix C-Grants.gov Form Info'!J1&gt;0,IF(AND(SUM(K62:K73)&gt;0,'Subaward Calculator'!AD46=0),"",IF($A$5&lt;=$K$5,SUM(K43+K50+K53+$K$74),0)-'Subaward Calculator'!O46+'Subaward Calculator'!O44),"")</f>
        <v/>
      </c>
      <c r="L76" s="853"/>
      <c r="M76" s="272"/>
      <c r="N76" s="6"/>
      <c r="O76" s="97"/>
      <c r="P76" s="4"/>
      <c r="Q76" s="4"/>
      <c r="R76" s="136" t="s">
        <v>225</v>
      </c>
    </row>
    <row r="77" spans="1:19" s="5" customFormat="1" ht="14.25" customHeight="1">
      <c r="A77" s="448"/>
      <c r="B77" s="449"/>
      <c r="C77" s="449"/>
      <c r="D77" s="449"/>
      <c r="E77" s="233"/>
      <c r="F77" s="450" t="str">
        <f>IF(OR($L$2="No F&amp;A",$L$2="Custom"),"","Current Fiscal Year Base Rate =")</f>
        <v>Current Fiscal Year Base Rate =</v>
      </c>
      <c r="G77" s="916">
        <f>IF($L$2="No F&amp;A",$L$2,IF($L$2="Custom","Enter Custom Rate:",(VLOOKUP((IF($K$8&gt;=DATE(YEAR($K$8),9,1),DATE(YEAR($K$8),9,1),DATE(YEAR($K$8)-1,9,1))),Lists!A:Q,(MATCH('BP1'!$K$2&amp;" "&amp;'BP1'!$L$2,Lists!$M$1:$Q$1,0)+12),1))))</f>
        <v>0.6</v>
      </c>
      <c r="H77" s="916"/>
      <c r="I77" s="856">
        <f ca="1">INDIRECT("BP"&amp;$A$5-1&amp;"!I77")</f>
        <v>0.1</v>
      </c>
      <c r="J77" s="857"/>
      <c r="K77" s="453"/>
      <c r="L77" s="65"/>
      <c r="M77" s="272"/>
      <c r="N77" s="283"/>
      <c r="O77" s="284"/>
      <c r="R77" s="136" t="s">
        <v>225</v>
      </c>
    </row>
    <row r="78" spans="1:19" s="5" customFormat="1" ht="14.25" customHeight="1" thickBot="1">
      <c r="A78" s="894" t="str">
        <f>IF(K3="MTDC","Modified Total Direct Costs (MTDC) Base =","Total Direct Costs (TDC) Base =")</f>
        <v>Modified Total Direct Costs (MTDC) Base =</v>
      </c>
      <c r="B78" s="895"/>
      <c r="C78" s="895"/>
      <c r="D78" s="895"/>
      <c r="E78" s="895"/>
      <c r="F78" s="895"/>
      <c r="G78" s="562">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68"/>
      <c r="I78" s="168"/>
      <c r="J78" s="288"/>
      <c r="K78" s="453"/>
      <c r="L78" s="454"/>
      <c r="M78" s="272"/>
      <c r="N78" s="899" t="s">
        <v>295</v>
      </c>
      <c r="O78" s="899"/>
      <c r="R78" s="136" t="s">
        <v>225</v>
      </c>
    </row>
    <row r="79" spans="1:19" s="5" customFormat="1" ht="14.25" customHeight="1" thickBot="1">
      <c r="A79" s="896">
        <f ca="1">IF(K3="MTDC",IF(G79&gt;0,"Modified Total Direct Costs (MTDC) Cost-Share Base =",),IF(G79&gt;0,"Total Direct Costs (TDC) Cost-Share Base =",))</f>
        <v>0</v>
      </c>
      <c r="B79" s="897"/>
      <c r="C79" s="897"/>
      <c r="D79" s="897"/>
      <c r="E79" s="897"/>
      <c r="F79" s="897"/>
      <c r="G79" s="614">
        <f ca="1">IF(K3="MTDC",IF('BP1'!K5&gt;0,N75-N50-N59-N61-IF(N62="",0,N62)-IF(N63="",0,N63)-IF(N64="",0,N64)-IF(N65="",0,N65)-IF(N66="",0,N66)-IF(N67="",0,N67)-IF(N68="",0,N68)-IF(N69="",0,N69)-IF(N70="",0,N70)-IF(N71="",0,N71)-IF(N72="",0,N72)-IF(N73="",0,N73),0),IF('BP1'!K5&gt;0,N75,0))</f>
        <v>0</v>
      </c>
      <c r="H79" s="898" t="s">
        <v>223</v>
      </c>
      <c r="I79" s="898"/>
      <c r="J79" s="898"/>
      <c r="K79" s="852">
        <f ca="1">IF($L$2="No F&amp;A",0,(IF($L$2="Custom",I77,(AVERAGEIFS(INDIRECT(SUBSTITUTE(SUBSTITUTE(CONCATENATE($K$2,$L$2)," ",""),"-","")),StartDateList,"&gt;="&amp;(DATE(YEAR($K$8),MONTH($K$8),1)),StartDateList,"&lt;="&amp;$K$10))))*G78)</f>
        <v>0</v>
      </c>
      <c r="L79" s="853"/>
      <c r="M79" s="422"/>
      <c r="N79" s="867">
        <f ca="1">IF($L$2="No F&amp;A",0,(IF($L$2="Custom",$I$77,(AVERAGEIFS(INDIRECT(SUBSTITUTE(SUBSTITUTE(CONCATENATE($K$2,$L$2)," ",""),"-","")),StartDateList,"&gt;="&amp;(DATE(YEAR($K$8),MONTH($K$8),1)),StartDateList,"&lt;="&amp;$K$10))))*$G$79)</f>
        <v>0</v>
      </c>
      <c r="O79" s="893"/>
      <c r="R79" s="136" t="s">
        <v>225</v>
      </c>
    </row>
    <row r="80" spans="1:19" s="5" customFormat="1" ht="14.25" customHeight="1" thickBot="1">
      <c r="A80" s="212" t="s">
        <v>98</v>
      </c>
      <c r="B80" s="171"/>
      <c r="C80" s="171"/>
      <c r="D80" s="172"/>
      <c r="E80" s="172"/>
      <c r="F80" s="253"/>
      <c r="G80" s="253"/>
      <c r="H80" s="171"/>
      <c r="I80" s="173"/>
      <c r="J80" s="171"/>
      <c r="K80" s="852">
        <f>IF($A$5&lt;=$K$5,ROUND(K75,0)+ROUND(K79,0),0)</f>
        <v>0</v>
      </c>
      <c r="L80" s="853"/>
      <c r="M80" s="422"/>
      <c r="N80" s="867">
        <f ca="1">ROUND(N75,0)+ROUND(N79,0)</f>
        <v>0</v>
      </c>
      <c r="O80" s="893"/>
      <c r="R80" s="136" t="s">
        <v>225</v>
      </c>
    </row>
    <row r="81" spans="1:18" ht="14.25" customHeight="1" thickBot="1">
      <c r="M81" s="272"/>
      <c r="R81" s="136" t="s">
        <v>225</v>
      </c>
    </row>
    <row r="82" spans="1:18" ht="14.25" customHeight="1" thickBot="1">
      <c r="A82" s="212" t="s">
        <v>591</v>
      </c>
      <c r="B82" s="171"/>
      <c r="C82" s="171"/>
      <c r="D82" s="172"/>
      <c r="E82" s="172"/>
      <c r="F82" s="172"/>
      <c r="G82" s="172"/>
      <c r="H82" s="171"/>
      <c r="I82" s="173"/>
      <c r="J82" s="171"/>
      <c r="K82" s="942">
        <f>'BP1'!K75+'BP2'!K75+'BP3'!K75+'BP4'!K75+'BP5'!K75</f>
        <v>0</v>
      </c>
      <c r="L82" s="942"/>
      <c r="M82" s="272"/>
      <c r="N82" s="867">
        <f ca="1">'BP1'!N75+'BP2'!N75+'BP3'!N75+'BP4'!N75+'BP5'!N75</f>
        <v>0</v>
      </c>
      <c r="O82" s="893"/>
      <c r="R82" s="136" t="s">
        <v>225</v>
      </c>
    </row>
    <row r="83" spans="1:18"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942">
        <f>IF(AND(SUM(K62:K73)&gt;0,'Subaward Calculator'!AD46=0),"",'BP1'!K75+'BP2'!K75+'BP3'!K75+'BP4'!K75+'BP5'!K75-'Subaward Calculator'!AD46+'Subaward Calculator'!AD44)</f>
        <v>0</v>
      </c>
      <c r="L83" s="942"/>
      <c r="M83" s="272"/>
      <c r="N83" s="612"/>
      <c r="O83" s="612"/>
      <c r="R83" s="136" t="s">
        <v>225</v>
      </c>
    </row>
    <row r="84" spans="1:18" ht="14.25" customHeight="1" thickBot="1">
      <c r="A84" s="212" t="s">
        <v>471</v>
      </c>
      <c r="B84" s="171"/>
      <c r="C84" s="171"/>
      <c r="D84" s="172"/>
      <c r="E84" s="172"/>
      <c r="F84" s="172"/>
      <c r="G84" s="172"/>
      <c r="H84" s="171"/>
      <c r="I84" s="173"/>
      <c r="J84" s="171"/>
      <c r="K84" s="942">
        <f ca="1">'BP1'!K80+'BP2'!K80+'BP3'!K80+'BP4'!K80+'BP5'!K80</f>
        <v>0</v>
      </c>
      <c r="L84" s="942"/>
      <c r="M84" s="272"/>
      <c r="N84" s="867">
        <f ca="1">'BP1'!N80+'BP2'!N80+'BP3'!N80+'BP4'!N80+'BP5'!N80</f>
        <v>0</v>
      </c>
      <c r="O84" s="893"/>
      <c r="R84" s="136" t="s">
        <v>225</v>
      </c>
    </row>
    <row r="85" spans="1:18" ht="14.25" customHeight="1" thickBot="1">
      <c r="A85" s="426"/>
      <c r="B85" s="311"/>
      <c r="C85" s="311"/>
      <c r="D85" s="305"/>
      <c r="E85" s="305"/>
      <c r="F85" s="305"/>
      <c r="G85" s="305"/>
      <c r="H85" s="311"/>
      <c r="I85" s="313"/>
      <c r="J85" s="311"/>
      <c r="K85" s="427"/>
      <c r="L85" s="427"/>
      <c r="M85" s="272"/>
      <c r="N85" s="279"/>
      <c r="O85" s="279"/>
      <c r="R85" s="136" t="s">
        <v>225</v>
      </c>
    </row>
    <row r="86" spans="1:18" ht="14.25" customHeight="1" thickBot="1">
      <c r="F86" s="153"/>
      <c r="G86" s="6"/>
      <c r="H86" s="6"/>
      <c r="K86" s="878"/>
      <c r="L86" s="878"/>
      <c r="N86" s="879">
        <f>$A$5</f>
        <v>3</v>
      </c>
      <c r="O86" s="880"/>
      <c r="P86" s="940" t="s">
        <v>430</v>
      </c>
      <c r="Q86" s="941"/>
      <c r="R86" s="136" t="s">
        <v>225</v>
      </c>
    </row>
    <row r="87" spans="1:18" ht="14.25" customHeight="1" thickBot="1">
      <c r="B87" s="6"/>
      <c r="C87" s="6"/>
      <c r="D87" s="304"/>
      <c r="E87" s="304"/>
      <c r="F87" s="305"/>
      <c r="G87" s="887" t="str">
        <f ca="1">IF(('BP1'!$N$80+'BP2'!$N$80+'BP3'!$N$80+'BP4'!$N$80+'BP5'!$N$80)&gt;0,"SUBAWARD COST-SHARE","")</f>
        <v/>
      </c>
      <c r="H87" s="887"/>
      <c r="I87" s="887"/>
      <c r="J87" s="887"/>
      <c r="K87" s="887"/>
      <c r="L87" s="887"/>
      <c r="M87" s="4"/>
      <c r="N87" s="874">
        <f>SUM(N62:N73)</f>
        <v>0</v>
      </c>
      <c r="O87" s="875"/>
      <c r="P87" s="920">
        <f>'BP1'!$N$87+'BP2'!$N$87+'BP3'!$N$87+'BP4'!$N$87+'BP5'!$N$87</f>
        <v>0</v>
      </c>
      <c r="Q87" s="921">
        <f>'BP1'!Q79+'BP2'!Q79+'BP3'!Q79+'BP4'!Q79+'BP5'!Q79</f>
        <v>0</v>
      </c>
      <c r="R87" s="136" t="s">
        <v>225</v>
      </c>
    </row>
    <row r="88" spans="1:18" ht="14.25" customHeight="1" thickBot="1">
      <c r="B88" s="6"/>
      <c r="C88" s="6"/>
      <c r="D88" s="304"/>
      <c r="E88" s="304"/>
      <c r="F88" s="305"/>
      <c r="G88" s="887" t="str">
        <f ca="1">IF(('BP1'!$N$80+'BP2'!$N$80+'BP3'!$N$80+'BP4'!$N$80+'BP5'!$N$80)&gt;0,"THIRD PARTY COST-SHARE","")</f>
        <v/>
      </c>
      <c r="H88" s="887"/>
      <c r="I88" s="887"/>
      <c r="J88" s="887"/>
      <c r="K88" s="887"/>
      <c r="L88" s="887"/>
      <c r="M88" s="4"/>
      <c r="N88" s="888"/>
      <c r="O88" s="889"/>
      <c r="P88" s="920">
        <f>'BP1'!$N$88+'BP2'!$N$88+'BP3'!$N$88+'BP4'!$N$88+'BP5'!$N$88</f>
        <v>0</v>
      </c>
      <c r="Q88" s="921">
        <f>'BP1'!Q78+'BP2'!Q78+'BP3'!Q78+'BP4'!Q78+'BP5'!Q78</f>
        <v>0</v>
      </c>
      <c r="R88" s="136" t="s">
        <v>225</v>
      </c>
    </row>
    <row r="89" spans="1:18" ht="14.25" customHeight="1" thickBot="1">
      <c r="B89" s="6"/>
      <c r="C89" s="6"/>
      <c r="D89" s="304"/>
      <c r="E89" s="304"/>
      <c r="F89" s="302"/>
      <c r="G89" s="887" t="str">
        <f ca="1">IF(('BP1'!$N$80+'BP2'!$N$80+'BP3'!$N$80+'BP4'!$N$80+'BP5'!$N$80)&gt;0,"TOTAL COST-SHARED","")</f>
        <v/>
      </c>
      <c r="H89" s="887"/>
      <c r="I89" s="887"/>
      <c r="J89" s="887"/>
      <c r="K89" s="887"/>
      <c r="L89" s="887"/>
      <c r="M89" s="4"/>
      <c r="N89" s="874">
        <f ca="1">$N$80+$N$88</f>
        <v>0</v>
      </c>
      <c r="O89" s="875"/>
      <c r="P89" s="920">
        <f ca="1">'BP1'!$N$89+'BP2'!$N$89+'BP3'!$N$89+'BP4'!$N$89+'BP5'!$N$89</f>
        <v>0</v>
      </c>
      <c r="Q89" s="921">
        <f>'BP1'!Q79+'BP2'!Q79+'BP3'!Q79+'BP4'!Q79+'BP5'!Q79</f>
        <v>0</v>
      </c>
      <c r="R89" s="136" t="s">
        <v>225</v>
      </c>
    </row>
    <row r="90" spans="1:18" ht="14.25" customHeight="1" thickBot="1">
      <c r="B90" s="6"/>
      <c r="C90" s="6"/>
      <c r="D90" s="304"/>
      <c r="E90" s="304"/>
      <c r="F90" s="885" t="str">
        <f ca="1">IF(('BP1'!$N$80+'BP2'!$N$80+'BP3'!$N$80+'BP4'!$N$80+'BP5'!$N$80)&gt;0,"SPONSOR COSTS","")</f>
        <v/>
      </c>
      <c r="G90" s="885"/>
      <c r="H90" s="885"/>
      <c r="I90" s="885"/>
      <c r="J90" s="885"/>
      <c r="K90" s="885"/>
      <c r="L90" s="885"/>
      <c r="M90" s="4"/>
      <c r="N90" s="874">
        <f ca="1">IF(('BP1'!$N$80+'BP2'!$N$80+'BP3'!$N$80+'BP4'!$N$80+'BP5'!$N$80)&gt;0,$K$80,)</f>
        <v>0</v>
      </c>
      <c r="O90" s="875"/>
      <c r="P90" s="920">
        <f ca="1">'BP1'!$N$90+'BP2'!$N$90+'BP3'!$N$90+'BP4'!$N$90+'BP5'!$N$90</f>
        <v>0</v>
      </c>
      <c r="Q90" s="921">
        <f>'BP1'!Q80+'BP2'!Q80+'BP3'!Q80+'BP4'!Q80+'BP5'!Q80</f>
        <v>0</v>
      </c>
      <c r="R90" s="136" t="s">
        <v>225</v>
      </c>
    </row>
    <row r="91" spans="1:18" ht="14.25" customHeight="1" thickBot="1">
      <c r="B91" s="6"/>
      <c r="C91" s="6"/>
      <c r="D91" s="304"/>
      <c r="E91" s="304"/>
      <c r="F91" s="302"/>
      <c r="G91" s="885" t="str">
        <f ca="1">IF(('BP1'!$N$80+'BP2'!$N$80+'BP3'!$N$80+'BP4'!$N$80+'BP5'!$N$80)&gt;0,"PROJECT COSTS","")</f>
        <v/>
      </c>
      <c r="H91" s="885"/>
      <c r="I91" s="885"/>
      <c r="J91" s="885"/>
      <c r="K91" s="885"/>
      <c r="L91" s="885"/>
      <c r="M91" s="4"/>
      <c r="N91" s="874">
        <f ca="1">IF(('BP1'!$N$80+'BP2'!$N$80+'BP3'!$N$80+'BP4'!$N$80+'BP5'!$N$80)&gt;0,$N$90+$N$89,)</f>
        <v>0</v>
      </c>
      <c r="O91" s="875"/>
      <c r="P91" s="920">
        <f ca="1">'BP1'!$N$91+'BP2'!$N$91+'BP3'!$N$91+'BP4'!$N$91+'BP5'!$N$91</f>
        <v>0</v>
      </c>
      <c r="Q91" s="921">
        <f>'BP1'!Q81+'BP2'!Q81+'BP3'!Q81+'BP4'!Q81+'BP5'!Q81</f>
        <v>0</v>
      </c>
      <c r="R91" s="136" t="s">
        <v>225</v>
      </c>
    </row>
    <row r="92" spans="1:18" ht="14.25" customHeight="1" thickBot="1">
      <c r="B92" s="6"/>
      <c r="C92" s="6"/>
      <c r="D92" s="304"/>
      <c r="E92" s="304"/>
      <c r="F92" s="303"/>
      <c r="G92" s="886" t="str">
        <f ca="1">IF(('BP1'!$N$80+'BP2'!$N$80+'BP3'!$N$80+'BP4'!$N$80+'BP5'!$N$80)&gt;0,"COST-SHARE AS % OF SPONSOR COSTS","")</f>
        <v/>
      </c>
      <c r="H92" s="886"/>
      <c r="I92" s="886"/>
      <c r="J92" s="886"/>
      <c r="K92" s="886"/>
      <c r="L92" s="886"/>
      <c r="M92" s="4"/>
      <c r="N92" s="876">
        <f ca="1">IFERROR($N$89/$N$90,)</f>
        <v>0</v>
      </c>
      <c r="O92" s="877"/>
      <c r="P92" s="943">
        <f ca="1">IFERROR($P$89/$P$90,)</f>
        <v>0</v>
      </c>
      <c r="Q92" s="944"/>
      <c r="R92" s="136" t="s">
        <v>225</v>
      </c>
    </row>
    <row r="93" spans="1:18" ht="14.25" customHeight="1" thickBot="1">
      <c r="B93" s="6"/>
      <c r="C93" s="6"/>
      <c r="D93" s="304"/>
      <c r="E93" s="304"/>
      <c r="F93" s="885" t="str">
        <f ca="1">IF(('BP1'!$N$80+'BP2'!$N$80+'BP3'!$N$80+'BP4'!$N$80+'BP5'!$N$80)&gt;0,"COST-SHARE AS % OF PROJECT COSTS","")</f>
        <v/>
      </c>
      <c r="G93" s="885"/>
      <c r="H93" s="885"/>
      <c r="I93" s="885"/>
      <c r="J93" s="885"/>
      <c r="K93" s="885"/>
      <c r="L93" s="885"/>
      <c r="M93" s="4"/>
      <c r="N93" s="876">
        <f ca="1">IFERROR($N$89/$N$91,)</f>
        <v>0</v>
      </c>
      <c r="O93" s="877"/>
      <c r="P93" s="943">
        <f ca="1">IFERROR($P$89/$P$91,)</f>
        <v>0</v>
      </c>
      <c r="Q93" s="944"/>
      <c r="R93" s="136" t="s">
        <v>225</v>
      </c>
    </row>
    <row r="94" spans="1:18" ht="12.75">
      <c r="D94" s="309"/>
      <c r="E94" s="309"/>
      <c r="F94" s="309"/>
      <c r="G94" s="60"/>
      <c r="H94" s="60"/>
      <c r="I94" s="307"/>
      <c r="J94" s="308"/>
      <c r="K94" s="307"/>
      <c r="L94" s="306"/>
      <c r="M94" s="306"/>
      <c r="N94" s="307"/>
      <c r="O94" s="306"/>
    </row>
  </sheetData>
  <sheetProtection formatCells="0" formatColumns="0" formatRows="0"/>
  <autoFilter ref="R1:R93" xr:uid="{00000000-0009-0000-0000-000004000000}">
    <filterColumn colId="0">
      <filters>
        <filter val="A) Condensed"/>
      </filters>
    </filterColumn>
  </autoFilter>
  <mergeCells count="196">
    <mergeCell ref="H52:J52"/>
    <mergeCell ref="H53:J53"/>
    <mergeCell ref="C60:J60"/>
    <mergeCell ref="E73:F73"/>
    <mergeCell ref="G73:I73"/>
    <mergeCell ref="G62:I62"/>
    <mergeCell ref="E62:F62"/>
    <mergeCell ref="K67:L67"/>
    <mergeCell ref="K68:L68"/>
    <mergeCell ref="K69:L69"/>
    <mergeCell ref="K60:L60"/>
    <mergeCell ref="E70:F70"/>
    <mergeCell ref="G70:I70"/>
    <mergeCell ref="E71:F71"/>
    <mergeCell ref="C59:J59"/>
    <mergeCell ref="K55:L55"/>
    <mergeCell ref="K53:L53"/>
    <mergeCell ref="K70:L70"/>
    <mergeCell ref="K71:L71"/>
    <mergeCell ref="C63:D63"/>
    <mergeCell ref="E63:F63"/>
    <mergeCell ref="E64:F64"/>
    <mergeCell ref="E65:F65"/>
    <mergeCell ref="E66:F66"/>
    <mergeCell ref="C61:J61"/>
    <mergeCell ref="K82:L82"/>
    <mergeCell ref="N86:O86"/>
    <mergeCell ref="P86:Q86"/>
    <mergeCell ref="P88:Q88"/>
    <mergeCell ref="P89:Q89"/>
    <mergeCell ref="P90:Q90"/>
    <mergeCell ref="P91:Q91"/>
    <mergeCell ref="N67:O67"/>
    <mergeCell ref="N68:O68"/>
    <mergeCell ref="C67:D67"/>
    <mergeCell ref="N79:O79"/>
    <mergeCell ref="N80:O80"/>
    <mergeCell ref="G77:H77"/>
    <mergeCell ref="N78:O78"/>
    <mergeCell ref="N69:O69"/>
    <mergeCell ref="N70:O70"/>
    <mergeCell ref="N71:O71"/>
    <mergeCell ref="K76:L76"/>
    <mergeCell ref="G67:I67"/>
    <mergeCell ref="E68:F68"/>
    <mergeCell ref="G68:I68"/>
    <mergeCell ref="E69:F69"/>
    <mergeCell ref="G91:L91"/>
    <mergeCell ref="G87:L87"/>
    <mergeCell ref="N87:O87"/>
    <mergeCell ref="P87:Q87"/>
    <mergeCell ref="K83:L83"/>
    <mergeCell ref="N72:O72"/>
    <mergeCell ref="N73:O73"/>
    <mergeCell ref="N74:O74"/>
    <mergeCell ref="N75:O75"/>
    <mergeCell ref="K72:L72"/>
    <mergeCell ref="K73:L73"/>
    <mergeCell ref="I77:J77"/>
    <mergeCell ref="K84:L84"/>
    <mergeCell ref="K86:L86"/>
    <mergeCell ref="K80:L80"/>
    <mergeCell ref="K79:L79"/>
    <mergeCell ref="K74:L74"/>
    <mergeCell ref="K75:L75"/>
    <mergeCell ref="P92:Q92"/>
    <mergeCell ref="N84:O84"/>
    <mergeCell ref="N82:O82"/>
    <mergeCell ref="P93:Q93"/>
    <mergeCell ref="N89:O89"/>
    <mergeCell ref="N90:O90"/>
    <mergeCell ref="N91:O91"/>
    <mergeCell ref="N92:O92"/>
    <mergeCell ref="N93:O93"/>
    <mergeCell ref="N88:O88"/>
    <mergeCell ref="H51:J51"/>
    <mergeCell ref="F93:L93"/>
    <mergeCell ref="G92:L92"/>
    <mergeCell ref="F90:L90"/>
    <mergeCell ref="E72:F72"/>
    <mergeCell ref="G72:I72"/>
    <mergeCell ref="C72:D72"/>
    <mergeCell ref="C73:D73"/>
    <mergeCell ref="C62:D62"/>
    <mergeCell ref="C64:D64"/>
    <mergeCell ref="C65:D65"/>
    <mergeCell ref="C66:D66"/>
    <mergeCell ref="C68:D68"/>
    <mergeCell ref="C69:D69"/>
    <mergeCell ref="C70:D70"/>
    <mergeCell ref="C71:D71"/>
    <mergeCell ref="A78:F78"/>
    <mergeCell ref="A79:F79"/>
    <mergeCell ref="H79:J79"/>
    <mergeCell ref="E67:F67"/>
    <mergeCell ref="G69:I69"/>
    <mergeCell ref="G88:L88"/>
    <mergeCell ref="G89:L89"/>
    <mergeCell ref="K62:L62"/>
    <mergeCell ref="H8:J9"/>
    <mergeCell ref="H10:J11"/>
    <mergeCell ref="K8:L9"/>
    <mergeCell ref="K10:L11"/>
    <mergeCell ref="E9:G9"/>
    <mergeCell ref="G12:G14"/>
    <mergeCell ref="A1:J4"/>
    <mergeCell ref="A5:J6"/>
    <mergeCell ref="K1:L1"/>
    <mergeCell ref="K4:L4"/>
    <mergeCell ref="K5:L5"/>
    <mergeCell ref="K6:L6"/>
    <mergeCell ref="E11:G11"/>
    <mergeCell ref="H12:J12"/>
    <mergeCell ref="H13:J13"/>
    <mergeCell ref="K7:L7"/>
    <mergeCell ref="K3:L3"/>
    <mergeCell ref="K12:L13"/>
    <mergeCell ref="A9:D9"/>
    <mergeCell ref="A11:D11"/>
    <mergeCell ref="B49:F49"/>
    <mergeCell ref="K50:L50"/>
    <mergeCell ref="B15:F15"/>
    <mergeCell ref="B16:F16"/>
    <mergeCell ref="B17:F17"/>
    <mergeCell ref="B18:F18"/>
    <mergeCell ref="B19:F19"/>
    <mergeCell ref="B20:F20"/>
    <mergeCell ref="B27:F27"/>
    <mergeCell ref="B28:F28"/>
    <mergeCell ref="B29:F29"/>
    <mergeCell ref="B26:F26"/>
    <mergeCell ref="B25:F25"/>
    <mergeCell ref="B21:F21"/>
    <mergeCell ref="B22:F22"/>
    <mergeCell ref="B23:F23"/>
    <mergeCell ref="B24:F24"/>
    <mergeCell ref="K41:L41"/>
    <mergeCell ref="K42:L42"/>
    <mergeCell ref="K43:L43"/>
    <mergeCell ref="K59:L59"/>
    <mergeCell ref="K63:L63"/>
    <mergeCell ref="K64:L64"/>
    <mergeCell ref="K65:L65"/>
    <mergeCell ref="K66:L66"/>
    <mergeCell ref="A30:F30"/>
    <mergeCell ref="K51:L51"/>
    <mergeCell ref="C55:J55"/>
    <mergeCell ref="K57:L57"/>
    <mergeCell ref="K58:L58"/>
    <mergeCell ref="K52:L52"/>
    <mergeCell ref="K45:L45"/>
    <mergeCell ref="K48:L48"/>
    <mergeCell ref="K49:L49"/>
    <mergeCell ref="B46:F46"/>
    <mergeCell ref="B47:F47"/>
    <mergeCell ref="C56:J56"/>
    <mergeCell ref="C57:J57"/>
    <mergeCell ref="C58:J58"/>
    <mergeCell ref="K46:L46"/>
    <mergeCell ref="K47:L47"/>
    <mergeCell ref="B45:F45"/>
    <mergeCell ref="B48:F48"/>
    <mergeCell ref="K61:L61"/>
    <mergeCell ref="N50:O50"/>
    <mergeCell ref="N51:O51"/>
    <mergeCell ref="N52:O52"/>
    <mergeCell ref="N53:O53"/>
    <mergeCell ref="N55:O55"/>
    <mergeCell ref="N56:O56"/>
    <mergeCell ref="N57:O57"/>
    <mergeCell ref="N49:O49"/>
    <mergeCell ref="K56:L56"/>
    <mergeCell ref="M1:O9"/>
    <mergeCell ref="M10:O11"/>
    <mergeCell ref="N41:O41"/>
    <mergeCell ref="N42:O42"/>
    <mergeCell ref="N43:O43"/>
    <mergeCell ref="N45:O45"/>
    <mergeCell ref="N46:O46"/>
    <mergeCell ref="N47:O47"/>
    <mergeCell ref="G71:I71"/>
    <mergeCell ref="N12:O13"/>
    <mergeCell ref="G63:I63"/>
    <mergeCell ref="G64:I64"/>
    <mergeCell ref="G65:I65"/>
    <mergeCell ref="G66:I66"/>
    <mergeCell ref="N58:O58"/>
    <mergeCell ref="N59:O59"/>
    <mergeCell ref="N60:O60"/>
    <mergeCell ref="N61:O61"/>
    <mergeCell ref="N62:O62"/>
    <mergeCell ref="N63:O63"/>
    <mergeCell ref="N64:O64"/>
    <mergeCell ref="N65:O65"/>
    <mergeCell ref="N66:O66"/>
    <mergeCell ref="N48:O48"/>
  </mergeCells>
  <phoneticPr fontId="10" type="noConversion"/>
  <conditionalFormatting sqref="Q15:Q29">
    <cfRule type="cellIs" dxfId="15" priority="6" operator="greaterThan">
      <formula>0</formula>
    </cfRule>
  </conditionalFormatting>
  <conditionalFormatting sqref="I77:J77">
    <cfRule type="expression" dxfId="14" priority="4">
      <formula>$L$2&lt;&gt;"Custom"</formula>
    </cfRule>
    <cfRule type="expression" dxfId="13" priority="5">
      <formula>$L$2="Custom"</formula>
    </cfRule>
  </conditionalFormatting>
  <conditionalFormatting sqref="P87:Q93">
    <cfRule type="expression" dxfId="12" priority="2">
      <formula>$N$80&gt;0</formula>
    </cfRule>
  </conditionalFormatting>
  <conditionalFormatting sqref="P86:Q86">
    <cfRule type="expression" dxfId="11" priority="1">
      <formula>$N$80&gt;0</formula>
    </cfRule>
  </conditionalFormatting>
  <dataValidations count="3">
    <dataValidation errorStyle="warning" allowBlank="1" showInputMessage="1" sqref="K7" xr:uid="{00000000-0002-0000-0400-000000000000}"/>
    <dataValidation allowBlank="1" showErrorMessage="1" sqref="L2 K2:K3" xr:uid="{00000000-0002-0000-0400-000001000000}"/>
    <dataValidation type="whole" allowBlank="1" showInputMessage="1" showErrorMessage="1" sqref="A5:J6" xr:uid="{00000000-0002-0000-04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A15:O31 A53:O61 A51:F52 H51:J52 A41:O50 A34:A37 C34:F37 A32:F33 A38:F40 H39:O40 H32:O37 K51:O52 A85:O86 H78:O78 H79:O79 A88:F88 H88:O88 A90:O91 A89:F89 H89:M89 A93:E93 A92:G92 H92:O92 G93:O93 A11 H38:K38 M38:O38 A77:H77 J77:O77 A81:O81 B82:M82 A74:O74 A73:B73 G62:I73 B80:O80 B75:J75 L75:O75 A62:B62 D62:F62 A63:B63 D63:F63 A64:B64 D64:F64 A65:B65 D65:F65 A66:B66 D66:F66 A67:B67 D67:F67 A68:B68 D68:F68 A69:B69 D69:F69 A70:B70 D70:F70 A71:B71 D71:F71 A72:B72 D72:F72 D73:F73 B84:M84 O89 O82 O84 O72 O71 O70 O69 O68 O67 O66 O65 O64 O63 O62 O73 N72 N73 N62 N63 N64 N65 N66 N67 N68 N69 N70 N71" unlockedFormula="1"/>
    <ignoredError sqref="G51:G52" numberStoredAsText="1"/>
    <ignoredError sqref="J62:J73" evalError="1"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filterMode="1">
    <tabColor theme="4" tint="0.59999389629810485"/>
    <pageSetUpPr fitToPage="1"/>
  </sheetPr>
  <dimension ref="A1:V94"/>
  <sheetViews>
    <sheetView showGridLines="0" showZeros="0" zoomScaleNormal="100" workbookViewId="0">
      <selection activeCell="R1" sqref="R1"/>
    </sheetView>
  </sheetViews>
  <sheetFormatPr defaultColWidth="10.7109375" defaultRowHeight="12" customHeight="1"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style="6" customWidth="1"/>
    <col min="10" max="10" width="6.85546875" style="137" customWidth="1"/>
    <col min="11" max="11" width="12.140625" style="6" customWidth="1"/>
    <col min="12" max="12" width="12.140625" style="97" customWidth="1"/>
    <col min="13" max="13" width="5.85546875" style="97" bestFit="1" customWidth="1" outlineLevel="1"/>
    <col min="14" max="14" width="12.140625" style="6" customWidth="1" outlineLevel="1"/>
    <col min="15" max="15" width="12.140625" style="97" customWidth="1" outlineLevel="1"/>
    <col min="16" max="17" width="14.42578125" style="4" customWidth="1"/>
    <col min="18" max="18" width="35.7109375" style="4" customWidth="1"/>
    <col min="19" max="22" width="10.7109375" style="4" customWidth="1"/>
    <col min="23" max="16384" width="10.7109375" style="1"/>
  </cols>
  <sheetData>
    <row r="1" spans="1:22" ht="14.25" customHeight="1" thickBot="1">
      <c r="A1" s="955" t="str">
        <f>'BP1'!A1:L1</f>
        <v>Title</v>
      </c>
      <c r="B1" s="956"/>
      <c r="C1" s="956"/>
      <c r="D1" s="956"/>
      <c r="E1" s="956"/>
      <c r="F1" s="956"/>
      <c r="G1" s="956"/>
      <c r="H1" s="956"/>
      <c r="I1" s="956"/>
      <c r="J1" s="957"/>
      <c r="K1" s="822" t="s">
        <v>231</v>
      </c>
      <c r="L1" s="823"/>
      <c r="M1" s="945"/>
      <c r="N1" s="945"/>
      <c r="O1" s="945"/>
      <c r="R1" s="139" t="s">
        <v>194</v>
      </c>
    </row>
    <row r="2" spans="1:22" ht="14.25" customHeight="1">
      <c r="A2" s="958"/>
      <c r="B2" s="959"/>
      <c r="C2" s="959"/>
      <c r="D2" s="959"/>
      <c r="E2" s="959"/>
      <c r="F2" s="959"/>
      <c r="G2" s="959"/>
      <c r="H2" s="959"/>
      <c r="I2" s="959"/>
      <c r="J2" s="959"/>
      <c r="K2" s="563" t="str">
        <f>'BP1'!K2</f>
        <v>Federal</v>
      </c>
      <c r="L2" s="564" t="str">
        <f>'BP1'!L2</f>
        <v>On Campus</v>
      </c>
      <c r="M2" s="945"/>
      <c r="N2" s="945"/>
      <c r="O2" s="945"/>
      <c r="R2" s="136" t="s">
        <v>225</v>
      </c>
    </row>
    <row r="3" spans="1:22" ht="14.25" customHeight="1">
      <c r="A3" s="958"/>
      <c r="B3" s="959"/>
      <c r="C3" s="959"/>
      <c r="D3" s="959"/>
      <c r="E3" s="959"/>
      <c r="F3" s="959"/>
      <c r="G3" s="959"/>
      <c r="H3" s="959"/>
      <c r="I3" s="959"/>
      <c r="J3" s="959"/>
      <c r="K3" s="925" t="str">
        <f>'BP1'!K3</f>
        <v>MTDC</v>
      </c>
      <c r="L3" s="926"/>
      <c r="M3" s="945"/>
      <c r="N3" s="945"/>
      <c r="O3" s="945"/>
      <c r="R3" s="136" t="s">
        <v>225</v>
      </c>
    </row>
    <row r="4" spans="1:22" ht="14.25" customHeight="1">
      <c r="A4" s="958"/>
      <c r="B4" s="959"/>
      <c r="C4" s="959"/>
      <c r="D4" s="959"/>
      <c r="E4" s="959"/>
      <c r="F4" s="959"/>
      <c r="G4" s="959"/>
      <c r="H4" s="959"/>
      <c r="I4" s="959"/>
      <c r="J4" s="960"/>
      <c r="K4" s="824" t="s">
        <v>452</v>
      </c>
      <c r="L4" s="825"/>
      <c r="M4" s="945"/>
      <c r="N4" s="945"/>
      <c r="O4" s="945"/>
      <c r="R4" s="136" t="s">
        <v>225</v>
      </c>
    </row>
    <row r="5" spans="1:22" ht="14.25" customHeight="1">
      <c r="A5" s="965">
        <f>'BP3'!A5+1</f>
        <v>4</v>
      </c>
      <c r="B5" s="966"/>
      <c r="C5" s="966"/>
      <c r="D5" s="966"/>
      <c r="E5" s="966"/>
      <c r="F5" s="966"/>
      <c r="G5" s="966"/>
      <c r="H5" s="966"/>
      <c r="I5" s="966"/>
      <c r="J5" s="967"/>
      <c r="K5" s="951">
        <f>'BP1'!K5</f>
        <v>1</v>
      </c>
      <c r="L5" s="952"/>
      <c r="M5" s="945"/>
      <c r="N5" s="945"/>
      <c r="O5" s="945"/>
      <c r="R5" s="136" t="s">
        <v>225</v>
      </c>
    </row>
    <row r="6" spans="1:22" ht="13.5" customHeight="1">
      <c r="A6" s="965"/>
      <c r="B6" s="966"/>
      <c r="C6" s="966"/>
      <c r="D6" s="966"/>
      <c r="E6" s="966"/>
      <c r="F6" s="966"/>
      <c r="G6" s="966"/>
      <c r="H6" s="966"/>
      <c r="I6" s="966"/>
      <c r="J6" s="967"/>
      <c r="K6" s="828" t="s">
        <v>100</v>
      </c>
      <c r="L6" s="829"/>
      <c r="M6" s="946"/>
      <c r="N6" s="945"/>
      <c r="O6" s="945"/>
      <c r="R6" s="136" t="s">
        <v>225</v>
      </c>
    </row>
    <row r="7" spans="1:22" ht="13.5" customHeight="1">
      <c r="A7" s="243"/>
      <c r="B7" s="244"/>
      <c r="C7" s="244"/>
      <c r="D7" s="245"/>
      <c r="E7" s="245"/>
      <c r="F7" s="245"/>
      <c r="G7" s="246"/>
      <c r="H7" s="244"/>
      <c r="I7" s="244"/>
      <c r="J7" s="247"/>
      <c r="K7" s="953">
        <f>'BP1'!$K$7</f>
        <v>0.03</v>
      </c>
      <c r="L7" s="954"/>
      <c r="M7" s="946"/>
      <c r="N7" s="945"/>
      <c r="O7" s="945"/>
      <c r="R7" s="136" t="s">
        <v>225</v>
      </c>
    </row>
    <row r="8" spans="1:22" ht="14.25" customHeight="1">
      <c r="A8" s="203" t="s">
        <v>206</v>
      </c>
      <c r="B8" s="204"/>
      <c r="C8" s="204"/>
      <c r="D8" s="205"/>
      <c r="E8" s="240" t="str">
        <f>'BP1'!E8</f>
        <v>Originating Sponsor</v>
      </c>
      <c r="F8" s="178"/>
      <c r="G8" s="178"/>
      <c r="H8" s="838" t="s">
        <v>521</v>
      </c>
      <c r="I8" s="838"/>
      <c r="J8" s="839"/>
      <c r="K8" s="834">
        <f>EDATE('BP3'!K10,0)+1</f>
        <v>43343</v>
      </c>
      <c r="L8" s="969"/>
      <c r="M8" s="946"/>
      <c r="N8" s="945"/>
      <c r="O8" s="945"/>
      <c r="R8" s="136" t="s">
        <v>225</v>
      </c>
    </row>
    <row r="9" spans="1:22" s="2" customFormat="1" ht="14.25" customHeight="1">
      <c r="A9" s="809" t="s">
        <v>1</v>
      </c>
      <c r="B9" s="810"/>
      <c r="C9" s="810"/>
      <c r="D9" s="810"/>
      <c r="E9" s="961">
        <f>'BP1'!E9</f>
        <v>0</v>
      </c>
      <c r="F9" s="961"/>
      <c r="G9" s="961"/>
      <c r="H9" s="840"/>
      <c r="I9" s="840"/>
      <c r="J9" s="841"/>
      <c r="K9" s="970"/>
      <c r="L9" s="971"/>
      <c r="M9" s="947"/>
      <c r="N9" s="948"/>
      <c r="O9" s="948"/>
      <c r="P9" s="5"/>
      <c r="Q9" s="5"/>
      <c r="R9" s="136" t="s">
        <v>225</v>
      </c>
      <c r="S9" s="5"/>
      <c r="T9" s="5"/>
      <c r="U9" s="5"/>
      <c r="V9" s="5"/>
    </row>
    <row r="10" spans="1:22" s="2" customFormat="1" ht="14.25" customHeight="1">
      <c r="A10" s="207" t="s">
        <v>211</v>
      </c>
      <c r="B10" s="179"/>
      <c r="C10" s="179"/>
      <c r="D10" s="233"/>
      <c r="E10" s="240" t="str">
        <f>'BP1'!E10</f>
        <v>Flow-through Sponsor</v>
      </c>
      <c r="F10" s="178"/>
      <c r="G10" s="178"/>
      <c r="H10" s="838" t="s">
        <v>522</v>
      </c>
      <c r="I10" s="838"/>
      <c r="J10" s="839"/>
      <c r="K10" s="834">
        <f>EDATE(K8,12)-1</f>
        <v>43707</v>
      </c>
      <c r="L10" s="969"/>
      <c r="M10" s="847" t="s">
        <v>569</v>
      </c>
      <c r="N10" s="848"/>
      <c r="O10" s="949"/>
      <c r="P10" s="5"/>
      <c r="Q10" s="5"/>
      <c r="R10" s="136" t="s">
        <v>225</v>
      </c>
      <c r="S10" s="5"/>
      <c r="T10" s="5"/>
      <c r="U10" s="5"/>
      <c r="V10" s="5"/>
    </row>
    <row r="11" spans="1:22" s="2" customFormat="1" ht="14.25" customHeight="1">
      <c r="A11" s="811" t="str">
        <f>'BP1'!A11:D11</f>
        <v>Professor McCormick</v>
      </c>
      <c r="B11" s="812"/>
      <c r="C11" s="812"/>
      <c r="D11" s="812"/>
      <c r="E11" s="961">
        <f>'BP1'!E11</f>
        <v>0</v>
      </c>
      <c r="F11" s="961"/>
      <c r="G11" s="961"/>
      <c r="H11" s="840"/>
      <c r="I11" s="840"/>
      <c r="J11" s="841"/>
      <c r="K11" s="970"/>
      <c r="L11" s="971"/>
      <c r="M11" s="849"/>
      <c r="N11" s="850"/>
      <c r="O11" s="950"/>
      <c r="P11" s="5"/>
      <c r="Q11" s="5"/>
      <c r="R11" s="136" t="s">
        <v>225</v>
      </c>
      <c r="S11" s="5"/>
      <c r="T11" s="5"/>
      <c r="U11" s="5"/>
      <c r="V11" s="5"/>
    </row>
    <row r="12" spans="1:22" s="2" customFormat="1" ht="14.25" customHeight="1">
      <c r="A12" s="207" t="s">
        <v>208</v>
      </c>
      <c r="B12" s="179"/>
      <c r="C12" s="179"/>
      <c r="D12" s="180"/>
      <c r="E12" s="180"/>
      <c r="F12" s="394"/>
      <c r="G12" s="789" t="s">
        <v>915</v>
      </c>
      <c r="H12" s="792" t="s">
        <v>523</v>
      </c>
      <c r="I12" s="793"/>
      <c r="J12" s="794"/>
      <c r="K12" s="800" t="s">
        <v>35</v>
      </c>
      <c r="L12" s="801"/>
      <c r="M12" s="456" t="s">
        <v>292</v>
      </c>
      <c r="N12" s="800" t="s">
        <v>35</v>
      </c>
      <c r="O12" s="801"/>
      <c r="P12" s="5"/>
      <c r="Q12" s="5"/>
      <c r="R12" s="136" t="s">
        <v>225</v>
      </c>
      <c r="S12" s="5"/>
      <c r="T12" s="5"/>
      <c r="U12" s="5"/>
      <c r="V12" s="5"/>
    </row>
    <row r="13" spans="1:22" s="2" customFormat="1" ht="14.25" customHeight="1">
      <c r="A13" s="165"/>
      <c r="B13" s="179"/>
      <c r="C13" s="179"/>
      <c r="D13" s="180"/>
      <c r="E13" s="180"/>
      <c r="F13" s="395"/>
      <c r="G13" s="790"/>
      <c r="H13" s="890" t="s">
        <v>291</v>
      </c>
      <c r="I13" s="891"/>
      <c r="J13" s="892"/>
      <c r="K13" s="802"/>
      <c r="L13" s="803"/>
      <c r="M13" s="455" t="s">
        <v>293</v>
      </c>
      <c r="N13" s="802"/>
      <c r="O13" s="803"/>
      <c r="P13" s="5"/>
      <c r="Q13" s="5"/>
      <c r="R13" s="136" t="s">
        <v>225</v>
      </c>
      <c r="S13" s="5"/>
      <c r="T13" s="5"/>
      <c r="U13" s="5"/>
      <c r="V13" s="5"/>
    </row>
    <row r="14" spans="1:22" s="2" customFormat="1" ht="14.25" customHeight="1">
      <c r="A14" s="165"/>
      <c r="B14" s="177"/>
      <c r="C14" s="177"/>
      <c r="D14" s="175"/>
      <c r="E14" s="175"/>
      <c r="F14" s="457"/>
      <c r="G14" s="791"/>
      <c r="H14" s="197" t="s">
        <v>2</v>
      </c>
      <c r="I14" s="198" t="s">
        <v>204</v>
      </c>
      <c r="J14" s="198" t="s">
        <v>205</v>
      </c>
      <c r="K14" s="194" t="s">
        <v>33</v>
      </c>
      <c r="L14" s="195" t="s">
        <v>34</v>
      </c>
      <c r="M14" s="278" t="s">
        <v>294</v>
      </c>
      <c r="N14" s="194" t="s">
        <v>33</v>
      </c>
      <c r="O14" s="195" t="s">
        <v>34</v>
      </c>
      <c r="P14" s="219" t="s">
        <v>111</v>
      </c>
      <c r="Q14" s="219" t="s">
        <v>870</v>
      </c>
      <c r="R14" s="136" t="s">
        <v>225</v>
      </c>
      <c r="S14" s="5"/>
      <c r="T14" s="5"/>
      <c r="U14" s="5"/>
      <c r="V14" s="5"/>
    </row>
    <row r="15" spans="1:22" s="2" customFormat="1" ht="14.25" customHeight="1">
      <c r="A15" s="257">
        <v>1</v>
      </c>
      <c r="B15" s="931">
        <f>IF($A$5&lt;=$K$5,'BP2'!B15,)</f>
        <v>0</v>
      </c>
      <c r="C15" s="932"/>
      <c r="D15" s="932"/>
      <c r="E15" s="932"/>
      <c r="F15" s="933"/>
      <c r="G15" s="268">
        <f>IF($A$5&lt;=$K$5,'BP1'!G15,)</f>
        <v>0</v>
      </c>
      <c r="H15" s="249">
        <f>IF($G15&gt;0,'BP3'!H15,)</f>
        <v>0</v>
      </c>
      <c r="I15" s="250">
        <f>IF($G15&gt;0,'BP3'!I15,)</f>
        <v>0</v>
      </c>
      <c r="J15" s="250">
        <f>IF($G15&gt;0,'BP3'!J15,)</f>
        <v>0</v>
      </c>
      <c r="K15" s="162">
        <f ca="1">IFERROR(IF(Q15&gt;0,Q15/G15*(SUM(H15:J15)),P15/G15*(SUM(H15:J15))),)</f>
        <v>0</v>
      </c>
      <c r="L15" s="163">
        <f ca="1">IF(K15&gt;3,K15*LOOKUP($K$8,Lists!$A$2:$A$812,IF($K$2="Non-Federal",Lists!$D$2:$D$812,Lists!$C$2:$C$812)),0)</f>
        <v>0</v>
      </c>
      <c r="M15" s="276">
        <f>IF(G15&gt;0,'BP1'!M15,)</f>
        <v>0</v>
      </c>
      <c r="N15" s="162">
        <f ca="1">IFERROR(IF(Q15&gt;0,Q15/G15*M15,P15/G15*M15),)</f>
        <v>0</v>
      </c>
      <c r="O15" s="163">
        <f ca="1">N15*LOOKUP($K$8,Lists!$A$2:$A$812,IF($K$2="Non-Federal",Lists!$D$2:$D$812,Lists!$C$2:$C$812))</f>
        <v>0</v>
      </c>
      <c r="P15" s="229">
        <f ca="1">IF($A$5&lt;='BP1'!$K$5,(1+$K$7)*INDIRECT("BP"&amp;$A$5-1&amp;"!P15"),)</f>
        <v>0</v>
      </c>
      <c r="Q15" s="259">
        <f t="shared" ref="Q15:Q29" si="0">IF(COUNTIF(NIH,$E$9)&gt;0,(IF(G15&gt;0,IF((P15/G15)*12&gt;NIHSalCap,(NIHSalCap/12)*G15,),)),)</f>
        <v>0</v>
      </c>
      <c r="R15" s="136" t="s">
        <v>225</v>
      </c>
      <c r="S15" s="5"/>
      <c r="T15" s="5"/>
      <c r="U15" s="5"/>
      <c r="V15" s="5"/>
    </row>
    <row r="16" spans="1:22" s="5" customFormat="1" ht="14.25" customHeight="1">
      <c r="A16" s="257">
        <v>2</v>
      </c>
      <c r="B16" s="931">
        <f>IF($A$5&lt;=$K$5,'BP2'!B16,)</f>
        <v>0</v>
      </c>
      <c r="C16" s="932"/>
      <c r="D16" s="932"/>
      <c r="E16" s="932"/>
      <c r="F16" s="933"/>
      <c r="G16" s="268">
        <f>IF($A$5&lt;=$K$5,'BP1'!G16,)</f>
        <v>0</v>
      </c>
      <c r="H16" s="249">
        <f>IF($G16&gt;0,'BP3'!H16,)</f>
        <v>0</v>
      </c>
      <c r="I16" s="250">
        <f>IF($G16&gt;0,'BP3'!I16,)</f>
        <v>0</v>
      </c>
      <c r="J16" s="250">
        <f>IF($G16&gt;0,'BP3'!J16,)</f>
        <v>0</v>
      </c>
      <c r="K16" s="162">
        <f ca="1">IFERROR(IF(Q16&gt;0,Q16/G16*(SUM(H16:J16)),P16/G16*(SUM(H16:J16))),)</f>
        <v>0</v>
      </c>
      <c r="L16" s="163">
        <f ca="1">IF(K16&gt;3,K16*LOOKUP($K$8,Lists!$A$2:$A$812,IF($K$2="Non-Federal",Lists!$D$2:$D$812,Lists!$C$2:$C$812)),0)</f>
        <v>0</v>
      </c>
      <c r="M16" s="276">
        <f>IF(G16&gt;0,'BP1'!M16,)</f>
        <v>0</v>
      </c>
      <c r="N16" s="162">
        <f t="shared" ref="N16:N29" ca="1" si="1">IFERROR(IF(Q16&gt;0,Q16/G16*M16,P16/G16*M16),)</f>
        <v>0</v>
      </c>
      <c r="O16" s="163">
        <f ca="1">N16*LOOKUP($K$8,Lists!$A$2:$A$812,IF($K$2="Non-Federal",Lists!$D$2:$D$812,Lists!$C$2:$C$812))</f>
        <v>0</v>
      </c>
      <c r="P16" s="229">
        <f ca="1">IF($A$5&lt;='BP1'!$K$5,(1+$K$7)*INDIRECT("BP"&amp;$A$5-1&amp;"!P16"),)</f>
        <v>0</v>
      </c>
      <c r="Q16" s="259">
        <f>IF(COUNTIF(NIH,$E$9)&gt;0,(IF(G16&gt;0,IF((P16/G16)*12&gt;NIHSalCap,(NIHSalCap/12)*G16,),)),)</f>
        <v>0</v>
      </c>
      <c r="R16" s="136" t="s">
        <v>225</v>
      </c>
    </row>
    <row r="17" spans="1:18" s="5" customFormat="1" ht="14.25" customHeight="1">
      <c r="A17" s="257">
        <v>3</v>
      </c>
      <c r="B17" s="931">
        <f>IF($A$5&lt;=$K$5,'BP2'!B17,)</f>
        <v>0</v>
      </c>
      <c r="C17" s="932"/>
      <c r="D17" s="932"/>
      <c r="E17" s="932"/>
      <c r="F17" s="933"/>
      <c r="G17" s="268">
        <f>IF($A$5&lt;=$K$5,'BP1'!G17,)</f>
        <v>0</v>
      </c>
      <c r="H17" s="249">
        <f>IF($G17&gt;0,'BP3'!H17,)</f>
        <v>0</v>
      </c>
      <c r="I17" s="250">
        <f>IF($G17&gt;0,'BP3'!I17,)</f>
        <v>0</v>
      </c>
      <c r="J17" s="250">
        <f>IF($G17&gt;0,'BP3'!J17,)</f>
        <v>0</v>
      </c>
      <c r="K17" s="162">
        <f t="shared" ref="K17:K29" ca="1" si="2">IFERROR(IF(Q17&gt;0,Q17/G17*(SUM(H17:J17)),P17/G17*(SUM(H17:J17))),)</f>
        <v>0</v>
      </c>
      <c r="L17" s="163">
        <f ca="1">IF(K17&gt;3,K17*LOOKUP($K$8,Lists!$A$2:$A$812,IF($K$2="Non-Federal",Lists!$D$2:$D$812,Lists!$C$2:$C$812)),0)</f>
        <v>0</v>
      </c>
      <c r="M17" s="276">
        <f>IF(G17&gt;0,'BP1'!M17,)</f>
        <v>0</v>
      </c>
      <c r="N17" s="162">
        <f t="shared" ca="1" si="1"/>
        <v>0</v>
      </c>
      <c r="O17" s="163">
        <f ca="1">N17*LOOKUP($K$8,Lists!$A$2:$A$812,IF($K$2="Non-Federal",Lists!$D$2:$D$812,Lists!$C$2:$C$812))</f>
        <v>0</v>
      </c>
      <c r="P17" s="229">
        <f ca="1">IF($A$5&lt;='BP1'!$K$5,(1+$K$7)*INDIRECT("BP"&amp;$A$5-1&amp;"!P17"),)</f>
        <v>0</v>
      </c>
      <c r="Q17" s="259">
        <f t="shared" si="0"/>
        <v>0</v>
      </c>
      <c r="R17" s="136" t="s">
        <v>225</v>
      </c>
    </row>
    <row r="18" spans="1:18" s="5" customFormat="1" ht="14.25" customHeight="1">
      <c r="A18" s="257">
        <v>4</v>
      </c>
      <c r="B18" s="931">
        <f>IF($A$5&lt;=$K$5,'BP2'!B18,)</f>
        <v>0</v>
      </c>
      <c r="C18" s="932"/>
      <c r="D18" s="932"/>
      <c r="E18" s="932"/>
      <c r="F18" s="933"/>
      <c r="G18" s="268">
        <f>IF($A$5&lt;=$K$5,'BP1'!G18,)</f>
        <v>0</v>
      </c>
      <c r="H18" s="249">
        <f>IF($G18&gt;0,'BP3'!H18,)</f>
        <v>0</v>
      </c>
      <c r="I18" s="250">
        <f>IF($G18&gt;0,'BP3'!I18,)</f>
        <v>0</v>
      </c>
      <c r="J18" s="250">
        <f>IF($G18&gt;0,'BP3'!J18,)</f>
        <v>0</v>
      </c>
      <c r="K18" s="162">
        <f t="shared" ca="1" si="2"/>
        <v>0</v>
      </c>
      <c r="L18" s="163">
        <f ca="1">IF(K18&gt;3,K18*LOOKUP($K$8,Lists!$A$2:$A$812,IF($K$2="Non-Federal",Lists!$D$2:$D$812,Lists!$C$2:$C$812)),0)</f>
        <v>0</v>
      </c>
      <c r="M18" s="276">
        <f>IF(G18&gt;0,'BP1'!M18,)</f>
        <v>0</v>
      </c>
      <c r="N18" s="162">
        <f t="shared" ca="1" si="1"/>
        <v>0</v>
      </c>
      <c r="O18" s="163">
        <f ca="1">N18*LOOKUP($K$8,Lists!$A$2:$A$812,IF($K$2="Non-Federal",Lists!$D$2:$D$812,Lists!$C$2:$C$812))</f>
        <v>0</v>
      </c>
      <c r="P18" s="229">
        <f ca="1">IF($A$5&lt;='BP1'!$K$5,(1+$K$7)*INDIRECT("BP"&amp;$A$5-1&amp;"!P18"),)</f>
        <v>0</v>
      </c>
      <c r="Q18" s="259">
        <f t="shared" si="0"/>
        <v>0</v>
      </c>
      <c r="R18" s="136" t="s">
        <v>225</v>
      </c>
    </row>
    <row r="19" spans="1:18" s="5" customFormat="1" ht="14.25" customHeight="1">
      <c r="A19" s="257">
        <v>5</v>
      </c>
      <c r="B19" s="931">
        <f>IF($A$5&lt;=$K$5,'BP2'!B19,)</f>
        <v>0</v>
      </c>
      <c r="C19" s="932"/>
      <c r="D19" s="932"/>
      <c r="E19" s="932"/>
      <c r="F19" s="933"/>
      <c r="G19" s="268">
        <f>IF($A$5&lt;=$K$5,'BP1'!G19,)</f>
        <v>0</v>
      </c>
      <c r="H19" s="249">
        <f>IF($G19&gt;0,'BP3'!H19,)</f>
        <v>0</v>
      </c>
      <c r="I19" s="250">
        <f>IF($G19&gt;0,'BP3'!I19,)</f>
        <v>0</v>
      </c>
      <c r="J19" s="250">
        <f>IF($G19&gt;0,'BP3'!J19,)</f>
        <v>0</v>
      </c>
      <c r="K19" s="162">
        <f t="shared" ca="1" si="2"/>
        <v>0</v>
      </c>
      <c r="L19" s="163">
        <f ca="1">IF(K19&gt;3,K19*LOOKUP($K$8,Lists!$A$2:$A$812,IF($K$2="Non-Federal",Lists!$D$2:$D$812,Lists!$C$2:$C$812)),0)</f>
        <v>0</v>
      </c>
      <c r="M19" s="276">
        <f>IF(G19&gt;0,'BP1'!M19,)</f>
        <v>0</v>
      </c>
      <c r="N19" s="162">
        <f t="shared" ca="1" si="1"/>
        <v>0</v>
      </c>
      <c r="O19" s="163">
        <f ca="1">N19*LOOKUP($K$8,Lists!$A$2:$A$812,IF($K$2="Non-Federal",Lists!$D$2:$D$812,Lists!$C$2:$C$812))</f>
        <v>0</v>
      </c>
      <c r="P19" s="229">
        <f ca="1">IF($A$5&lt;='BP1'!$K$5,(1+$K$7)*INDIRECT("BP"&amp;$A$5-1&amp;"!P19"),)</f>
        <v>0</v>
      </c>
      <c r="Q19" s="259">
        <f t="shared" si="0"/>
        <v>0</v>
      </c>
      <c r="R19" s="136" t="s">
        <v>225</v>
      </c>
    </row>
    <row r="20" spans="1:18" s="5" customFormat="1" ht="14.25" hidden="1" customHeight="1">
      <c r="A20" s="257">
        <v>6</v>
      </c>
      <c r="B20" s="931">
        <f>IF($A$5&lt;=$K$5,'BP2'!B20,)</f>
        <v>0</v>
      </c>
      <c r="C20" s="932"/>
      <c r="D20" s="932"/>
      <c r="E20" s="932"/>
      <c r="F20" s="933"/>
      <c r="G20" s="268">
        <f>IF($A$5&lt;=$K$5,'BP1'!G20,)</f>
        <v>0</v>
      </c>
      <c r="H20" s="249">
        <f>IF($G20&gt;0,'BP3'!H20,)</f>
        <v>0</v>
      </c>
      <c r="I20" s="250">
        <f>IF($G20&gt;0,'BP3'!I20,)</f>
        <v>0</v>
      </c>
      <c r="J20" s="250">
        <f>IF($G20&gt;0,'BP3'!J20,)</f>
        <v>0</v>
      </c>
      <c r="K20" s="162">
        <f t="shared" ca="1" si="2"/>
        <v>0</v>
      </c>
      <c r="L20" s="163">
        <f ca="1">IF(K20&gt;3,K20*LOOKUP($K$8,Lists!$A$2:$A$812,IF($K$2="Non-Federal",Lists!$D$2:$D$812,Lists!$C$2:$C$812)),0)</f>
        <v>0</v>
      </c>
      <c r="M20" s="276">
        <f>IF(G20&gt;0,'BP1'!M20,)</f>
        <v>0</v>
      </c>
      <c r="N20" s="162">
        <f t="shared" ca="1" si="1"/>
        <v>0</v>
      </c>
      <c r="O20" s="163">
        <f ca="1">N20*LOOKUP($K$8,Lists!$A$2:$A$812,IF($K$2="Non-Federal",Lists!$D$2:$D$812,Lists!$C$2:$C$812))</f>
        <v>0</v>
      </c>
      <c r="P20" s="229">
        <f ca="1">IF($A$5&lt;='BP1'!$K$5,(1+$K$7)*INDIRECT("BP"&amp;$A$5-1&amp;"!P20"),)</f>
        <v>0</v>
      </c>
      <c r="Q20" s="259">
        <f t="shared" si="0"/>
        <v>0</v>
      </c>
      <c r="R20" s="136" t="s">
        <v>492</v>
      </c>
    </row>
    <row r="21" spans="1:18" s="5" customFormat="1" ht="14.25" hidden="1" customHeight="1">
      <c r="A21" s="257">
        <v>7</v>
      </c>
      <c r="B21" s="931">
        <f>IF($A$5&lt;=$K$5,'BP2'!B21,)</f>
        <v>0</v>
      </c>
      <c r="C21" s="932"/>
      <c r="D21" s="932"/>
      <c r="E21" s="932"/>
      <c r="F21" s="933"/>
      <c r="G21" s="268">
        <f>IF($A$5&lt;=$K$5,'BP1'!G21,)</f>
        <v>0</v>
      </c>
      <c r="H21" s="249">
        <f>IF($G21&gt;0,'BP3'!H21,)</f>
        <v>0</v>
      </c>
      <c r="I21" s="250">
        <f>IF($G21&gt;0,'BP3'!I21,)</f>
        <v>0</v>
      </c>
      <c r="J21" s="250">
        <f>IF($G21&gt;0,'BP3'!J21,)</f>
        <v>0</v>
      </c>
      <c r="K21" s="162">
        <f t="shared" ca="1" si="2"/>
        <v>0</v>
      </c>
      <c r="L21" s="163">
        <f ca="1">IF(K21&gt;3,K21*LOOKUP($K$8,Lists!$A$2:$A$812,IF($K$2="Non-Federal",Lists!$D$2:$D$812,Lists!$C$2:$C$812)),0)</f>
        <v>0</v>
      </c>
      <c r="M21" s="276">
        <f>IF(G21&gt;0,'BP1'!M21,)</f>
        <v>0</v>
      </c>
      <c r="N21" s="162">
        <f t="shared" ca="1" si="1"/>
        <v>0</v>
      </c>
      <c r="O21" s="163">
        <f ca="1">N21*LOOKUP($K$8,Lists!$A$2:$A$812,IF($K$2="Non-Federal",Lists!$D$2:$D$812,Lists!$C$2:$C$812))</f>
        <v>0</v>
      </c>
      <c r="P21" s="229">
        <f ca="1">IF($A$5&lt;='BP1'!$K$5,(1+$K$7)*INDIRECT("BP"&amp;$A$5-1&amp;"!P21"),)</f>
        <v>0</v>
      </c>
      <c r="Q21" s="259">
        <f t="shared" si="0"/>
        <v>0</v>
      </c>
      <c r="R21" s="136" t="s">
        <v>492</v>
      </c>
    </row>
    <row r="22" spans="1:18" s="5" customFormat="1" ht="14.25" hidden="1" customHeight="1">
      <c r="A22" s="257">
        <v>8</v>
      </c>
      <c r="B22" s="931">
        <f>IF($A$5&lt;=$K$5,'BP2'!B22,)</f>
        <v>0</v>
      </c>
      <c r="C22" s="932"/>
      <c r="D22" s="932"/>
      <c r="E22" s="932"/>
      <c r="F22" s="933"/>
      <c r="G22" s="268">
        <f>IF($A$5&lt;=$K$5,'BP1'!G22,)</f>
        <v>0</v>
      </c>
      <c r="H22" s="249">
        <f>IF($G22&gt;0,'BP3'!H22,)</f>
        <v>0</v>
      </c>
      <c r="I22" s="250">
        <f>IF($G22&gt;0,'BP3'!I22,)</f>
        <v>0</v>
      </c>
      <c r="J22" s="250">
        <f>IF($G22&gt;0,'BP3'!J22,)</f>
        <v>0</v>
      </c>
      <c r="K22" s="162">
        <f t="shared" ca="1" si="2"/>
        <v>0</v>
      </c>
      <c r="L22" s="163">
        <f ca="1">IF(K22&gt;3,K22*LOOKUP($K$8,Lists!$A$2:$A$812,IF($K$2="Non-Federal",Lists!$D$2:$D$812,Lists!$C$2:$C$812)),0)</f>
        <v>0</v>
      </c>
      <c r="M22" s="276">
        <f>IF(G22&gt;0,'BP1'!M22,)</f>
        <v>0</v>
      </c>
      <c r="N22" s="162">
        <f t="shared" ca="1" si="1"/>
        <v>0</v>
      </c>
      <c r="O22" s="163">
        <f ca="1">N22*LOOKUP($K$8,Lists!$A$2:$A$812,IF($K$2="Non-Federal",Lists!$D$2:$D$812,Lists!$C$2:$C$812))</f>
        <v>0</v>
      </c>
      <c r="P22" s="229">
        <f ca="1">IF($A$5&lt;='BP1'!$K$5,(1+$K$7)*INDIRECT("BP"&amp;$A$5-1&amp;"!P22"),)</f>
        <v>0</v>
      </c>
      <c r="Q22" s="259">
        <f t="shared" si="0"/>
        <v>0</v>
      </c>
      <c r="R22" s="136" t="s">
        <v>492</v>
      </c>
    </row>
    <row r="23" spans="1:18" s="5" customFormat="1" ht="14.25" hidden="1" customHeight="1">
      <c r="A23" s="257">
        <v>9</v>
      </c>
      <c r="B23" s="931">
        <f>IF($A$5&lt;=$K$5,'BP2'!B23,)</f>
        <v>0</v>
      </c>
      <c r="C23" s="932"/>
      <c r="D23" s="932"/>
      <c r="E23" s="932"/>
      <c r="F23" s="933"/>
      <c r="G23" s="268">
        <f>IF($A$5&lt;=$K$5,'BP1'!G23,)</f>
        <v>0</v>
      </c>
      <c r="H23" s="249">
        <f>IF($G23&gt;0,'BP3'!H23,)</f>
        <v>0</v>
      </c>
      <c r="I23" s="250">
        <f>IF($G23&gt;0,'BP3'!I23,)</f>
        <v>0</v>
      </c>
      <c r="J23" s="250">
        <f>IF($G23&gt;0,'BP3'!J23,)</f>
        <v>0</v>
      </c>
      <c r="K23" s="162">
        <f t="shared" ca="1" si="2"/>
        <v>0</v>
      </c>
      <c r="L23" s="163">
        <f ca="1">IF(K23&gt;3,K23*LOOKUP($K$8,Lists!$A$2:$A$812,IF($K$2="Non-Federal",Lists!$D$2:$D$812,Lists!$C$2:$C$812)),0)</f>
        <v>0</v>
      </c>
      <c r="M23" s="276">
        <f>IF(G23&gt;0,'BP1'!M23,)</f>
        <v>0</v>
      </c>
      <c r="N23" s="162">
        <f t="shared" ca="1" si="1"/>
        <v>0</v>
      </c>
      <c r="O23" s="163">
        <f ca="1">N23*LOOKUP($K$8,Lists!$A$2:$A$812,IF($K$2="Non-Federal",Lists!$D$2:$D$812,Lists!$C$2:$C$812))</f>
        <v>0</v>
      </c>
      <c r="P23" s="229">
        <f ca="1">IF($A$5&lt;='BP1'!$K$5,(1+$K$7)*INDIRECT("BP"&amp;$A$5-1&amp;"!P23"),)</f>
        <v>0</v>
      </c>
      <c r="Q23" s="259">
        <f t="shared" si="0"/>
        <v>0</v>
      </c>
      <c r="R23" s="136" t="s">
        <v>492</v>
      </c>
    </row>
    <row r="24" spans="1:18" s="5" customFormat="1" ht="14.25" hidden="1" customHeight="1">
      <c r="A24" s="257">
        <v>10</v>
      </c>
      <c r="B24" s="931">
        <f>IF($A$5&lt;=$K$5,'BP2'!B24,)</f>
        <v>0</v>
      </c>
      <c r="C24" s="932"/>
      <c r="D24" s="932"/>
      <c r="E24" s="932"/>
      <c r="F24" s="933"/>
      <c r="G24" s="268">
        <f>IF($A$5&lt;=$K$5,'BP1'!G24,)</f>
        <v>0</v>
      </c>
      <c r="H24" s="249">
        <f>IF($G24&gt;0,'BP3'!H24,)</f>
        <v>0</v>
      </c>
      <c r="I24" s="250">
        <f>IF($G24&gt;0,'BP3'!I24,)</f>
        <v>0</v>
      </c>
      <c r="J24" s="250">
        <f>IF($G24&gt;0,'BP3'!J24,)</f>
        <v>0</v>
      </c>
      <c r="K24" s="162">
        <f t="shared" ca="1" si="2"/>
        <v>0</v>
      </c>
      <c r="L24" s="163">
        <f ca="1">IF(K24&gt;3,K24*LOOKUP($K$8,Lists!$A$2:$A$812,IF($K$2="Non-Federal",Lists!$D$2:$D$812,Lists!$C$2:$C$812)),0)</f>
        <v>0</v>
      </c>
      <c r="M24" s="276">
        <f>IF(G24&gt;0,'BP1'!M24,)</f>
        <v>0</v>
      </c>
      <c r="N24" s="162">
        <f t="shared" ca="1" si="1"/>
        <v>0</v>
      </c>
      <c r="O24" s="163">
        <f ca="1">N24*LOOKUP($K$8,Lists!$A$2:$A$812,IF($K$2="Non-Federal",Lists!$D$2:$D$812,Lists!$C$2:$C$812))</f>
        <v>0</v>
      </c>
      <c r="P24" s="229">
        <f ca="1">IF($A$5&lt;='BP1'!$K$5,(1+$K$7)*INDIRECT("BP"&amp;$A$5-1&amp;"!P24"),)</f>
        <v>0</v>
      </c>
      <c r="Q24" s="259">
        <f t="shared" si="0"/>
        <v>0</v>
      </c>
      <c r="R24" s="136" t="s">
        <v>492</v>
      </c>
    </row>
    <row r="25" spans="1:18" s="5" customFormat="1" ht="14.25" hidden="1" customHeight="1">
      <c r="A25" s="257">
        <v>11</v>
      </c>
      <c r="B25" s="931">
        <f>IF($A$5&lt;=$K$5,'BP2'!B25,)</f>
        <v>0</v>
      </c>
      <c r="C25" s="932"/>
      <c r="D25" s="932"/>
      <c r="E25" s="932"/>
      <c r="F25" s="933"/>
      <c r="G25" s="268">
        <f>IF($A$5&lt;=$K$5,'BP1'!G25,)</f>
        <v>0</v>
      </c>
      <c r="H25" s="249">
        <f>IF($G25&gt;0,'BP3'!H25,)</f>
        <v>0</v>
      </c>
      <c r="I25" s="250">
        <f>IF($G25&gt;0,'BP3'!I25,)</f>
        <v>0</v>
      </c>
      <c r="J25" s="250">
        <f>IF($G25&gt;0,'BP3'!J25,)</f>
        <v>0</v>
      </c>
      <c r="K25" s="162">
        <f t="shared" ca="1" si="2"/>
        <v>0</v>
      </c>
      <c r="L25" s="163">
        <f ca="1">IF(K25&gt;3,K25*LOOKUP($K$8,Lists!$A$2:$A$812,IF($K$2="Non-Federal",Lists!$D$2:$D$812,Lists!$C$2:$C$812)),0)</f>
        <v>0</v>
      </c>
      <c r="M25" s="276">
        <f>IF(G25&gt;0,'BP1'!M25,)</f>
        <v>0</v>
      </c>
      <c r="N25" s="162">
        <f t="shared" ca="1" si="1"/>
        <v>0</v>
      </c>
      <c r="O25" s="163">
        <f ca="1">N25*LOOKUP($K$8,Lists!$A$2:$A$812,IF($K$2="Non-Federal",Lists!$D$2:$D$812,Lists!$C$2:$C$812))</f>
        <v>0</v>
      </c>
      <c r="P25" s="229">
        <f ca="1">IF($A$5&lt;='BP1'!$K$5,(1+$K$7)*INDIRECT("BP"&amp;$A$5-1&amp;"!P25"),)</f>
        <v>0</v>
      </c>
      <c r="Q25" s="259">
        <f t="shared" si="0"/>
        <v>0</v>
      </c>
      <c r="R25" s="136" t="s">
        <v>493</v>
      </c>
    </row>
    <row r="26" spans="1:18" s="5" customFormat="1" ht="14.25" hidden="1" customHeight="1">
      <c r="A26" s="257">
        <v>12</v>
      </c>
      <c r="B26" s="931">
        <f>IF($A$5&lt;=$K$5,'BP2'!B26,)</f>
        <v>0</v>
      </c>
      <c r="C26" s="932"/>
      <c r="D26" s="932"/>
      <c r="E26" s="932"/>
      <c r="F26" s="933"/>
      <c r="G26" s="268">
        <f>IF($A$5&lt;=$K$5,'BP1'!G26,)</f>
        <v>0</v>
      </c>
      <c r="H26" s="249">
        <f>IF($G26&gt;0,'BP3'!H26,)</f>
        <v>0</v>
      </c>
      <c r="I26" s="250">
        <f>IF($G26&gt;0,'BP3'!I26,)</f>
        <v>0</v>
      </c>
      <c r="J26" s="250">
        <f>IF($G26&gt;0,'BP3'!J26,)</f>
        <v>0</v>
      </c>
      <c r="K26" s="162">
        <f t="shared" ca="1" si="2"/>
        <v>0</v>
      </c>
      <c r="L26" s="163">
        <f ca="1">IF(K26&gt;3,K26*LOOKUP($K$8,Lists!$A$2:$A$812,IF($K$2="Non-Federal",Lists!$D$2:$D$812,Lists!$C$2:$C$812)),0)</f>
        <v>0</v>
      </c>
      <c r="M26" s="276">
        <f>IF(G26&gt;0,'BP1'!M26,)</f>
        <v>0</v>
      </c>
      <c r="N26" s="162">
        <f t="shared" ca="1" si="1"/>
        <v>0</v>
      </c>
      <c r="O26" s="163">
        <f ca="1">N26*LOOKUP($K$8,Lists!$A$2:$A$812,IF($K$2="Non-Federal",Lists!$D$2:$D$812,Lists!$C$2:$C$812))</f>
        <v>0</v>
      </c>
      <c r="P26" s="229">
        <f ca="1">IF($A$5&lt;='BP1'!$K$5,(1+$K$7)*INDIRECT("BP"&amp;$A$5-1&amp;"!P26"),)</f>
        <v>0</v>
      </c>
      <c r="Q26" s="259">
        <f t="shared" si="0"/>
        <v>0</v>
      </c>
      <c r="R26" s="136" t="s">
        <v>493</v>
      </c>
    </row>
    <row r="27" spans="1:18" s="5" customFormat="1" ht="14.25" hidden="1" customHeight="1">
      <c r="A27" s="257">
        <v>13</v>
      </c>
      <c r="B27" s="931">
        <f>IF($A$5&lt;=$K$5,'BP2'!B27,)</f>
        <v>0</v>
      </c>
      <c r="C27" s="932"/>
      <c r="D27" s="932"/>
      <c r="E27" s="932"/>
      <c r="F27" s="933"/>
      <c r="G27" s="268">
        <f>IF($A$5&lt;=$K$5,'BP1'!G27,)</f>
        <v>0</v>
      </c>
      <c r="H27" s="249">
        <f>IF($G27&gt;0,'BP3'!H27,)</f>
        <v>0</v>
      </c>
      <c r="I27" s="250">
        <f>IF($G27&gt;0,'BP3'!I27,)</f>
        <v>0</v>
      </c>
      <c r="J27" s="250">
        <f>IF($G27&gt;0,'BP3'!J27,)</f>
        <v>0</v>
      </c>
      <c r="K27" s="162">
        <f t="shared" ca="1" si="2"/>
        <v>0</v>
      </c>
      <c r="L27" s="163">
        <f ca="1">IF(K27&gt;3,K27*LOOKUP($K$8,Lists!$A$2:$A$812,IF($K$2="Non-Federal",Lists!$D$2:$D$812,Lists!$C$2:$C$812)),0)</f>
        <v>0</v>
      </c>
      <c r="M27" s="276">
        <f>IF(G27&gt;0,'BP1'!M27,)</f>
        <v>0</v>
      </c>
      <c r="N27" s="162">
        <f t="shared" ca="1" si="1"/>
        <v>0</v>
      </c>
      <c r="O27" s="163">
        <f ca="1">N27*LOOKUP($K$8,Lists!$A$2:$A$812,IF($K$2="Non-Federal",Lists!$D$2:$D$812,Lists!$C$2:$C$812))</f>
        <v>0</v>
      </c>
      <c r="P27" s="229">
        <f ca="1">IF($A$5&lt;='BP1'!$K$5,(1+$K$7)*INDIRECT("BP"&amp;$A$5-1&amp;"!P27"),)</f>
        <v>0</v>
      </c>
      <c r="Q27" s="259">
        <f t="shared" si="0"/>
        <v>0</v>
      </c>
      <c r="R27" s="136" t="s">
        <v>493</v>
      </c>
    </row>
    <row r="28" spans="1:18" s="5" customFormat="1" ht="14.25" hidden="1" customHeight="1">
      <c r="A28" s="257">
        <v>14</v>
      </c>
      <c r="B28" s="931">
        <f>IF($A$5&lt;=$K$5,'BP2'!B28,)</f>
        <v>0</v>
      </c>
      <c r="C28" s="932"/>
      <c r="D28" s="932"/>
      <c r="E28" s="932"/>
      <c r="F28" s="933"/>
      <c r="G28" s="268">
        <f>IF($A$5&lt;=$K$5,'BP1'!G28,)</f>
        <v>0</v>
      </c>
      <c r="H28" s="249">
        <f>IF($G28&gt;0,'BP3'!H28,)</f>
        <v>0</v>
      </c>
      <c r="I28" s="250">
        <f>IF($G28&gt;0,'BP3'!I28,)</f>
        <v>0</v>
      </c>
      <c r="J28" s="250">
        <f>IF($G28&gt;0,'BP3'!J28,)</f>
        <v>0</v>
      </c>
      <c r="K28" s="162">
        <f t="shared" ca="1" si="2"/>
        <v>0</v>
      </c>
      <c r="L28" s="163">
        <f ca="1">IF(K28&gt;3,K28*LOOKUP($K$8,Lists!$A$2:$A$812,IF($K$2="Non-Federal",Lists!$D$2:$D$812,Lists!$C$2:$C$812)),0)</f>
        <v>0</v>
      </c>
      <c r="M28" s="276">
        <f>IF(G28&gt;0,'BP1'!M28,)</f>
        <v>0</v>
      </c>
      <c r="N28" s="162">
        <f t="shared" ca="1" si="1"/>
        <v>0</v>
      </c>
      <c r="O28" s="163">
        <f ca="1">N28*LOOKUP($K$8,Lists!$A$2:$A$812,IF($K$2="Non-Federal",Lists!$D$2:$D$812,Lists!$C$2:$C$812))</f>
        <v>0</v>
      </c>
      <c r="P28" s="229">
        <f ca="1">IF($A$5&lt;='BP1'!$K$5,(1+$K$7)*INDIRECT("BP"&amp;$A$5-1&amp;"!P28"),)</f>
        <v>0</v>
      </c>
      <c r="Q28" s="259">
        <f t="shared" si="0"/>
        <v>0</v>
      </c>
      <c r="R28" s="136" t="s">
        <v>493</v>
      </c>
    </row>
    <row r="29" spans="1:18" s="5" customFormat="1" ht="14.25" hidden="1" customHeight="1">
      <c r="A29" s="257">
        <v>15</v>
      </c>
      <c r="B29" s="931">
        <f>IF($A$5&lt;=$K$5,'BP2'!B29,)</f>
        <v>0</v>
      </c>
      <c r="C29" s="932"/>
      <c r="D29" s="932"/>
      <c r="E29" s="932"/>
      <c r="F29" s="933"/>
      <c r="G29" s="268">
        <f>IF($A$5&lt;=$K$5,'BP1'!G29,)</f>
        <v>0</v>
      </c>
      <c r="H29" s="249">
        <f>IF($G29&gt;0,'BP3'!H29,)</f>
        <v>0</v>
      </c>
      <c r="I29" s="250">
        <f>IF($G29&gt;0,'BP3'!I29,)</f>
        <v>0</v>
      </c>
      <c r="J29" s="250">
        <f>IF($G29&gt;0,'BP3'!J29,)</f>
        <v>0</v>
      </c>
      <c r="K29" s="162">
        <f t="shared" ca="1" si="2"/>
        <v>0</v>
      </c>
      <c r="L29" s="163">
        <f ca="1">IF(K29&gt;3,K29*LOOKUP($K$8,Lists!$A$2:$A$812,IF($K$2="Non-Federal",Lists!$D$2:$D$812,Lists!$C$2:$C$812)),0)</f>
        <v>0</v>
      </c>
      <c r="M29" s="276">
        <f>IF(G29&gt;0,'BP1'!M29,)</f>
        <v>0</v>
      </c>
      <c r="N29" s="162">
        <f t="shared" ca="1" si="1"/>
        <v>0</v>
      </c>
      <c r="O29" s="163">
        <f ca="1">N29*LOOKUP($K$8,Lists!$A$2:$A$812,IF($K$2="Non-Federal",Lists!$D$2:$D$812,Lists!$C$2:$C$812))</f>
        <v>0</v>
      </c>
      <c r="P29" s="229">
        <f ca="1">IF($A$5&lt;='BP1'!$K$5,(1+$K$7)*INDIRECT("BP"&amp;$A$5-1&amp;"!P29"),)</f>
        <v>0</v>
      </c>
      <c r="Q29" s="259">
        <f t="shared" si="0"/>
        <v>0</v>
      </c>
      <c r="R29" s="136" t="s">
        <v>493</v>
      </c>
    </row>
    <row r="30" spans="1:18" s="5" customFormat="1" ht="14.25" customHeight="1">
      <c r="A30" s="842" t="s">
        <v>209</v>
      </c>
      <c r="B30" s="843"/>
      <c r="C30" s="843"/>
      <c r="D30" s="843"/>
      <c r="E30" s="843"/>
      <c r="F30" s="844"/>
      <c r="G30" s="31"/>
      <c r="H30" s="224">
        <f t="shared" ref="H30:O30" si="3">SUM(H15:H29)</f>
        <v>0</v>
      </c>
      <c r="I30" s="224">
        <f t="shared" si="3"/>
        <v>0</v>
      </c>
      <c r="J30" s="224">
        <f t="shared" si="3"/>
        <v>0</v>
      </c>
      <c r="K30" s="163">
        <f t="shared" ca="1" si="3"/>
        <v>0</v>
      </c>
      <c r="L30" s="163">
        <f t="shared" ca="1" si="3"/>
        <v>0</v>
      </c>
      <c r="M30" s="276">
        <f t="shared" si="3"/>
        <v>0</v>
      </c>
      <c r="N30" s="164">
        <f t="shared" ca="1" si="3"/>
        <v>0</v>
      </c>
      <c r="O30" s="163">
        <f t="shared" ca="1" si="3"/>
        <v>0</v>
      </c>
      <c r="P30" s="70"/>
      <c r="Q30" s="390"/>
      <c r="R30" s="136" t="s">
        <v>225</v>
      </c>
    </row>
    <row r="31" spans="1:18" s="5" customFormat="1" ht="14.25" customHeight="1">
      <c r="A31" s="209" t="s">
        <v>210</v>
      </c>
      <c r="B31" s="248"/>
      <c r="C31" s="248"/>
      <c r="D31" s="240"/>
      <c r="E31" s="240"/>
      <c r="F31" s="240"/>
      <c r="G31" s="32"/>
      <c r="H31" s="27"/>
      <c r="I31" s="28"/>
      <c r="J31" s="28"/>
      <c r="K31" s="68"/>
      <c r="L31" s="424"/>
      <c r="M31" s="425"/>
      <c r="N31" s="33"/>
      <c r="O31" s="34"/>
      <c r="P31" s="219" t="s">
        <v>111</v>
      </c>
      <c r="Q31" s="391"/>
      <c r="R31" s="136" t="s">
        <v>225</v>
      </c>
    </row>
    <row r="32" spans="1:18" s="5" customFormat="1" ht="14.25" customHeight="1">
      <c r="A32" s="252" t="s">
        <v>3</v>
      </c>
      <c r="B32" s="462">
        <f>IF($A$5&lt;=$K$5,'BP3'!B32,0)</f>
        <v>0</v>
      </c>
      <c r="C32" s="204" t="s">
        <v>464</v>
      </c>
      <c r="D32" s="240" t="str">
        <f>"Postdoctoral Associate"&amp;IF(B32&gt;0,"s",)</f>
        <v>Postdoctoral Associate</v>
      </c>
      <c r="E32" s="251"/>
      <c r="F32" s="251"/>
      <c r="G32" s="534">
        <v>12</v>
      </c>
      <c r="H32" s="222">
        <f>IF($A$5&lt;=$K$5,(IF('BP3'!H32&lt;&gt;'BP3'!B32*12,'BP3'!H32,B32*12)),0)</f>
        <v>0</v>
      </c>
      <c r="I32" s="223"/>
      <c r="J32" s="223"/>
      <c r="K32" s="162">
        <f t="shared" ref="K32:K40" ca="1" si="4">IFERROR(P32/12*H32,)</f>
        <v>0</v>
      </c>
      <c r="L32" s="163">
        <f>IF($A$5&lt;=$K$5,K32*LOOKUP($K$8,Lists!$A$2:$A$812,IF('BP1'!$K$2="Non-Federal",Lists!$D$2:$D$812,Lists!$C$2:$C$812)),0)</f>
        <v>0</v>
      </c>
      <c r="M32" s="276">
        <f>IF(B32&gt;0,'BP1'!M32,)</f>
        <v>0</v>
      </c>
      <c r="N32" s="162">
        <f ca="1">IFERROR(P32/12*M32,)</f>
        <v>0</v>
      </c>
      <c r="O32" s="163">
        <f ca="1">N32*LOOKUP($K$8,Lists!$A$2:$A$812,IF($K$2="Non-Federal",Lists!$D$2:$D$812,Lists!$C$2:$C$812))</f>
        <v>0</v>
      </c>
      <c r="P32" s="229">
        <f ca="1">IF($A$5&lt;=$K$5,INDIRECT("BP"&amp;$A$5-1&amp;"!P32")*(1+$K$7),0)</f>
        <v>0</v>
      </c>
      <c r="Q32" s="389"/>
      <c r="R32" s="136" t="s">
        <v>225</v>
      </c>
    </row>
    <row r="33" spans="1:18" s="5" customFormat="1" ht="14.25" customHeight="1">
      <c r="A33" s="209" t="s">
        <v>495</v>
      </c>
      <c r="B33" s="462">
        <f>IF($A$5&lt;=$K$5,'BP3'!B33,0)</f>
        <v>0</v>
      </c>
      <c r="C33" s="204" t="s">
        <v>464</v>
      </c>
      <c r="D33" s="240" t="str">
        <f>'BP1'!D33</f>
        <v>Other Professional</v>
      </c>
      <c r="E33" s="251"/>
      <c r="F33" s="251"/>
      <c r="G33" s="534">
        <v>12</v>
      </c>
      <c r="H33" s="222">
        <f>IF($A$5&lt;=$K$5,(IF('BP3'!H33&lt;&gt;'BP3'!B33*12,'BP3'!H33,B33*12)),0)</f>
        <v>0</v>
      </c>
      <c r="I33" s="223"/>
      <c r="J33" s="223"/>
      <c r="K33" s="162">
        <f t="shared" ca="1" si="4"/>
        <v>0</v>
      </c>
      <c r="L33" s="163">
        <f>IF($A$5&lt;=$K$5,K33*LOOKUP($K$8,Lists!$A$2:$A$812,IF('BP1'!$K$2="Non-Federal",Lists!$D$2:$D$812,Lists!$C$2:$C$812)),0)</f>
        <v>0</v>
      </c>
      <c r="M33" s="276">
        <f>IF(B33&gt;0,'BP1'!M33,)</f>
        <v>0</v>
      </c>
      <c r="N33" s="162">
        <f t="shared" ref="N33:N40" ca="1" si="5">IFERROR(P33/12*M33,)</f>
        <v>0</v>
      </c>
      <c r="O33" s="163">
        <f ca="1">N33*LOOKUP($K$8,Lists!$A$2:$A$812,IF($K$2="Non-Federal",Lists!$D$2:$D$812,Lists!$C$2:$C$812))</f>
        <v>0</v>
      </c>
      <c r="P33" s="229">
        <f ca="1">IF($A$5&lt;=$K$5,INDIRECT("BP"&amp;$A$5-1&amp;"!P33")*(1+$K$7),0)</f>
        <v>0</v>
      </c>
      <c r="Q33" s="389"/>
      <c r="R33" s="136" t="s">
        <v>225</v>
      </c>
    </row>
    <row r="34" spans="1:18" s="5" customFormat="1" ht="14.25" hidden="1" customHeight="1">
      <c r="A34" s="209" t="s">
        <v>496</v>
      </c>
      <c r="B34" s="462">
        <f>IF($A$5&lt;=$K$5,'BP3'!B34,0)</f>
        <v>0</v>
      </c>
      <c r="C34" s="204" t="s">
        <v>464</v>
      </c>
      <c r="D34" s="240" t="str">
        <f>'BP1'!D34</f>
        <v>Other Professional</v>
      </c>
      <c r="E34" s="251"/>
      <c r="F34" s="251"/>
      <c r="G34" s="534">
        <v>12</v>
      </c>
      <c r="H34" s="222">
        <f>IF($A$5&lt;=$K$5,(IF('BP3'!H34&lt;&gt;'BP3'!B34*12,'BP3'!H34,B34*12)),0)</f>
        <v>0</v>
      </c>
      <c r="I34" s="223"/>
      <c r="J34" s="223"/>
      <c r="K34" s="162">
        <f t="shared" ca="1" si="4"/>
        <v>0</v>
      </c>
      <c r="L34" s="163">
        <f>IF($A$5&lt;=$K$5,K34*LOOKUP($K$8,Lists!$A$2:$A$812,IF('BP1'!$K$2="Non-Federal",Lists!$D$2:$D$812,Lists!$C$2:$C$812)),0)</f>
        <v>0</v>
      </c>
      <c r="M34" s="276">
        <f>IF(B34&gt;0,'BP1'!M34,)</f>
        <v>0</v>
      </c>
      <c r="N34" s="162">
        <f t="shared" ca="1" si="5"/>
        <v>0</v>
      </c>
      <c r="O34" s="163">
        <f ca="1">N34*LOOKUP($K$8,Lists!$A$2:$A$812,IF($K$2="Non-Federal",Lists!$D$2:$D$812,Lists!$C$2:$C$812))</f>
        <v>0</v>
      </c>
      <c r="P34" s="229">
        <f ca="1">IF($A$5&lt;=$K$5,INDIRECT("BP"&amp;$A$5-1&amp;"!P34")*(1+$K$7),0)</f>
        <v>0</v>
      </c>
      <c r="Q34" s="389"/>
      <c r="R34" s="136" t="s">
        <v>500</v>
      </c>
    </row>
    <row r="35" spans="1:18" s="5" customFormat="1" ht="14.25" hidden="1" customHeight="1">
      <c r="A35" s="209" t="s">
        <v>497</v>
      </c>
      <c r="B35" s="462">
        <f>IF($A$5&lt;=$K$5,'BP3'!B35,0)</f>
        <v>0</v>
      </c>
      <c r="C35" s="204" t="s">
        <v>464</v>
      </c>
      <c r="D35" s="240" t="str">
        <f>'BP1'!D35</f>
        <v>Other Professional</v>
      </c>
      <c r="E35" s="251"/>
      <c r="F35" s="251"/>
      <c r="G35" s="534">
        <v>12</v>
      </c>
      <c r="H35" s="222">
        <f>IF($A$5&lt;=$K$5,(IF('BP3'!H35&lt;&gt;'BP3'!B35*12,'BP3'!H35,B35*12)),0)</f>
        <v>0</v>
      </c>
      <c r="I35" s="223"/>
      <c r="J35" s="223"/>
      <c r="K35" s="162">
        <f t="shared" ca="1" si="4"/>
        <v>0</v>
      </c>
      <c r="L35" s="163">
        <f>IF($A$5&lt;=$K$5,K35*LOOKUP($K$8,Lists!$A$2:$A$812,IF('BP1'!$K$2="Non-Federal",Lists!$D$2:$D$812,Lists!$C$2:$C$812)),0)</f>
        <v>0</v>
      </c>
      <c r="M35" s="276">
        <f>IF(B35&gt;0,'BP1'!M35,)</f>
        <v>0</v>
      </c>
      <c r="N35" s="162">
        <f t="shared" ca="1" si="5"/>
        <v>0</v>
      </c>
      <c r="O35" s="163">
        <f ca="1">N35*LOOKUP($K$8,Lists!$A$2:$A$812,IF($K$2="Non-Federal",Lists!$D$2:$D$812,Lists!$C$2:$C$812))</f>
        <v>0</v>
      </c>
      <c r="P35" s="229">
        <f ca="1">IF($A$5&lt;=$K$5,INDIRECT("BP"&amp;$A$5-1&amp;"!P35")*(1+$K$7),0)</f>
        <v>0</v>
      </c>
      <c r="Q35" s="389"/>
      <c r="R35" s="136" t="s">
        <v>500</v>
      </c>
    </row>
    <row r="36" spans="1:18" s="5" customFormat="1" ht="14.25" hidden="1" customHeight="1">
      <c r="A36" s="209" t="s">
        <v>498</v>
      </c>
      <c r="B36" s="462">
        <f>IF($A$5&lt;=$K$5,'BP3'!B36,0)</f>
        <v>0</v>
      </c>
      <c r="C36" s="204" t="s">
        <v>464</v>
      </c>
      <c r="D36" s="240" t="str">
        <f>'BP1'!D36</f>
        <v>Other Professional</v>
      </c>
      <c r="E36" s="251"/>
      <c r="F36" s="251"/>
      <c r="G36" s="534">
        <v>12</v>
      </c>
      <c r="H36" s="222">
        <f>IF($A$5&lt;=$K$5,(IF('BP3'!H36&lt;&gt;'BP3'!B36*12,'BP3'!H36,B36*12)),0)</f>
        <v>0</v>
      </c>
      <c r="I36" s="223"/>
      <c r="J36" s="223"/>
      <c r="K36" s="162">
        <f t="shared" ca="1" si="4"/>
        <v>0</v>
      </c>
      <c r="L36" s="163">
        <f>IF($A$5&lt;=$K$5,K36*LOOKUP($K$8,Lists!$A$2:$A$812,IF('BP1'!$K$2="Non-Federal",Lists!$D$2:$D$812,Lists!$C$2:$C$812)),0)</f>
        <v>0</v>
      </c>
      <c r="M36" s="276">
        <f>IF(B36&gt;0,'BP1'!M36,)</f>
        <v>0</v>
      </c>
      <c r="N36" s="162">
        <f t="shared" ca="1" si="5"/>
        <v>0</v>
      </c>
      <c r="O36" s="163">
        <f ca="1">N36*LOOKUP($K$8,Lists!$A$2:$A$812,IF($K$2="Non-Federal",Lists!$D$2:$D$812,Lists!$C$2:$C$812))</f>
        <v>0</v>
      </c>
      <c r="P36" s="229">
        <f ca="1">IF($A$5&lt;=$K$5,INDIRECT("BP"&amp;$A$5-1&amp;"!P36")*(1+$K$7),0)</f>
        <v>0</v>
      </c>
      <c r="Q36" s="389"/>
      <c r="R36" s="136" t="s">
        <v>500</v>
      </c>
    </row>
    <row r="37" spans="1:18" s="5" customFormat="1" ht="14.25" hidden="1" customHeight="1">
      <c r="A37" s="209" t="s">
        <v>499</v>
      </c>
      <c r="B37" s="462">
        <f>IF($A$5&lt;=$K$5,'BP3'!B37,0)</f>
        <v>0</v>
      </c>
      <c r="C37" s="204" t="s">
        <v>464</v>
      </c>
      <c r="D37" s="240" t="str">
        <f>'BP1'!D37</f>
        <v>Other Professional</v>
      </c>
      <c r="E37" s="251"/>
      <c r="F37" s="251"/>
      <c r="G37" s="534">
        <v>12</v>
      </c>
      <c r="H37" s="222">
        <f>IF($A$5&lt;=$K$5,(IF('BP3'!H37&lt;&gt;'BP3'!B37*12,'BP3'!H37,B37*12)),0)</f>
        <v>0</v>
      </c>
      <c r="I37" s="223"/>
      <c r="J37" s="223"/>
      <c r="K37" s="162">
        <f t="shared" ca="1" si="4"/>
        <v>0</v>
      </c>
      <c r="L37" s="163">
        <f>IF($A$5&lt;=$K$5,K37*LOOKUP($K$8,Lists!$A$2:$A$812,IF('BP1'!$K$2="Non-Federal",Lists!$D$2:$D$812,Lists!$C$2:$C$812)),0)</f>
        <v>0</v>
      </c>
      <c r="M37" s="276">
        <f>IF(B37&gt;0,'BP1'!M37,)</f>
        <v>0</v>
      </c>
      <c r="N37" s="162">
        <f t="shared" ca="1" si="5"/>
        <v>0</v>
      </c>
      <c r="O37" s="163">
        <f ca="1">N37*LOOKUP($K$8,Lists!$A$2:$A$812,IF($K$2="Non-Federal",Lists!$D$2:$D$812,Lists!$C$2:$C$812))</f>
        <v>0</v>
      </c>
      <c r="P37" s="229">
        <f ca="1">IF($A$5&lt;=$K$5,INDIRECT("BP"&amp;$A$5-1&amp;"!P37")*(1+$K$7),0)</f>
        <v>0</v>
      </c>
      <c r="Q37" s="389"/>
      <c r="R37" s="136" t="s">
        <v>500</v>
      </c>
    </row>
    <row r="38" spans="1:18" s="5" customFormat="1" ht="14.25" customHeight="1">
      <c r="A38" s="252" t="s">
        <v>4</v>
      </c>
      <c r="B38" s="462">
        <f>IF($A$5&lt;=$K$5,'BP3'!B38,0)</f>
        <v>0</v>
      </c>
      <c r="C38" s="204" t="s">
        <v>464</v>
      </c>
      <c r="D38" s="240" t="str">
        <f>"Graduate Student"&amp;IF(B38&gt;0,"s",)</f>
        <v>Graduate Student</v>
      </c>
      <c r="E38" s="251"/>
      <c r="F38" s="251"/>
      <c r="G38" s="534">
        <v>12</v>
      </c>
      <c r="H38" s="222">
        <f>IF($A$5&lt;=$K$5,(IF('BP3'!H38&lt;&gt;'BP3'!B38*12,'BP3'!H38,B38*12)),0)</f>
        <v>0</v>
      </c>
      <c r="I38" s="223"/>
      <c r="J38" s="223"/>
      <c r="K38" s="162">
        <f t="shared" ca="1" si="4"/>
        <v>0</v>
      </c>
      <c r="L38" s="163">
        <f>IF($A$5&lt;=$K$5,K38*LOOKUP($K$8,Lists!$A$2:$A$812,Lists!$F$2:$F$812),0)</f>
        <v>0</v>
      </c>
      <c r="M38" s="276">
        <f>IF(B38&gt;0,'BP1'!M38,)</f>
        <v>0</v>
      </c>
      <c r="N38" s="162">
        <f t="shared" ca="1" si="5"/>
        <v>0</v>
      </c>
      <c r="O38" s="163">
        <f ca="1">N38*LOOKUP($K$8,Lists!$A$2:$A$812,Lists!$F$2:$F$812)</f>
        <v>0</v>
      </c>
      <c r="P38" s="229">
        <f ca="1">IF($A$5&lt;=$K$5,INDIRECT("BP"&amp;$A$5-1&amp;"!P38")*(1+$K$7),0)</f>
        <v>0</v>
      </c>
      <c r="Q38" s="389"/>
      <c r="R38" s="136" t="s">
        <v>225</v>
      </c>
    </row>
    <row r="39" spans="1:18" s="5" customFormat="1" ht="14.25" customHeight="1">
      <c r="A39" s="252" t="s">
        <v>5</v>
      </c>
      <c r="B39" s="462">
        <f>IF($A$5&lt;=$K$5,'BP3'!B39,0)</f>
        <v>0</v>
      </c>
      <c r="C39" s="204" t="s">
        <v>464</v>
      </c>
      <c r="D39" s="240" t="str">
        <f>"Undergraduate Student"&amp;IF(B39&gt;0,"s",)</f>
        <v>Undergraduate Student</v>
      </c>
      <c r="E39" s="251"/>
      <c r="F39" s="251"/>
      <c r="G39" s="534">
        <v>12</v>
      </c>
      <c r="H39" s="222">
        <f>IF($A$5&lt;=$K$5,(IF('BP3'!H39&lt;&gt;'BP3'!B39*12,'BP3'!H39,B39*12)),0)</f>
        <v>0</v>
      </c>
      <c r="I39" s="223"/>
      <c r="J39" s="223"/>
      <c r="K39" s="162">
        <f t="shared" ca="1" si="4"/>
        <v>0</v>
      </c>
      <c r="L39" s="223"/>
      <c r="M39" s="276">
        <f>IF(B39&gt;0,'BP1'!M39,)</f>
        <v>0</v>
      </c>
      <c r="N39" s="162">
        <f ca="1">IFERROR(P39/12*M39,)</f>
        <v>0</v>
      </c>
      <c r="O39" s="223"/>
      <c r="P39" s="229">
        <f ca="1">IF($A$5&lt;=$K$5,INDIRECT("BP"&amp;$A$5-1&amp;"!P39")*(1+$K$7),0)</f>
        <v>0</v>
      </c>
      <c r="Q39" s="389"/>
      <c r="R39" s="136" t="s">
        <v>225</v>
      </c>
    </row>
    <row r="40" spans="1:18" s="5" customFormat="1" ht="14.25" customHeight="1" thickBot="1">
      <c r="A40" s="252" t="s">
        <v>6</v>
      </c>
      <c r="B40" s="462">
        <f>IF($A$5&lt;=$K$5,'BP3'!B40,0)</f>
        <v>0</v>
      </c>
      <c r="C40" s="204" t="s">
        <v>464</v>
      </c>
      <c r="D40" s="240" t="str">
        <f>"Other"&amp;IF(B40&gt;0,"s",)&amp;" (Carrying Statutory Benefits)"</f>
        <v>Other (Carrying Statutory Benefits)</v>
      </c>
      <c r="E40" s="251"/>
      <c r="F40" s="251"/>
      <c r="G40" s="534">
        <v>12</v>
      </c>
      <c r="H40" s="222">
        <f>IF($A$5&lt;=$K$5,(IF('BP3'!H40&lt;&gt;'BP3'!B40*12,'BP3'!H40,B40*12)),0)</f>
        <v>0</v>
      </c>
      <c r="I40" s="223"/>
      <c r="J40" s="223"/>
      <c r="K40" s="162">
        <f t="shared" ca="1" si="4"/>
        <v>0</v>
      </c>
      <c r="L40" s="163">
        <f>IF($A$5&lt;=$K$5,K40*LOOKUP($K$8,Lists!$A$2:$A$812,Lists!$E$2:$E$812),0)</f>
        <v>0</v>
      </c>
      <c r="M40" s="276">
        <f>IF(B40&gt;0,'BP1'!M40,)</f>
        <v>0</v>
      </c>
      <c r="N40" s="162">
        <f t="shared" ca="1" si="5"/>
        <v>0</v>
      </c>
      <c r="O40" s="163">
        <f ca="1">N40*LOOKUP($K$8,Lists!$A$2:$A$812,Lists!$E$2:$E$812)</f>
        <v>0</v>
      </c>
      <c r="P40" s="229">
        <f ca="1">IF($A$5&lt;=$K$5,INDIRECT("BP"&amp;$A$5-1&amp;"!P40")*(1+$K$7),0)</f>
        <v>0</v>
      </c>
      <c r="Q40" s="389"/>
      <c r="R40" s="136" t="s">
        <v>225</v>
      </c>
    </row>
    <row r="41" spans="1:18" s="5" customFormat="1" ht="14.25" customHeight="1" thickBot="1">
      <c r="A41" s="186"/>
      <c r="B41" s="204" t="s">
        <v>92</v>
      </c>
      <c r="C41" s="187"/>
      <c r="D41" s="181"/>
      <c r="E41" s="181"/>
      <c r="F41" s="181"/>
      <c r="G41" s="181"/>
      <c r="H41" s="188"/>
      <c r="I41" s="189"/>
      <c r="J41" s="187"/>
      <c r="K41" s="852">
        <f>IF($A$5&lt;=$K$5,SUM(K30:K40),0)</f>
        <v>0</v>
      </c>
      <c r="L41" s="853"/>
      <c r="M41" s="272"/>
      <c r="N41" s="867">
        <f ca="1">SUM(N30:N40)</f>
        <v>0</v>
      </c>
      <c r="O41" s="893"/>
      <c r="R41" s="136" t="s">
        <v>225</v>
      </c>
    </row>
    <row r="42" spans="1:18" s="5" customFormat="1" ht="14.25" customHeight="1" thickBot="1">
      <c r="A42" s="209" t="s">
        <v>93</v>
      </c>
      <c r="B42" s="187"/>
      <c r="C42" s="187"/>
      <c r="D42" s="178"/>
      <c r="E42" s="178"/>
      <c r="F42" s="190"/>
      <c r="G42" s="191"/>
      <c r="H42" s="192"/>
      <c r="I42" s="189"/>
      <c r="J42" s="187"/>
      <c r="K42" s="852">
        <f>IF($A$5&lt;=$K$5,SUM(L30:L40),0)</f>
        <v>0</v>
      </c>
      <c r="L42" s="853"/>
      <c r="M42" s="272"/>
      <c r="N42" s="867">
        <f ca="1">SUM(O30:O40)</f>
        <v>0</v>
      </c>
      <c r="O42" s="893"/>
      <c r="R42" s="136" t="s">
        <v>225</v>
      </c>
    </row>
    <row r="43" spans="1:18" s="5" customFormat="1" ht="14.25" customHeight="1" thickBot="1">
      <c r="A43" s="170"/>
      <c r="B43" s="210" t="s">
        <v>212</v>
      </c>
      <c r="C43" s="171"/>
      <c r="D43" s="172"/>
      <c r="E43" s="172"/>
      <c r="F43" s="172"/>
      <c r="G43" s="172"/>
      <c r="H43" s="171"/>
      <c r="I43" s="171"/>
      <c r="J43" s="171"/>
      <c r="K43" s="852">
        <f>IF($A$5&lt;=$K$5,SUM(K41:K42),0)</f>
        <v>0</v>
      </c>
      <c r="L43" s="853"/>
      <c r="M43" s="272"/>
      <c r="N43" s="867">
        <f ca="1">SUM(N41:N42)</f>
        <v>0</v>
      </c>
      <c r="O43" s="893"/>
      <c r="R43" s="136" t="s">
        <v>225</v>
      </c>
    </row>
    <row r="44" spans="1:18" s="5" customFormat="1" ht="14.25" customHeight="1" thickBot="1">
      <c r="A44" s="207" t="s">
        <v>213</v>
      </c>
      <c r="B44" s="166"/>
      <c r="C44" s="166"/>
      <c r="D44" s="167"/>
      <c r="E44" s="167"/>
      <c r="F44" s="167"/>
      <c r="G44" s="167"/>
      <c r="H44" s="166"/>
      <c r="I44" s="182"/>
      <c r="J44" s="166"/>
      <c r="K44" s="62"/>
      <c r="L44" s="63"/>
      <c r="M44" s="272"/>
      <c r="N44" s="35"/>
      <c r="O44" s="36"/>
      <c r="R44" s="136" t="s">
        <v>225</v>
      </c>
    </row>
    <row r="45" spans="1:18" s="5" customFormat="1" ht="14.25" customHeight="1" thickBot="1">
      <c r="A45" s="185"/>
      <c r="B45" s="934"/>
      <c r="C45" s="935"/>
      <c r="D45" s="935"/>
      <c r="E45" s="935"/>
      <c r="F45" s="936"/>
      <c r="G45" s="183"/>
      <c r="H45" s="183"/>
      <c r="I45" s="211" t="s">
        <v>162</v>
      </c>
      <c r="J45" s="184"/>
      <c r="K45" s="962"/>
      <c r="L45" s="963"/>
      <c r="M45" s="272"/>
      <c r="N45" s="776"/>
      <c r="O45" s="777"/>
      <c r="R45" s="136" t="s">
        <v>225</v>
      </c>
    </row>
    <row r="46" spans="1:18" s="5" customFormat="1" ht="14.25" hidden="1" customHeight="1" thickBot="1">
      <c r="A46" s="185"/>
      <c r="B46" s="934"/>
      <c r="C46" s="935"/>
      <c r="D46" s="935"/>
      <c r="E46" s="935"/>
      <c r="F46" s="936"/>
      <c r="G46" s="183"/>
      <c r="H46" s="183"/>
      <c r="I46" s="211" t="s">
        <v>163</v>
      </c>
      <c r="J46" s="184"/>
      <c r="K46" s="962"/>
      <c r="L46" s="963"/>
      <c r="M46" s="272"/>
      <c r="N46" s="776"/>
      <c r="O46" s="777"/>
      <c r="R46" s="136" t="s">
        <v>494</v>
      </c>
    </row>
    <row r="47" spans="1:18" s="5" customFormat="1" ht="14.25" hidden="1" customHeight="1" thickBot="1">
      <c r="A47" s="185"/>
      <c r="B47" s="934"/>
      <c r="C47" s="935"/>
      <c r="D47" s="935"/>
      <c r="E47" s="935"/>
      <c r="F47" s="936"/>
      <c r="G47" s="183"/>
      <c r="H47" s="183"/>
      <c r="I47" s="211" t="s">
        <v>164</v>
      </c>
      <c r="J47" s="184"/>
      <c r="K47" s="962"/>
      <c r="L47" s="963"/>
      <c r="M47" s="272"/>
      <c r="N47" s="776"/>
      <c r="O47" s="777"/>
      <c r="R47" s="136" t="s">
        <v>494</v>
      </c>
    </row>
    <row r="48" spans="1:18" s="5" customFormat="1" ht="14.25" hidden="1" customHeight="1" thickBot="1">
      <c r="A48" s="185"/>
      <c r="B48" s="934"/>
      <c r="C48" s="935"/>
      <c r="D48" s="935"/>
      <c r="E48" s="935"/>
      <c r="F48" s="936"/>
      <c r="G48" s="183"/>
      <c r="H48" s="183"/>
      <c r="I48" s="211" t="s">
        <v>165</v>
      </c>
      <c r="J48" s="184"/>
      <c r="K48" s="962"/>
      <c r="L48" s="963"/>
      <c r="M48" s="272"/>
      <c r="N48" s="776"/>
      <c r="O48" s="777"/>
      <c r="R48" s="136" t="s">
        <v>494</v>
      </c>
    </row>
    <row r="49" spans="1:18" s="5" customFormat="1" ht="14.25" hidden="1" customHeight="1" thickBot="1">
      <c r="A49" s="185"/>
      <c r="B49" s="934"/>
      <c r="C49" s="935"/>
      <c r="D49" s="935"/>
      <c r="E49" s="935"/>
      <c r="F49" s="936"/>
      <c r="G49" s="183"/>
      <c r="H49" s="183"/>
      <c r="I49" s="211" t="s">
        <v>166</v>
      </c>
      <c r="J49" s="184"/>
      <c r="K49" s="962"/>
      <c r="L49" s="963"/>
      <c r="M49" s="272"/>
      <c r="N49" s="776"/>
      <c r="O49" s="777"/>
      <c r="R49" s="136" t="s">
        <v>494</v>
      </c>
    </row>
    <row r="50" spans="1:18" s="5" customFormat="1" ht="14.25" customHeight="1" thickBot="1">
      <c r="A50" s="176"/>
      <c r="B50" s="202" t="s">
        <v>214</v>
      </c>
      <c r="C50" s="177"/>
      <c r="D50" s="169"/>
      <c r="E50" s="169"/>
      <c r="F50" s="169"/>
      <c r="G50" s="169"/>
      <c r="H50" s="169"/>
      <c r="I50" s="169"/>
      <c r="J50" s="169"/>
      <c r="K50" s="862">
        <f>SUM(K45:K49)</f>
        <v>0</v>
      </c>
      <c r="L50" s="853"/>
      <c r="M50" s="272"/>
      <c r="N50" s="900">
        <f>SUM(N45:N49)</f>
        <v>0</v>
      </c>
      <c r="O50" s="901"/>
      <c r="R50" s="136" t="s">
        <v>225</v>
      </c>
    </row>
    <row r="51" spans="1:18" s="5" customFormat="1" ht="14.25" customHeight="1">
      <c r="A51" s="212" t="s">
        <v>215</v>
      </c>
      <c r="B51" s="210"/>
      <c r="C51" s="210"/>
      <c r="D51" s="526"/>
      <c r="E51" s="526"/>
      <c r="F51" s="214"/>
      <c r="G51" s="440" t="s">
        <v>465</v>
      </c>
      <c r="H51" s="858" t="s">
        <v>94</v>
      </c>
      <c r="I51" s="859"/>
      <c r="J51" s="859"/>
      <c r="K51" s="854">
        <f>IF($A$5&lt;=$K$5,(IF(SUM('Travel Calculator'!$L$14:$M$14)&gt;0,('Travel Calculator'!$L$12*(1-'Travel Calculator'!$N$4)),'BP3'!$K$51)),)</f>
        <v>0</v>
      </c>
      <c r="L51" s="855"/>
      <c r="M51" s="272"/>
      <c r="N51" s="854">
        <f>IF($A$5&lt;=$K$5,(IF(SUM('Travel Calculator'!$L$14:$M$14)&gt;0,('Travel Calculator'!$L$12*('Travel Calculator'!$N$4)),'BP3'!$N$51)),)</f>
        <v>0</v>
      </c>
      <c r="O51" s="855"/>
      <c r="R51" s="136" t="s">
        <v>225</v>
      </c>
    </row>
    <row r="52" spans="1:18" s="5" customFormat="1" ht="14.25" customHeight="1" thickBot="1">
      <c r="A52" s="212"/>
      <c r="B52" s="210"/>
      <c r="C52" s="210"/>
      <c r="D52" s="526"/>
      <c r="E52" s="526"/>
      <c r="F52" s="438"/>
      <c r="G52" s="440" t="s">
        <v>466</v>
      </c>
      <c r="H52" s="858" t="s">
        <v>95</v>
      </c>
      <c r="I52" s="859"/>
      <c r="J52" s="859"/>
      <c r="K52" s="864">
        <f>IF($A$5&lt;=$K$5,(IF(SUM('Travel Calculator'!$L$14:$M$14)&gt;0,('Travel Calculator'!$M$12*(1-'Travel Calculator'!$N$4)),'BP3'!$K$52)),)</f>
        <v>0</v>
      </c>
      <c r="L52" s="865"/>
      <c r="M52" s="272"/>
      <c r="N52" s="864">
        <f>IF($A$5&lt;=$K$5,(IF(SUM('Travel Calculator'!$L$14:$M$14)&gt;0,('Travel Calculator'!$M$12*('Travel Calculator'!$N$4)),'BP3'!$N$52)),)</f>
        <v>0</v>
      </c>
      <c r="O52" s="865"/>
      <c r="R52" s="136" t="s">
        <v>225</v>
      </c>
    </row>
    <row r="53" spans="1:18" s="5" customFormat="1" ht="14.25" customHeight="1" thickBot="1">
      <c r="A53" s="196"/>
      <c r="B53" s="202"/>
      <c r="C53" s="202"/>
      <c r="D53" s="527"/>
      <c r="E53" s="527"/>
      <c r="F53" s="527"/>
      <c r="G53" s="527"/>
      <c r="H53" s="860" t="s">
        <v>110</v>
      </c>
      <c r="I53" s="860"/>
      <c r="J53" s="861"/>
      <c r="K53" s="852">
        <f>IF($A$5&lt;=$K$5,K51+K52,0)</f>
        <v>0</v>
      </c>
      <c r="L53" s="853"/>
      <c r="M53" s="272"/>
      <c r="N53" s="867">
        <f>N51+N52</f>
        <v>0</v>
      </c>
      <c r="O53" s="893"/>
      <c r="R53" s="136" t="s">
        <v>225</v>
      </c>
    </row>
    <row r="54" spans="1:18" s="5" customFormat="1" ht="14.25" customHeight="1">
      <c r="A54" s="212" t="s">
        <v>216</v>
      </c>
      <c r="B54" s="210"/>
      <c r="C54" s="210"/>
      <c r="D54" s="239"/>
      <c r="E54" s="239"/>
      <c r="F54" s="239"/>
      <c r="G54" s="239"/>
      <c r="H54" s="210"/>
      <c r="I54" s="217"/>
      <c r="J54" s="210"/>
      <c r="K54" s="66"/>
      <c r="L54" s="67"/>
      <c r="M54" s="272"/>
      <c r="N54" s="37"/>
      <c r="O54" s="38"/>
      <c r="R54" s="136" t="s">
        <v>225</v>
      </c>
    </row>
    <row r="55" spans="1:18" s="5" customFormat="1" ht="14.25" customHeight="1">
      <c r="A55" s="212"/>
      <c r="B55" s="218">
        <v>1</v>
      </c>
      <c r="C55" s="780" t="str">
        <f>'BP1'!C55</f>
        <v>Materials and Supplies</v>
      </c>
      <c r="D55" s="780"/>
      <c r="E55" s="780"/>
      <c r="F55" s="780"/>
      <c r="G55" s="780"/>
      <c r="H55" s="780"/>
      <c r="I55" s="780"/>
      <c r="J55" s="858"/>
      <c r="K55" s="968">
        <f>IF($A$5&lt;=$K$5,'BP3'!K55,0)</f>
        <v>0</v>
      </c>
      <c r="L55" s="963"/>
      <c r="M55" s="272"/>
      <c r="N55" s="776">
        <f>IF($A$5&lt;='BP1'!$K$5,'BP1'!N55,0)</f>
        <v>0</v>
      </c>
      <c r="O55" s="777"/>
      <c r="R55" s="136" t="s">
        <v>225</v>
      </c>
    </row>
    <row r="56" spans="1:18" s="5" customFormat="1" ht="14.25" customHeight="1">
      <c r="A56" s="212"/>
      <c r="B56" s="218">
        <v>2</v>
      </c>
      <c r="C56" s="780" t="str">
        <f>'BP1'!C56</f>
        <v>Publication Costs</v>
      </c>
      <c r="D56" s="780"/>
      <c r="E56" s="780"/>
      <c r="F56" s="780"/>
      <c r="G56" s="780"/>
      <c r="H56" s="780"/>
      <c r="I56" s="780"/>
      <c r="J56" s="858"/>
      <c r="K56" s="968">
        <f>IF($A$5&lt;=$K$5,'BP3'!K56,0)</f>
        <v>0</v>
      </c>
      <c r="L56" s="963"/>
      <c r="M56" s="272"/>
      <c r="N56" s="776">
        <f>IF($A$5&lt;='BP1'!$K$5,'BP1'!N56,0)</f>
        <v>0</v>
      </c>
      <c r="O56" s="777"/>
      <c r="R56" s="136" t="s">
        <v>225</v>
      </c>
    </row>
    <row r="57" spans="1:18" s="5" customFormat="1" ht="14.25" customHeight="1">
      <c r="A57" s="212"/>
      <c r="B57" s="218">
        <v>3</v>
      </c>
      <c r="C57" s="780" t="str">
        <f>'BP1'!C57</f>
        <v>Consultant Services</v>
      </c>
      <c r="D57" s="780"/>
      <c r="E57" s="780"/>
      <c r="F57" s="780"/>
      <c r="G57" s="780"/>
      <c r="H57" s="780"/>
      <c r="I57" s="780"/>
      <c r="J57" s="858"/>
      <c r="K57" s="968">
        <f>IF($A$5&lt;=$K$5,'BP3'!K57,0)</f>
        <v>0</v>
      </c>
      <c r="L57" s="963"/>
      <c r="M57" s="272"/>
      <c r="N57" s="776">
        <f>IF($A$5&lt;='BP1'!$K$5,'BP1'!N57,0)</f>
        <v>0</v>
      </c>
      <c r="O57" s="777"/>
      <c r="R57" s="136" t="s">
        <v>225</v>
      </c>
    </row>
    <row r="58" spans="1:18" s="5" customFormat="1" ht="14.25" customHeight="1">
      <c r="A58" s="212"/>
      <c r="B58" s="218">
        <v>4</v>
      </c>
      <c r="C58" s="780" t="str">
        <f>'BP1'!C58</f>
        <v>Computer Services</v>
      </c>
      <c r="D58" s="780"/>
      <c r="E58" s="780"/>
      <c r="F58" s="780"/>
      <c r="G58" s="780"/>
      <c r="H58" s="780"/>
      <c r="I58" s="780"/>
      <c r="J58" s="858"/>
      <c r="K58" s="968">
        <f>IF($A$5&lt;=$K$5,'BP3'!K58,0)</f>
        <v>0</v>
      </c>
      <c r="L58" s="963"/>
      <c r="M58" s="272"/>
      <c r="N58" s="776">
        <f>IF($A$5&lt;='BP1'!$K$5,'BP1'!N58,0)</f>
        <v>0</v>
      </c>
      <c r="O58" s="777"/>
      <c r="R58" s="136" t="s">
        <v>225</v>
      </c>
    </row>
    <row r="59" spans="1:18" s="5" customFormat="1" ht="14.25" customHeight="1">
      <c r="A59" s="212"/>
      <c r="B59" s="218">
        <v>5</v>
      </c>
      <c r="C59" s="780" t="s">
        <v>221</v>
      </c>
      <c r="D59" s="780"/>
      <c r="E59" s="780"/>
      <c r="F59" s="780"/>
      <c r="G59" s="780"/>
      <c r="H59" s="780"/>
      <c r="I59" s="780"/>
      <c r="J59" s="858"/>
      <c r="K59" s="964">
        <f>IF($A$5&lt;=$K$5,SUM((H38/12)*LOOKUP(K8,Lists!A2:A812,Lists!K2:K812)),0)</f>
        <v>0</v>
      </c>
      <c r="L59" s="964"/>
      <c r="M59" s="272"/>
      <c r="N59" s="917">
        <f>IF($A$5&lt;='BP1'!$K$5,SUM((M38/12)*LOOKUP(K8,Lists!A2:A812,Lists!K2:K812)),0)</f>
        <v>0</v>
      </c>
      <c r="O59" s="937"/>
      <c r="P59" s="8"/>
      <c r="Q59" s="8"/>
      <c r="R59" s="136" t="s">
        <v>225</v>
      </c>
    </row>
    <row r="60" spans="1:18" s="5" customFormat="1" ht="14.25" customHeight="1">
      <c r="A60" s="212"/>
      <c r="B60" s="218">
        <v>6</v>
      </c>
      <c r="C60" s="780" t="str">
        <f>'BP1'!C60</f>
        <v>MTDC Other</v>
      </c>
      <c r="D60" s="780"/>
      <c r="E60" s="780"/>
      <c r="F60" s="780"/>
      <c r="G60" s="780"/>
      <c r="H60" s="780"/>
      <c r="I60" s="780"/>
      <c r="J60" s="858"/>
      <c r="K60" s="919">
        <f>IF($A$5&lt;=$K$5,'BP3'!K60,0)</f>
        <v>0</v>
      </c>
      <c r="L60" s="919"/>
      <c r="M60" s="272"/>
      <c r="N60" s="776">
        <f>IF($A$5&lt;='BP1'!$K$5,'BP1'!N60,0)</f>
        <v>0</v>
      </c>
      <c r="O60" s="777"/>
      <c r="P60" s="8"/>
      <c r="Q60" s="8"/>
      <c r="R60" s="136" t="s">
        <v>225</v>
      </c>
    </row>
    <row r="61" spans="1:18" s="5" customFormat="1" ht="14.25" customHeight="1" thickBot="1">
      <c r="A61" s="212"/>
      <c r="B61" s="218">
        <v>7</v>
      </c>
      <c r="C61" s="780" t="str">
        <f>'BP1'!C61</f>
        <v>Non-MTDC Other (no indirect costs)</v>
      </c>
      <c r="D61" s="780"/>
      <c r="E61" s="780"/>
      <c r="F61" s="780"/>
      <c r="G61" s="780"/>
      <c r="H61" s="780"/>
      <c r="I61" s="780"/>
      <c r="J61" s="858"/>
      <c r="K61" s="968">
        <f>IF($A$5&lt;=$K$5,'BP3'!K61,0)</f>
        <v>0</v>
      </c>
      <c r="L61" s="963"/>
      <c r="M61" s="272"/>
      <c r="N61" s="776">
        <f>IF($A$5&lt;='BP1'!$K$5,'BP1'!N61,0)</f>
        <v>0</v>
      </c>
      <c r="O61" s="777"/>
      <c r="P61" s="219" t="s">
        <v>149</v>
      </c>
      <c r="Q61" s="391"/>
      <c r="R61" s="136" t="s">
        <v>225</v>
      </c>
    </row>
    <row r="62" spans="1:18" s="5" customFormat="1" ht="14.25" customHeight="1" thickBot="1">
      <c r="A62" s="170"/>
      <c r="B62" s="241">
        <v>8</v>
      </c>
      <c r="C62" s="780" t="s">
        <v>573</v>
      </c>
      <c r="D62" s="780"/>
      <c r="E62" s="778" t="s">
        <v>298</v>
      </c>
      <c r="F62" s="779"/>
      <c r="G62" s="768">
        <f>'Subaward Calculator'!B8</f>
        <v>0</v>
      </c>
      <c r="H62" s="769"/>
      <c r="I62" s="770"/>
      <c r="J62" s="299">
        <f>IF('BP3'!K62+'BP2'!K62+'BP1'!K62&lt;25000,25000-('BP3'!K62+'BP2'!K62+'BP1'!K62),0)</f>
        <v>25000</v>
      </c>
      <c r="K62" s="771">
        <f>IF(AND(SUM('BP3'!K62)&gt;0,'Subaward Calculator'!AD9=0,'BP1'!K5&gt;3),'BP3'!K62,'Subaward Calculator'!T9)</f>
        <v>0</v>
      </c>
      <c r="L62" s="772"/>
      <c r="M62" s="272"/>
      <c r="N62" s="922">
        <f>IF(AND(SUM('BP3'!N62)&gt;0,'Subaward Calculator'!AF9=0,'BP1'!K5&gt;3),'BP3'!N62,'Subaward Calculator'!V9)</f>
        <v>0</v>
      </c>
      <c r="O62" s="923"/>
      <c r="P62" s="592">
        <f>'Subaward Calculator'!B9</f>
        <v>0</v>
      </c>
      <c r="Q62" s="397"/>
      <c r="R62" s="136" t="s">
        <v>225</v>
      </c>
    </row>
    <row r="63" spans="1:18" s="5" customFormat="1" ht="14.25" hidden="1" customHeight="1" thickBot="1">
      <c r="A63" s="212"/>
      <c r="B63" s="271"/>
      <c r="C63" s="780" t="s">
        <v>574</v>
      </c>
      <c r="D63" s="780"/>
      <c r="E63" s="778" t="s">
        <v>298</v>
      </c>
      <c r="F63" s="779"/>
      <c r="G63" s="768">
        <f>'Subaward Calculator'!B11</f>
        <v>0</v>
      </c>
      <c r="H63" s="769"/>
      <c r="I63" s="770"/>
      <c r="J63" s="299">
        <f>IF('BP3'!K63+'BP2'!K63+'BP1'!K63&lt;25000,25000-('BP3'!K63+'BP2'!K63+'BP1'!K63),0)</f>
        <v>25000</v>
      </c>
      <c r="K63" s="771">
        <f>IF(AND(SUM('BP3'!K63)&gt;0,'Subaward Calculator'!AD12=0,'BP1'!K5&gt;3),'BP3'!K63,'Subaward Calculator'!T12)</f>
        <v>0</v>
      </c>
      <c r="L63" s="772"/>
      <c r="M63" s="272"/>
      <c r="N63" s="922">
        <f>IF(AND(SUM('BP3'!N63)&gt;0,'Subaward Calculator'!AF12=0,'BP1'!K5&gt;3),'BP3'!N63,'Subaward Calculator'!V12)</f>
        <v>0</v>
      </c>
      <c r="O63" s="923"/>
      <c r="P63" s="592">
        <f>'Subaward Calculator'!B12</f>
        <v>0</v>
      </c>
      <c r="Q63" s="397"/>
      <c r="R63" s="136" t="s">
        <v>228</v>
      </c>
    </row>
    <row r="64" spans="1:18" s="5" customFormat="1" ht="14.25" hidden="1" customHeight="1" thickBot="1">
      <c r="A64" s="170"/>
      <c r="B64" s="241"/>
      <c r="C64" s="780" t="s">
        <v>575</v>
      </c>
      <c r="D64" s="780"/>
      <c r="E64" s="778" t="s">
        <v>298</v>
      </c>
      <c r="F64" s="779"/>
      <c r="G64" s="768">
        <f>'Subaward Calculator'!B14</f>
        <v>0</v>
      </c>
      <c r="H64" s="769"/>
      <c r="I64" s="770"/>
      <c r="J64" s="299">
        <f>IF('BP3'!K64+'BP2'!K64+'BP1'!K64&lt;25000,25000-('BP3'!K64+'BP2'!K64+'BP1'!K64),0)</f>
        <v>25000</v>
      </c>
      <c r="K64" s="771">
        <f>IF(AND(SUM('BP3'!K64)&gt;0,'Subaward Calculator'!AD15=0,'BP1'!K5&gt;3),'BP3'!K64,'Subaward Calculator'!T15)</f>
        <v>0</v>
      </c>
      <c r="L64" s="772"/>
      <c r="M64" s="272"/>
      <c r="N64" s="922">
        <f>IF(AND(SUM('BP3'!N64)&gt;0,'Subaward Calculator'!AF15=0,'BP1'!K5&gt;3),'BP3'!N64,'Subaward Calculator'!V15)</f>
        <v>0</v>
      </c>
      <c r="O64" s="923"/>
      <c r="P64" s="592">
        <f>'Subaward Calculator'!B15</f>
        <v>0</v>
      </c>
      <c r="Q64" s="397"/>
      <c r="R64" s="136" t="s">
        <v>228</v>
      </c>
    </row>
    <row r="65" spans="1:18" s="5" customFormat="1" ht="14.25" hidden="1" customHeight="1" thickBot="1">
      <c r="A65" s="170"/>
      <c r="B65" s="241"/>
      <c r="C65" s="780" t="s">
        <v>576</v>
      </c>
      <c r="D65" s="780"/>
      <c r="E65" s="778" t="s">
        <v>298</v>
      </c>
      <c r="F65" s="779"/>
      <c r="G65" s="768">
        <f>'Subaward Calculator'!B17</f>
        <v>0</v>
      </c>
      <c r="H65" s="769"/>
      <c r="I65" s="770"/>
      <c r="J65" s="299">
        <f>IF('BP3'!$K$65+'BP2'!$K$65+'BP1'!$K$65&lt;25000,25000-('BP3'!$K$65+'BP2'!$K$65+'BP1'!$K$65),0)</f>
        <v>25000</v>
      </c>
      <c r="K65" s="771">
        <f>IF(AND(SUM('BP3'!K65)&gt;0,'Subaward Calculator'!AD18=0,'BP1'!K5&gt;3),'BP3'!K65,'Subaward Calculator'!T18)</f>
        <v>0</v>
      </c>
      <c r="L65" s="772"/>
      <c r="M65" s="272"/>
      <c r="N65" s="922">
        <f>IF(AND(SUM('BP3'!N65)&gt;0,'Subaward Calculator'!AF18=0,'BP1'!K5&gt;3),'BP3'!N65,'Subaward Calculator'!V18)</f>
        <v>0</v>
      </c>
      <c r="O65" s="923"/>
      <c r="P65" s="592">
        <f>'Subaward Calculator'!B18</f>
        <v>0</v>
      </c>
      <c r="Q65" s="397"/>
      <c r="R65" s="136" t="s">
        <v>228</v>
      </c>
    </row>
    <row r="66" spans="1:18" s="5" customFormat="1" ht="14.25" hidden="1" customHeight="1" thickBot="1">
      <c r="A66" s="170"/>
      <c r="B66" s="241"/>
      <c r="C66" s="780" t="s">
        <v>577</v>
      </c>
      <c r="D66" s="780"/>
      <c r="E66" s="778" t="s">
        <v>298</v>
      </c>
      <c r="F66" s="779"/>
      <c r="G66" s="768">
        <f>'Subaward Calculator'!B20</f>
        <v>0</v>
      </c>
      <c r="H66" s="769"/>
      <c r="I66" s="770"/>
      <c r="J66" s="299">
        <f>IF('BP3'!$K$66+'BP2'!$K$66+'BP1'!$K$66&lt;25000,25000-('BP3'!$K$66+'BP2'!$K$66+'BP1'!$K$66),0)</f>
        <v>25000</v>
      </c>
      <c r="K66" s="771">
        <f>IF(AND(SUM('BP3'!K66)&gt;0,'Subaward Calculator'!AD21=0,'BP1'!K5&gt;3),'BP3'!K66,'Subaward Calculator'!T21)</f>
        <v>0</v>
      </c>
      <c r="L66" s="772"/>
      <c r="M66" s="272"/>
      <c r="N66" s="922">
        <f>IF(AND(SUM('BP3'!N66)&gt;0,'Subaward Calculator'!AF21=0,'BP1'!K5&gt;3),'BP3'!N66,'Subaward Calculator'!V21)</f>
        <v>0</v>
      </c>
      <c r="O66" s="923"/>
      <c r="P66" s="592">
        <f>'Subaward Calculator'!B21</f>
        <v>0</v>
      </c>
      <c r="Q66" s="397"/>
      <c r="R66" s="136" t="s">
        <v>228</v>
      </c>
    </row>
    <row r="67" spans="1:18" s="5" customFormat="1" ht="14.25" hidden="1" customHeight="1" thickBot="1">
      <c r="A67" s="170"/>
      <c r="B67" s="241"/>
      <c r="C67" s="780" t="s">
        <v>578</v>
      </c>
      <c r="D67" s="780"/>
      <c r="E67" s="778" t="s">
        <v>298</v>
      </c>
      <c r="F67" s="779"/>
      <c r="G67" s="768">
        <f>'Subaward Calculator'!B23</f>
        <v>0</v>
      </c>
      <c r="H67" s="769"/>
      <c r="I67" s="770"/>
      <c r="J67" s="299">
        <f>IF('BP3'!$K$67+'BP2'!$K$67+'BP1'!$K$67&lt;25000,25000-('BP3'!$K$67+'BP2'!$K$67+'BP1'!$K$67),0)</f>
        <v>25000</v>
      </c>
      <c r="K67" s="771">
        <f>IF(AND(SUM('BP3'!K67)&gt;0,'Subaward Calculator'!AD24=0,'BP1'!K5&gt;3),'BP3'!K67,'Subaward Calculator'!T24)</f>
        <v>0</v>
      </c>
      <c r="L67" s="772"/>
      <c r="M67" s="272"/>
      <c r="N67" s="922">
        <f>IF(AND(SUM('BP3'!N67)&gt;0,'Subaward Calculator'!AF24=0,'BP1'!K5&gt;3),'BP3'!N67,'Subaward Calculator'!V24)</f>
        <v>0</v>
      </c>
      <c r="O67" s="923"/>
      <c r="P67" s="592">
        <f>'Subaward Calculator'!B24</f>
        <v>0</v>
      </c>
      <c r="Q67" s="397"/>
      <c r="R67" s="136" t="s">
        <v>228</v>
      </c>
    </row>
    <row r="68" spans="1:18" s="5" customFormat="1" ht="14.25" hidden="1" customHeight="1" thickBot="1">
      <c r="A68" s="170"/>
      <c r="B68" s="241"/>
      <c r="C68" s="780" t="s">
        <v>579</v>
      </c>
      <c r="D68" s="780"/>
      <c r="E68" s="778" t="s">
        <v>298</v>
      </c>
      <c r="F68" s="779"/>
      <c r="G68" s="768">
        <f>'Subaward Calculator'!B26</f>
        <v>0</v>
      </c>
      <c r="H68" s="769"/>
      <c r="I68" s="770"/>
      <c r="J68" s="299">
        <f>IF('BP3'!$K$68+'BP2'!$K$68+'BP1'!$K$68&lt;25000,25000-('BP3'!$K$68+'BP2'!$K$68+'BP1'!$K$68),0)</f>
        <v>25000</v>
      </c>
      <c r="K68" s="771">
        <f>IF(AND(SUM('BP3'!K68)&gt;0,'Subaward Calculator'!AD27=0,'BP1'!K5&gt;3),'BP3'!K68,'Subaward Calculator'!T27)</f>
        <v>0</v>
      </c>
      <c r="L68" s="772"/>
      <c r="M68" s="272"/>
      <c r="N68" s="922">
        <f>IF(AND(SUM('BP3'!N68)&gt;0,'Subaward Calculator'!AF27=0,'BP1'!K5&gt;3),'BP3'!N68,'Subaward Calculator'!V27)</f>
        <v>0</v>
      </c>
      <c r="O68" s="923"/>
      <c r="P68" s="592">
        <f>'Subaward Calculator'!B27</f>
        <v>0</v>
      </c>
      <c r="Q68" s="397"/>
      <c r="R68" s="136" t="s">
        <v>229</v>
      </c>
    </row>
    <row r="69" spans="1:18" s="5" customFormat="1" ht="14.25" hidden="1" customHeight="1" thickBot="1">
      <c r="A69" s="170"/>
      <c r="B69" s="241"/>
      <c r="C69" s="780" t="s">
        <v>580</v>
      </c>
      <c r="D69" s="780"/>
      <c r="E69" s="778" t="s">
        <v>298</v>
      </c>
      <c r="F69" s="779"/>
      <c r="G69" s="768">
        <f>'Subaward Calculator'!B29</f>
        <v>0</v>
      </c>
      <c r="H69" s="769"/>
      <c r="I69" s="770"/>
      <c r="J69" s="299">
        <f>IF('BP3'!$K$69+'BP2'!$K$69+'BP1'!$K$69&lt;25000,25000-('BP3'!$K$69+'BP2'!$K$69+'BP1'!$K$69),0)</f>
        <v>25000</v>
      </c>
      <c r="K69" s="771">
        <f>IF(AND(SUM('BP3'!K69)&gt;0,'Subaward Calculator'!AD30=0,'BP1'!K5&gt;3),'BP3'!K69,'Subaward Calculator'!T30)</f>
        <v>0</v>
      </c>
      <c r="L69" s="772"/>
      <c r="M69" s="272"/>
      <c r="N69" s="922">
        <f>IF(AND(SUM('BP3'!N69)&gt;0,'Subaward Calculator'!AF30=0,'BP1'!K5&gt;3),'BP3'!N69,'Subaward Calculator'!V30)</f>
        <v>0</v>
      </c>
      <c r="O69" s="923"/>
      <c r="P69" s="592">
        <f>'Subaward Calculator'!B30</f>
        <v>0</v>
      </c>
      <c r="Q69" s="397"/>
      <c r="R69" s="136" t="s">
        <v>229</v>
      </c>
    </row>
    <row r="70" spans="1:18" s="5" customFormat="1" ht="14.25" hidden="1" customHeight="1" thickBot="1">
      <c r="A70" s="170"/>
      <c r="B70" s="241"/>
      <c r="C70" s="780" t="s">
        <v>581</v>
      </c>
      <c r="D70" s="780"/>
      <c r="E70" s="778" t="s">
        <v>298</v>
      </c>
      <c r="F70" s="779"/>
      <c r="G70" s="768">
        <f>'Subaward Calculator'!B32</f>
        <v>0</v>
      </c>
      <c r="H70" s="769"/>
      <c r="I70" s="770"/>
      <c r="J70" s="299">
        <f>IF('BP3'!$K$70+'BP2'!$K$70+'BP1'!$K$70&lt;25000,25000-('BP3'!$K$70+'BP2'!$K$70+'BP1'!$K$70),0)</f>
        <v>25000</v>
      </c>
      <c r="K70" s="771">
        <f>IF(AND(SUM('BP3'!K70)&gt;0,'Subaward Calculator'!AD33=0,'BP1'!K5&gt;3),'BP3'!K70,'Subaward Calculator'!T33)</f>
        <v>0</v>
      </c>
      <c r="L70" s="772"/>
      <c r="M70" s="272"/>
      <c r="N70" s="922">
        <f>IF(AND(SUM('BP3'!N70)&gt;0,'Subaward Calculator'!AF33=0,'BP1'!K5&gt;3),'BP3'!N70,'Subaward Calculator'!V33)</f>
        <v>0</v>
      </c>
      <c r="O70" s="923"/>
      <c r="P70" s="592">
        <f>'Subaward Calculator'!B33</f>
        <v>0</v>
      </c>
      <c r="Q70" s="397"/>
      <c r="R70" s="136" t="s">
        <v>229</v>
      </c>
    </row>
    <row r="71" spans="1:18" s="5" customFormat="1" ht="14.25" hidden="1" customHeight="1" thickBot="1">
      <c r="A71" s="170"/>
      <c r="B71" s="241"/>
      <c r="C71" s="780" t="s">
        <v>582</v>
      </c>
      <c r="D71" s="780"/>
      <c r="E71" s="778" t="s">
        <v>298</v>
      </c>
      <c r="F71" s="779"/>
      <c r="G71" s="768">
        <f>'Subaward Calculator'!B35</f>
        <v>0</v>
      </c>
      <c r="H71" s="769"/>
      <c r="I71" s="770"/>
      <c r="J71" s="299">
        <f>IF('BP3'!$K$71+'BP2'!$K$71+'BP1'!$K$71&lt;25000,25000-('BP3'!$K$71+'BP2'!$K$71+'BP1'!$K$71),0)</f>
        <v>25000</v>
      </c>
      <c r="K71" s="771">
        <f>IF(AND(SUM('BP3'!K71)&gt;0,'Subaward Calculator'!AD36=0,'BP1'!K5&gt;3),'BP3'!K71,'Subaward Calculator'!T36)</f>
        <v>0</v>
      </c>
      <c r="L71" s="772"/>
      <c r="M71" s="272"/>
      <c r="N71" s="922">
        <f>IF(AND(SUM('BP3'!N71)&gt;0,'Subaward Calculator'!AF36=0,'BP1'!K5&gt;3),'BP3'!N71,'Subaward Calculator'!V36)</f>
        <v>0</v>
      </c>
      <c r="O71" s="923"/>
      <c r="P71" s="592">
        <f>'Subaward Calculator'!B36</f>
        <v>0</v>
      </c>
      <c r="Q71" s="397"/>
      <c r="R71" s="136" t="s">
        <v>229</v>
      </c>
    </row>
    <row r="72" spans="1:18" s="5" customFormat="1" ht="14.25" hidden="1" customHeight="1" thickBot="1">
      <c r="A72" s="170"/>
      <c r="B72" s="241"/>
      <c r="C72" s="780" t="s">
        <v>583</v>
      </c>
      <c r="D72" s="780"/>
      <c r="E72" s="778" t="s">
        <v>298</v>
      </c>
      <c r="F72" s="779"/>
      <c r="G72" s="768">
        <f>'Subaward Calculator'!B38</f>
        <v>0</v>
      </c>
      <c r="H72" s="769"/>
      <c r="I72" s="770"/>
      <c r="J72" s="299">
        <f>IF('BP3'!$K$72+'BP2'!$K$72+'BP1'!$K$72&lt;25000,25000-('BP3'!$K$72+'BP2'!$K$72+'BP1'!$K$72),0)</f>
        <v>25000</v>
      </c>
      <c r="K72" s="771">
        <f>IF(AND(SUM('BP3'!K72)&gt;0,'Subaward Calculator'!AD39=0,'BP1'!K5&gt;3),'BP3'!K72,'Subaward Calculator'!T39)</f>
        <v>0</v>
      </c>
      <c r="L72" s="772"/>
      <c r="M72" s="272"/>
      <c r="N72" s="922">
        <f>IF(AND(SUM('BP3'!N72)&gt;0,'Subaward Calculator'!AF39=0,'BP1'!K5&gt;3),'BP3'!N72,'Subaward Calculator'!V39)</f>
        <v>0</v>
      </c>
      <c r="O72" s="923"/>
      <c r="P72" s="592">
        <f>'Subaward Calculator'!B39</f>
        <v>0</v>
      </c>
      <c r="Q72" s="397"/>
      <c r="R72" s="136" t="s">
        <v>229</v>
      </c>
    </row>
    <row r="73" spans="1:18" s="5" customFormat="1" ht="14.25" hidden="1" customHeight="1" thickBot="1">
      <c r="A73" s="170"/>
      <c r="B73" s="241"/>
      <c r="C73" s="780" t="s">
        <v>584</v>
      </c>
      <c r="D73" s="780"/>
      <c r="E73" s="778" t="s">
        <v>298</v>
      </c>
      <c r="F73" s="779"/>
      <c r="G73" s="768">
        <f>'Subaward Calculator'!B41</f>
        <v>0</v>
      </c>
      <c r="H73" s="769"/>
      <c r="I73" s="770"/>
      <c r="J73" s="299">
        <f>IF('BP3'!$K$73+'BP2'!$K$73+'BP1'!$K$73&lt;25000,25000-('BP3'!$K$73+'BP2'!$K$73+'BP1'!$K$73),0)</f>
        <v>25000</v>
      </c>
      <c r="K73" s="771">
        <f>IF(AND(SUM('BP3'!K73)&gt;0,'Subaward Calculator'!AD42=0,'BP1'!K5&gt;3),'BP3'!K73,'Subaward Calculator'!T42)</f>
        <v>0</v>
      </c>
      <c r="L73" s="772"/>
      <c r="M73" s="272"/>
      <c r="N73" s="922">
        <f>IF(AND(SUM('BP3'!N73)&gt;0,'Subaward Calculator'!AF42=0,'BP1'!K5&gt;3),'BP3'!N73,'Subaward Calculator'!V42)</f>
        <v>0</v>
      </c>
      <c r="O73" s="923"/>
      <c r="P73" s="592">
        <f>'Subaward Calculator'!B42</f>
        <v>0</v>
      </c>
      <c r="Q73" s="397"/>
      <c r="R73" s="136" t="s">
        <v>229</v>
      </c>
    </row>
    <row r="74" spans="1:18" s="5" customFormat="1" ht="14.25" customHeight="1" thickBot="1">
      <c r="A74" s="212" t="s">
        <v>96</v>
      </c>
      <c r="B74" s="171"/>
      <c r="C74" s="171"/>
      <c r="D74" s="174"/>
      <c r="E74" s="175"/>
      <c r="F74" s="175"/>
      <c r="G74" s="175"/>
      <c r="H74" s="171"/>
      <c r="I74" s="173"/>
      <c r="J74" s="171"/>
      <c r="K74" s="852">
        <f>IF($A$5&lt;=$K$5,SUM(K55:$K$73),0)</f>
        <v>0</v>
      </c>
      <c r="L74" s="853"/>
      <c r="M74" s="272"/>
      <c r="N74" s="867">
        <f>SUM(N55:N73)</f>
        <v>0</v>
      </c>
      <c r="O74" s="893"/>
      <c r="R74" s="136" t="s">
        <v>225</v>
      </c>
    </row>
    <row r="75" spans="1:18" s="5" customFormat="1" ht="14.25" customHeight="1" thickBot="1">
      <c r="A75" s="212" t="s">
        <v>589</v>
      </c>
      <c r="B75" s="171"/>
      <c r="C75" s="171"/>
      <c r="D75" s="172"/>
      <c r="E75" s="172"/>
      <c r="F75" s="172"/>
      <c r="G75" s="172"/>
      <c r="H75" s="171"/>
      <c r="I75" s="173"/>
      <c r="J75" s="171"/>
      <c r="K75" s="852">
        <f>IF($A$5&lt;=$K$5,SUM(K43+K50+K53+$K$74),0)</f>
        <v>0</v>
      </c>
      <c r="L75" s="853"/>
      <c r="M75" s="272"/>
      <c r="N75" s="867">
        <f ca="1">SUM(N43+N50+N53+N74)</f>
        <v>0</v>
      </c>
      <c r="O75" s="893"/>
      <c r="R75" s="136" t="s">
        <v>225</v>
      </c>
    </row>
    <row r="76" spans="1:18" s="5" customFormat="1" ht="14.25" customHeight="1" thickBot="1">
      <c r="A76" s="212" t="str">
        <f>IF('Appendix C-Grants.gov Form Info'!J1&gt;0,IF(AND(SUM(K62:K73)&gt;0,'Subaward Calculator'!AD46=0),"","     Total NU Direct Costs and Subaward Direct Costs"),"")</f>
        <v/>
      </c>
      <c r="B76" s="171"/>
      <c r="C76" s="171"/>
      <c r="D76" s="172"/>
      <c r="E76" s="172"/>
      <c r="F76" s="253"/>
      <c r="G76" s="253"/>
      <c r="H76" s="171"/>
      <c r="I76" s="173"/>
      <c r="J76" s="171"/>
      <c r="K76" s="852" t="str">
        <f>IF('Appendix C-Grants.gov Form Info'!J1&gt;0,IF(AND(SUM(K62:K73)&gt;0,'Subaward Calculator'!AD46=0),"",IF($A$5&lt;=$K$5,SUM(K43+K50+K53+$K$74),0)-'Subaward Calculator'!T46+'Subaward Calculator'!T44),"")</f>
        <v/>
      </c>
      <c r="L76" s="853"/>
      <c r="M76" s="272"/>
      <c r="N76" s="6"/>
      <c r="O76" s="97"/>
      <c r="P76" s="4"/>
      <c r="Q76" s="4"/>
      <c r="R76" s="136" t="s">
        <v>225</v>
      </c>
    </row>
    <row r="77" spans="1:18" s="5" customFormat="1" ht="14.25" customHeight="1">
      <c r="A77" s="448"/>
      <c r="B77" s="449"/>
      <c r="C77" s="449"/>
      <c r="D77" s="449"/>
      <c r="E77" s="233"/>
      <c r="F77" s="450" t="str">
        <f>IF(OR($L$2="No F&amp;A",$L$2="Custom"),"","Current Fiscal Year Base Rate =")</f>
        <v>Current Fiscal Year Base Rate =</v>
      </c>
      <c r="G77" s="916">
        <f>IF($L$2="No F&amp;A",$L$2,IF($L$2="Custom","Enter Custom Rate:",(VLOOKUP((IF($K$8&gt;=DATE(YEAR($K$8),9,1),DATE(YEAR($K$8),9,1),DATE(YEAR($K$8)-1,9,1))),Lists!A:Q,(MATCH('BP1'!$K$2&amp;" "&amp;'BP1'!$L$2,Lists!$M$1:$Q$1,0)+12),1))))</f>
        <v>0.6</v>
      </c>
      <c r="H77" s="916"/>
      <c r="I77" s="856">
        <f ca="1">INDIRECT("BP"&amp;$A$5-1&amp;"!I77")</f>
        <v>0.1</v>
      </c>
      <c r="J77" s="857"/>
      <c r="K77" s="453"/>
      <c r="L77" s="65"/>
      <c r="M77" s="272"/>
      <c r="N77" s="283"/>
      <c r="O77" s="284"/>
      <c r="R77" s="136" t="s">
        <v>225</v>
      </c>
    </row>
    <row r="78" spans="1:18" s="5" customFormat="1" ht="14.25" customHeight="1" thickBot="1">
      <c r="A78" s="894" t="str">
        <f>IF(K3="MTDC","Modified Total Direct Costs (MTDC) Base =","Total Direct Costs (TDC) Base =")</f>
        <v>Modified Total Direct Costs (MTDC) Base =</v>
      </c>
      <c r="B78" s="895"/>
      <c r="C78" s="895"/>
      <c r="D78" s="895"/>
      <c r="E78" s="895"/>
      <c r="F78" s="895"/>
      <c r="G78" s="562">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68"/>
      <c r="I78" s="168"/>
      <c r="J78" s="288"/>
      <c r="K78" s="453"/>
      <c r="L78" s="454"/>
      <c r="M78" s="272"/>
      <c r="N78" s="899" t="s">
        <v>295</v>
      </c>
      <c r="O78" s="899"/>
      <c r="R78" s="136" t="s">
        <v>225</v>
      </c>
    </row>
    <row r="79" spans="1:18" s="5" customFormat="1" ht="14.25" customHeight="1" thickBot="1">
      <c r="A79" s="896">
        <f ca="1">IF(K3="MTDC",IF(G79&gt;0,"Modified Total Direct Costs (MTDC) Cost-Share Base =",),IF(G79&gt;0,"Total Direct Costs (TDC) Cost-Share Base =",))</f>
        <v>0</v>
      </c>
      <c r="B79" s="897"/>
      <c r="C79" s="897"/>
      <c r="D79" s="897"/>
      <c r="E79" s="897"/>
      <c r="F79" s="897"/>
      <c r="G79" s="614">
        <f ca="1">IF(K3="MTDC",IF('BP1'!K5&gt;0,N75-N50-N59-N61-IF(N62="",0,N62)-IF(N63="",0,N63)-IF(N64="",0,N64)-IF(N65="",0,N65)-IF(N66="",0,N66)-IF(N67="",0,N67)-IF(N68="",0,N68)-IF(N69="",0,N69)-IF(N70="",0,N70)-IF(N71="",0,N71)-IF(N72="",0,N72)-IF(N73="",0,N73),0),IF('BP1'!K5&gt;0,N75,0))</f>
        <v>0</v>
      </c>
      <c r="H79" s="898" t="s">
        <v>223</v>
      </c>
      <c r="I79" s="898"/>
      <c r="J79" s="898"/>
      <c r="K79" s="852">
        <f ca="1">IF($L$2="No F&amp;A",0,(IF($L$2="Custom",I77,(AVERAGEIFS(INDIRECT(SUBSTITUTE(SUBSTITUTE(CONCATENATE($K$2,$L$2)," ",""),"-","")),StartDateList,"&gt;="&amp;(DATE(YEAR($K$8),MONTH($K$8),1)),StartDateList,"&lt;="&amp;$K$10))))*G78)</f>
        <v>0</v>
      </c>
      <c r="L79" s="853"/>
      <c r="M79" s="422"/>
      <c r="N79" s="867">
        <f ca="1">IF($L$2="No F&amp;A",0,(IF($L$2="Custom",$I$77,(AVERAGEIFS(INDIRECT(SUBSTITUTE(SUBSTITUTE(CONCATENATE($K$2,$L$2)," ",""),"-","")),StartDateList,"&gt;="&amp;(DATE(YEAR($K$8),MONTH($K$8),1)),StartDateList,"&lt;="&amp;$K$10))))*$G$79)</f>
        <v>0</v>
      </c>
      <c r="O79" s="893"/>
      <c r="R79" s="136" t="s">
        <v>225</v>
      </c>
    </row>
    <row r="80" spans="1:18" s="5" customFormat="1" ht="14.25" customHeight="1" thickBot="1">
      <c r="A80" s="212" t="s">
        <v>98</v>
      </c>
      <c r="B80" s="171"/>
      <c r="C80" s="171"/>
      <c r="D80" s="172"/>
      <c r="E80" s="172"/>
      <c r="F80" s="253"/>
      <c r="G80" s="253"/>
      <c r="H80" s="171"/>
      <c r="I80" s="173"/>
      <c r="J80" s="171"/>
      <c r="K80" s="852">
        <f>IF($A$5&lt;=$K$5,ROUND(K75,0)+ROUND(K79,0),0)</f>
        <v>0</v>
      </c>
      <c r="L80" s="853"/>
      <c r="M80" s="422"/>
      <c r="N80" s="867">
        <f ca="1">ROUND(N75,0)+ROUND(N79,0)</f>
        <v>0</v>
      </c>
      <c r="O80" s="893"/>
      <c r="R80" s="136" t="s">
        <v>225</v>
      </c>
    </row>
    <row r="81" spans="1:18" ht="14.25" customHeight="1" thickBot="1">
      <c r="M81" s="272"/>
      <c r="R81" s="136" t="s">
        <v>225</v>
      </c>
    </row>
    <row r="82" spans="1:18" ht="14.25" customHeight="1" thickBot="1">
      <c r="A82" s="212" t="s">
        <v>591</v>
      </c>
      <c r="B82" s="171"/>
      <c r="C82" s="171"/>
      <c r="D82" s="172"/>
      <c r="E82" s="172"/>
      <c r="F82" s="172"/>
      <c r="G82" s="172"/>
      <c r="H82" s="171"/>
      <c r="I82" s="173"/>
      <c r="J82" s="171"/>
      <c r="K82" s="942">
        <f>'BP1'!K75+'BP2'!K75+'BP3'!K75+'BP4'!K75+'BP5'!K75</f>
        <v>0</v>
      </c>
      <c r="L82" s="942"/>
      <c r="M82" s="272"/>
      <c r="N82" s="867">
        <f ca="1">'BP1'!N75+'BP2'!N75+'BP3'!N75+'BP4'!N75+'BP5'!N75</f>
        <v>0</v>
      </c>
      <c r="O82" s="893"/>
      <c r="R82" s="136" t="s">
        <v>225</v>
      </c>
    </row>
    <row r="83" spans="1:18"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942">
        <f>IF(AND(SUM(K62:K73)&gt;0,'Subaward Calculator'!AD46=0),"",'BP1'!K75+'BP2'!K75+'BP3'!K75+'BP4'!K75+'BP5'!K75-'Subaward Calculator'!AD46+'Subaward Calculator'!AD44)</f>
        <v>0</v>
      </c>
      <c r="L83" s="942"/>
      <c r="M83" s="272"/>
      <c r="N83" s="612"/>
      <c r="O83" s="612"/>
      <c r="R83" s="136" t="s">
        <v>225</v>
      </c>
    </row>
    <row r="84" spans="1:18" ht="14.25" customHeight="1" thickBot="1">
      <c r="A84" s="212" t="s">
        <v>471</v>
      </c>
      <c r="B84" s="171"/>
      <c r="C84" s="171"/>
      <c r="D84" s="172"/>
      <c r="E84" s="172"/>
      <c r="F84" s="172"/>
      <c r="G84" s="172"/>
      <c r="H84" s="171"/>
      <c r="I84" s="173"/>
      <c r="J84" s="171"/>
      <c r="K84" s="942">
        <f ca="1">'BP1'!K80+'BP2'!K80+'BP3'!K80+'BP4'!K80+'BP5'!K80</f>
        <v>0</v>
      </c>
      <c r="L84" s="942"/>
      <c r="M84" s="272"/>
      <c r="N84" s="867">
        <f ca="1">'BP1'!N80+'BP2'!N80+'BP3'!N80+'BP4'!N80+'BP5'!N80</f>
        <v>0</v>
      </c>
      <c r="O84" s="893"/>
      <c r="R84" s="136" t="s">
        <v>225</v>
      </c>
    </row>
    <row r="85" spans="1:18" ht="14.25" customHeight="1" thickBot="1">
      <c r="A85" s="426"/>
      <c r="B85" s="311"/>
      <c r="C85" s="311"/>
      <c r="D85" s="305"/>
      <c r="E85" s="305"/>
      <c r="F85" s="305"/>
      <c r="G85" s="305"/>
      <c r="H85" s="311"/>
      <c r="I85" s="313"/>
      <c r="J85" s="311"/>
      <c r="K85" s="427"/>
      <c r="L85" s="427"/>
      <c r="M85" s="272"/>
      <c r="N85" s="279"/>
      <c r="O85" s="279"/>
      <c r="R85" s="136" t="s">
        <v>225</v>
      </c>
    </row>
    <row r="86" spans="1:18" ht="14.25" customHeight="1" thickBot="1">
      <c r="F86" s="153"/>
      <c r="G86" s="6"/>
      <c r="K86" s="878"/>
      <c r="L86" s="878"/>
      <c r="N86" s="879">
        <f>$A$5</f>
        <v>4</v>
      </c>
      <c r="O86" s="880"/>
      <c r="P86" s="940" t="s">
        <v>430</v>
      </c>
      <c r="Q86" s="941"/>
      <c r="R86" s="136" t="s">
        <v>225</v>
      </c>
    </row>
    <row r="87" spans="1:18" ht="14.25" customHeight="1" thickBot="1">
      <c r="B87" s="6"/>
      <c r="C87" s="6"/>
      <c r="D87" s="304"/>
      <c r="E87" s="304"/>
      <c r="F87" s="305"/>
      <c r="G87" s="887" t="str">
        <f ca="1">IF(('BP1'!$N$80+'BP2'!$N$80+'BP3'!$N$80+'BP4'!$N$80+'BP5'!$N$80)&gt;0,"SUBAWARD COST-SHARE","")</f>
        <v/>
      </c>
      <c r="H87" s="887"/>
      <c r="I87" s="887"/>
      <c r="J87" s="887"/>
      <c r="K87" s="887"/>
      <c r="L87" s="887"/>
      <c r="M87" s="4"/>
      <c r="N87" s="874">
        <f>SUM(N62:N73)</f>
        <v>0</v>
      </c>
      <c r="O87" s="875"/>
      <c r="P87" s="920">
        <f>'BP1'!$N$87+'BP2'!$N$87+'BP3'!$N$87+'BP4'!$N$87+'BP5'!$N$87</f>
        <v>0</v>
      </c>
      <c r="Q87" s="921">
        <f>'BP1'!Q79+'BP2'!Q79+'BP3'!Q79+'BP4'!Q79+'BP5'!Q79</f>
        <v>0</v>
      </c>
      <c r="R87" s="136" t="s">
        <v>225</v>
      </c>
    </row>
    <row r="88" spans="1:18" ht="14.25" customHeight="1" thickBot="1">
      <c r="B88" s="6"/>
      <c r="C88" s="6"/>
      <c r="D88" s="304"/>
      <c r="E88" s="304"/>
      <c r="F88" s="305"/>
      <c r="G88" s="887" t="str">
        <f ca="1">IF(('BP1'!$N$80+'BP2'!$N$80+'BP3'!$N$80+'BP4'!$N$80+'BP5'!$N$80)&gt;0,"THIRD PARTY COST-SHARE","")</f>
        <v/>
      </c>
      <c r="H88" s="887"/>
      <c r="I88" s="887"/>
      <c r="J88" s="887"/>
      <c r="K88" s="887"/>
      <c r="L88" s="887"/>
      <c r="M88" s="4"/>
      <c r="N88" s="888"/>
      <c r="O88" s="889"/>
      <c r="P88" s="920">
        <f>'BP1'!$N$88+'BP2'!$N$88+'BP3'!$N$88+'BP4'!$N$88+'BP5'!$N$88</f>
        <v>0</v>
      </c>
      <c r="Q88" s="921">
        <f>'BP1'!Q78+'BP2'!Q78+'BP3'!Q78+'BP4'!Q78+'BP5'!Q78</f>
        <v>0</v>
      </c>
      <c r="R88" s="136" t="s">
        <v>225</v>
      </c>
    </row>
    <row r="89" spans="1:18" ht="14.25" customHeight="1" thickBot="1">
      <c r="B89" s="6"/>
      <c r="C89" s="6"/>
      <c r="D89" s="304"/>
      <c r="E89" s="304"/>
      <c r="F89" s="302"/>
      <c r="G89" s="887" t="str">
        <f ca="1">IF(('BP1'!$N$80+'BP2'!$N$80+'BP3'!$N$80+'BP4'!$N$80+'BP5'!$N$80)&gt;0,"TOTAL COST-SHARED","")</f>
        <v/>
      </c>
      <c r="H89" s="887"/>
      <c r="I89" s="887"/>
      <c r="J89" s="887"/>
      <c r="K89" s="887"/>
      <c r="L89" s="887"/>
      <c r="M89" s="4"/>
      <c r="N89" s="874">
        <f ca="1">$N$80+$N$88</f>
        <v>0</v>
      </c>
      <c r="O89" s="875"/>
      <c r="P89" s="920">
        <f ca="1">'BP1'!$N$89+'BP2'!$N$89+'BP3'!$N$89+'BP4'!$N$89+'BP5'!$N$89</f>
        <v>0</v>
      </c>
      <c r="Q89" s="921">
        <f>'BP1'!Q79+'BP2'!Q79+'BP3'!Q79+'BP4'!Q79+'BP5'!Q79</f>
        <v>0</v>
      </c>
      <c r="R89" s="136" t="s">
        <v>225</v>
      </c>
    </row>
    <row r="90" spans="1:18" ht="14.25" customHeight="1" thickBot="1">
      <c r="B90" s="6"/>
      <c r="C90" s="6"/>
      <c r="D90" s="304"/>
      <c r="E90" s="304"/>
      <c r="F90" s="885" t="str">
        <f ca="1">IF(('BP1'!$N$80+'BP2'!$N$80+'BP3'!$N$80+'BP4'!$N$80+'BP5'!$N$80)&gt;0,"SPONSOR COSTS","")</f>
        <v/>
      </c>
      <c r="G90" s="885"/>
      <c r="H90" s="885"/>
      <c r="I90" s="885"/>
      <c r="J90" s="885"/>
      <c r="K90" s="885"/>
      <c r="L90" s="885"/>
      <c r="M90" s="4"/>
      <c r="N90" s="874">
        <f ca="1">IF(('BP1'!$N$80+'BP2'!$N$80+'BP3'!$N$80+'BP4'!$N$80+'BP5'!$N$80)&gt;0,$K$80,)</f>
        <v>0</v>
      </c>
      <c r="O90" s="875"/>
      <c r="P90" s="920">
        <f ca="1">'BP1'!$N$90+'BP2'!$N$90+'BP3'!$N$90+'BP4'!$N$90+'BP5'!$N$90</f>
        <v>0</v>
      </c>
      <c r="Q90" s="921">
        <f>'BP1'!Q80+'BP2'!Q80+'BP3'!Q80+'BP4'!Q80+'BP5'!Q80</f>
        <v>0</v>
      </c>
      <c r="R90" s="136" t="s">
        <v>225</v>
      </c>
    </row>
    <row r="91" spans="1:18" ht="14.25" customHeight="1" thickBot="1">
      <c r="B91" s="6"/>
      <c r="C91" s="6"/>
      <c r="D91" s="304"/>
      <c r="E91" s="304"/>
      <c r="F91" s="302"/>
      <c r="G91" s="885" t="str">
        <f ca="1">IF(('BP1'!$N$80+'BP2'!$N$80+'BP3'!$N$80+'BP4'!$N$80+'BP5'!$N$80)&gt;0,"PROJECT COSTS","")</f>
        <v/>
      </c>
      <c r="H91" s="885"/>
      <c r="I91" s="885"/>
      <c r="J91" s="885"/>
      <c r="K91" s="885"/>
      <c r="L91" s="885"/>
      <c r="M91" s="4"/>
      <c r="N91" s="874">
        <f ca="1">IF(('BP1'!$N$80+'BP2'!$N$80+'BP3'!$N$80+'BP4'!$N$80+'BP5'!$N$80)&gt;0,$N$90+$N$89,)</f>
        <v>0</v>
      </c>
      <c r="O91" s="875"/>
      <c r="P91" s="920">
        <f ca="1">'BP1'!$N$91+'BP2'!$N$91+'BP3'!$N$91+'BP4'!$N$91+'BP5'!$N$91</f>
        <v>0</v>
      </c>
      <c r="Q91" s="921">
        <f>'BP1'!Q81+'BP2'!Q81+'BP3'!Q81+'BP4'!Q81+'BP5'!Q81</f>
        <v>0</v>
      </c>
      <c r="R91" s="136" t="s">
        <v>225</v>
      </c>
    </row>
    <row r="92" spans="1:18" ht="14.25" customHeight="1" thickBot="1">
      <c r="B92" s="6"/>
      <c r="C92" s="6"/>
      <c r="D92" s="304"/>
      <c r="E92" s="304"/>
      <c r="F92" s="303"/>
      <c r="G92" s="886" t="str">
        <f ca="1">IF(('BP1'!$N$80+'BP2'!$N$80+'BP3'!$N$80+'BP4'!$N$80+'BP5'!$N$80)&gt;0,"COST-SHARE AS % OF SPONSOR COSTS","")</f>
        <v/>
      </c>
      <c r="H92" s="886"/>
      <c r="I92" s="886"/>
      <c r="J92" s="886"/>
      <c r="K92" s="886"/>
      <c r="L92" s="886"/>
      <c r="M92" s="4"/>
      <c r="N92" s="876">
        <f ca="1">IFERROR($N$89/$N$90,)</f>
        <v>0</v>
      </c>
      <c r="O92" s="877"/>
      <c r="P92" s="943">
        <f ca="1">IFERROR($P$89/$P$90,)</f>
        <v>0</v>
      </c>
      <c r="Q92" s="944"/>
      <c r="R92" s="136" t="s">
        <v>225</v>
      </c>
    </row>
    <row r="93" spans="1:18" ht="14.25" customHeight="1" thickBot="1">
      <c r="B93" s="6"/>
      <c r="C93" s="6"/>
      <c r="D93" s="304"/>
      <c r="E93" s="304"/>
      <c r="F93" s="885" t="str">
        <f ca="1">IF(('BP1'!$N$80+'BP2'!$N$80+'BP3'!$N$80+'BP4'!$N$80+'BP5'!$N$80)&gt;0,"COST-SHARE AS % OF PROJECT COSTS","")</f>
        <v/>
      </c>
      <c r="G93" s="885"/>
      <c r="H93" s="885"/>
      <c r="I93" s="885"/>
      <c r="J93" s="885"/>
      <c r="K93" s="885"/>
      <c r="L93" s="885"/>
      <c r="M93" s="4"/>
      <c r="N93" s="876">
        <f ca="1">IFERROR($N$89/$N$91,)</f>
        <v>0</v>
      </c>
      <c r="O93" s="877"/>
      <c r="P93" s="943">
        <f ca="1">IFERROR($P$89/$P$91,)</f>
        <v>0</v>
      </c>
      <c r="Q93" s="944"/>
      <c r="R93" s="136" t="s">
        <v>225</v>
      </c>
    </row>
    <row r="94" spans="1:18" ht="12.75">
      <c r="D94" s="309"/>
      <c r="E94" s="309"/>
      <c r="F94" s="309"/>
      <c r="G94" s="60"/>
      <c r="H94" s="307"/>
      <c r="I94" s="307"/>
      <c r="J94" s="308"/>
      <c r="K94" s="307"/>
      <c r="L94" s="306"/>
      <c r="M94" s="306"/>
      <c r="N94" s="307"/>
      <c r="O94" s="306"/>
    </row>
  </sheetData>
  <sheetProtection formatCells="0" formatColumns="0" formatRows="0"/>
  <autoFilter ref="R1:R93" xr:uid="{00000000-0009-0000-0000-000005000000}">
    <filterColumn colId="0">
      <filters>
        <filter val="A) Condensed"/>
      </filters>
    </filterColumn>
  </autoFilter>
  <mergeCells count="196">
    <mergeCell ref="K75:L75"/>
    <mergeCell ref="K71:L71"/>
    <mergeCell ref="N86:O86"/>
    <mergeCell ref="P86:Q86"/>
    <mergeCell ref="P88:Q88"/>
    <mergeCell ref="P89:Q89"/>
    <mergeCell ref="P90:Q90"/>
    <mergeCell ref="G87:L87"/>
    <mergeCell ref="N87:O87"/>
    <mergeCell ref="P87:Q87"/>
    <mergeCell ref="N80:O80"/>
    <mergeCell ref="N84:O84"/>
    <mergeCell ref="N82:O82"/>
    <mergeCell ref="G73:I73"/>
    <mergeCell ref="K76:L76"/>
    <mergeCell ref="H53:J53"/>
    <mergeCell ref="K49:L49"/>
    <mergeCell ref="B49:F49"/>
    <mergeCell ref="K51:L51"/>
    <mergeCell ref="K50:L50"/>
    <mergeCell ref="K86:L86"/>
    <mergeCell ref="G88:L88"/>
    <mergeCell ref="G89:L89"/>
    <mergeCell ref="G91:L91"/>
    <mergeCell ref="K84:L84"/>
    <mergeCell ref="K68:L68"/>
    <mergeCell ref="K69:L69"/>
    <mergeCell ref="K70:L70"/>
    <mergeCell ref="K64:L64"/>
    <mergeCell ref="K65:L65"/>
    <mergeCell ref="K66:L66"/>
    <mergeCell ref="K67:L67"/>
    <mergeCell ref="K72:L72"/>
    <mergeCell ref="K73:L73"/>
    <mergeCell ref="K80:L80"/>
    <mergeCell ref="K79:L79"/>
    <mergeCell ref="K83:L83"/>
    <mergeCell ref="K82:L82"/>
    <mergeCell ref="K74:L74"/>
    <mergeCell ref="H51:J51"/>
    <mergeCell ref="H52:J52"/>
    <mergeCell ref="B45:F45"/>
    <mergeCell ref="K43:L43"/>
    <mergeCell ref="K41:L41"/>
    <mergeCell ref="K46:L46"/>
    <mergeCell ref="K47:L47"/>
    <mergeCell ref="K42:L42"/>
    <mergeCell ref="K45:L45"/>
    <mergeCell ref="K48:L48"/>
    <mergeCell ref="B48:F48"/>
    <mergeCell ref="B46:F46"/>
    <mergeCell ref="B47:F47"/>
    <mergeCell ref="K61:L61"/>
    <mergeCell ref="K62:L62"/>
    <mergeCell ref="K57:L57"/>
    <mergeCell ref="K58:L58"/>
    <mergeCell ref="K63:L63"/>
    <mergeCell ref="C61:J61"/>
    <mergeCell ref="K52:L52"/>
    <mergeCell ref="K55:L55"/>
    <mergeCell ref="K56:L56"/>
    <mergeCell ref="C59:J59"/>
    <mergeCell ref="C60:J60"/>
    <mergeCell ref="C55:J55"/>
    <mergeCell ref="C56:J56"/>
    <mergeCell ref="C57:J57"/>
    <mergeCell ref="C58:J58"/>
    <mergeCell ref="K53:L53"/>
    <mergeCell ref="K59:L59"/>
    <mergeCell ref="G62:I62"/>
    <mergeCell ref="E62:F62"/>
    <mergeCell ref="C62:D62"/>
    <mergeCell ref="C63:D63"/>
    <mergeCell ref="E63:F63"/>
    <mergeCell ref="G63:I63"/>
    <mergeCell ref="K60:L60"/>
    <mergeCell ref="P93:Q93"/>
    <mergeCell ref="N89:O89"/>
    <mergeCell ref="N90:O90"/>
    <mergeCell ref="N91:O91"/>
    <mergeCell ref="N92:O92"/>
    <mergeCell ref="N93:O93"/>
    <mergeCell ref="N88:O88"/>
    <mergeCell ref="F90:L90"/>
    <mergeCell ref="F93:L93"/>
    <mergeCell ref="P91:Q91"/>
    <mergeCell ref="P92:Q92"/>
    <mergeCell ref="G92:L92"/>
    <mergeCell ref="B17:F17"/>
    <mergeCell ref="B18:F18"/>
    <mergeCell ref="B20:F20"/>
    <mergeCell ref="B22:F22"/>
    <mergeCell ref="B23:F23"/>
    <mergeCell ref="A30:F30"/>
    <mergeCell ref="B21:F21"/>
    <mergeCell ref="B19:F19"/>
    <mergeCell ref="B24:F24"/>
    <mergeCell ref="B25:F25"/>
    <mergeCell ref="B26:F26"/>
    <mergeCell ref="B27:F27"/>
    <mergeCell ref="B28:F28"/>
    <mergeCell ref="B29:F29"/>
    <mergeCell ref="N49:O49"/>
    <mergeCell ref="N50:O50"/>
    <mergeCell ref="N51:O51"/>
    <mergeCell ref="N52:O52"/>
    <mergeCell ref="N53:O53"/>
    <mergeCell ref="N55:O55"/>
    <mergeCell ref="N56:O56"/>
    <mergeCell ref="N57:O57"/>
    <mergeCell ref="N69:O69"/>
    <mergeCell ref="N58:O58"/>
    <mergeCell ref="N59:O59"/>
    <mergeCell ref="N60:O60"/>
    <mergeCell ref="N61:O61"/>
    <mergeCell ref="N62:O62"/>
    <mergeCell ref="N63:O63"/>
    <mergeCell ref="N64:O64"/>
    <mergeCell ref="N65:O65"/>
    <mergeCell ref="N66:O66"/>
    <mergeCell ref="N67:O67"/>
    <mergeCell ref="N68:O68"/>
    <mergeCell ref="M1:O9"/>
    <mergeCell ref="M10:O11"/>
    <mergeCell ref="N41:O41"/>
    <mergeCell ref="N42:O42"/>
    <mergeCell ref="N43:O43"/>
    <mergeCell ref="N45:O45"/>
    <mergeCell ref="N46:O46"/>
    <mergeCell ref="N47:O47"/>
    <mergeCell ref="N48:O48"/>
    <mergeCell ref="N12:O13"/>
    <mergeCell ref="G12:G14"/>
    <mergeCell ref="A1:J4"/>
    <mergeCell ref="K1:L1"/>
    <mergeCell ref="K4:L4"/>
    <mergeCell ref="A5:J6"/>
    <mergeCell ref="K5:L5"/>
    <mergeCell ref="K6:L6"/>
    <mergeCell ref="E9:G9"/>
    <mergeCell ref="B16:F16"/>
    <mergeCell ref="K12:L13"/>
    <mergeCell ref="H8:J9"/>
    <mergeCell ref="H10:J11"/>
    <mergeCell ref="K8:L9"/>
    <mergeCell ref="K10:L11"/>
    <mergeCell ref="B15:F15"/>
    <mergeCell ref="H12:J12"/>
    <mergeCell ref="H13:J13"/>
    <mergeCell ref="E11:G11"/>
    <mergeCell ref="K7:L7"/>
    <mergeCell ref="K3:L3"/>
    <mergeCell ref="A9:D9"/>
    <mergeCell ref="A11:D11"/>
    <mergeCell ref="N70:O70"/>
    <mergeCell ref="N75:O75"/>
    <mergeCell ref="N78:O78"/>
    <mergeCell ref="N79:O79"/>
    <mergeCell ref="C70:D70"/>
    <mergeCell ref="C71:D71"/>
    <mergeCell ref="A78:F78"/>
    <mergeCell ref="A79:F79"/>
    <mergeCell ref="H79:J79"/>
    <mergeCell ref="G77:H77"/>
    <mergeCell ref="I77:J77"/>
    <mergeCell ref="C72:D72"/>
    <mergeCell ref="C73:D73"/>
    <mergeCell ref="N71:O71"/>
    <mergeCell ref="N72:O72"/>
    <mergeCell ref="N73:O73"/>
    <mergeCell ref="N74:O74"/>
    <mergeCell ref="E70:F70"/>
    <mergeCell ref="G70:I70"/>
    <mergeCell ref="E71:F71"/>
    <mergeCell ref="G71:I71"/>
    <mergeCell ref="E72:F72"/>
    <mergeCell ref="G72:I72"/>
    <mergeCell ref="E73:F73"/>
    <mergeCell ref="C64:D64"/>
    <mergeCell ref="C65:D65"/>
    <mergeCell ref="C66:D66"/>
    <mergeCell ref="C67:D67"/>
    <mergeCell ref="C68:D68"/>
    <mergeCell ref="C69:D69"/>
    <mergeCell ref="E67:F67"/>
    <mergeCell ref="G67:I67"/>
    <mergeCell ref="E68:F68"/>
    <mergeCell ref="G68:I68"/>
    <mergeCell ref="E69:F69"/>
    <mergeCell ref="G69:I69"/>
    <mergeCell ref="E64:F64"/>
    <mergeCell ref="G64:I64"/>
    <mergeCell ref="E65:F65"/>
    <mergeCell ref="G65:I65"/>
    <mergeCell ref="E66:F66"/>
    <mergeCell ref="G66:I66"/>
  </mergeCells>
  <phoneticPr fontId="10" type="noConversion"/>
  <conditionalFormatting sqref="Q15:Q29">
    <cfRule type="cellIs" dxfId="10" priority="6" operator="greaterThan">
      <formula>0</formula>
    </cfRule>
  </conditionalFormatting>
  <conditionalFormatting sqref="I77:J77">
    <cfRule type="expression" dxfId="9" priority="4">
      <formula>$L$2&lt;&gt;"Custom"</formula>
    </cfRule>
    <cfRule type="expression" dxfId="8" priority="5">
      <formula>$L$2="Custom"</formula>
    </cfRule>
  </conditionalFormatting>
  <conditionalFormatting sqref="P87:Q93">
    <cfRule type="expression" dxfId="7" priority="3">
      <formula>$N$80&gt;0</formula>
    </cfRule>
  </conditionalFormatting>
  <conditionalFormatting sqref="P86:Q86">
    <cfRule type="expression" dxfId="6" priority="1">
      <formula>$N$80&gt;0</formula>
    </cfRule>
  </conditionalFormatting>
  <dataValidations count="3">
    <dataValidation errorStyle="warning" allowBlank="1" showInputMessage="1" sqref="K7" xr:uid="{00000000-0002-0000-0500-000000000000}"/>
    <dataValidation allowBlank="1" showErrorMessage="1" sqref="L2 K2:K3" xr:uid="{00000000-0002-0000-0500-000001000000}"/>
    <dataValidation type="whole" allowBlank="1" showInputMessage="1" showErrorMessage="1" sqref="A5:J6" xr:uid="{00000000-0002-0000-05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A4:O7 A53:O61 A51:F52 H51:J52 A41:O50 A34:A37 C34:F37 A32:F33 A38:F40 H32:O37 K51:O52 A1:O2 A85:O86 H78:O78 H79:O79 A88:F88 H88:O88 A90:O91 A89:F89 H89:M89 A92:G92 H92:O92 A15:O31 E8:G11 K8:O9 A11 A12:F12 I12:O12 H39:O40 H38:K38 M38:O38 K11:O11 K10:L10 N10:O10 A77:H77 J77:O77 A81:O81 B82:M82 A74:O74 A73:B73 G62:I73 B80:O80 B75:J75 L75:O75 A62:B62 D62:F62 A63:B63 D63:F63 A64:B64 D64:F64 A65:B65 D65:F65 A66:B66 D66:F66 A67:B67 D67:F67 A68:B68 D68:F68 A69:B69 D69:F69 A70:B70 D70:F70 A71:B71 D71:F71 A72:B72 D72:F72 D73:F73 B84:M84 O89 O82 O84 O72 O71 O70 O69 O68 O67 O66 O65 O64 O63 O62 O73 N72 N73 N62 N63 N64 N65 N66 N67 N68 N69 N70 N71 A13:F14 H13:O14" unlockedFormula="1"/>
    <ignoredError sqref="G51:G52" numberStoredAsText="1"/>
    <ignoredError sqref="J62:J73" evalError="1"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filterMode="1">
    <tabColor theme="4" tint="0.59999389629810485"/>
    <pageSetUpPr fitToPage="1"/>
  </sheetPr>
  <dimension ref="A1:X94"/>
  <sheetViews>
    <sheetView showGridLines="0" showZeros="0" zoomScaleNormal="100" workbookViewId="0">
      <selection activeCell="R1" sqref="R1"/>
    </sheetView>
  </sheetViews>
  <sheetFormatPr defaultColWidth="10.7109375" defaultRowHeight="12" customHeight="1" outlineLevelCol="1"/>
  <cols>
    <col min="1" max="1" width="2.42578125" style="9"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37" customWidth="1"/>
    <col min="11" max="11" width="12.140625" style="6" customWidth="1"/>
    <col min="12" max="12" width="12.140625" style="97" customWidth="1"/>
    <col min="13" max="13" width="5.85546875" style="97" bestFit="1" customWidth="1" outlineLevel="1"/>
    <col min="14" max="14" width="12.140625" style="6" customWidth="1" outlineLevel="1"/>
    <col min="15" max="15" width="12.140625" style="97" customWidth="1" outlineLevel="1"/>
    <col min="16" max="17" width="14.42578125" style="4" customWidth="1"/>
    <col min="18" max="18" width="35.7109375" style="4" customWidth="1"/>
    <col min="19" max="22" width="10.7109375" style="4" customWidth="1"/>
    <col min="23" max="24" width="10.7109375" style="138"/>
    <col min="25" max="16384" width="10.7109375" style="1"/>
  </cols>
  <sheetData>
    <row r="1" spans="1:24" ht="14.25" customHeight="1" thickBot="1">
      <c r="A1" s="955" t="str">
        <f>'BP1'!A1:L1</f>
        <v>Title</v>
      </c>
      <c r="B1" s="956"/>
      <c r="C1" s="956"/>
      <c r="D1" s="956"/>
      <c r="E1" s="956"/>
      <c r="F1" s="956"/>
      <c r="G1" s="956"/>
      <c r="H1" s="956"/>
      <c r="I1" s="956"/>
      <c r="J1" s="957"/>
      <c r="K1" s="822" t="s">
        <v>231</v>
      </c>
      <c r="L1" s="823"/>
      <c r="M1" s="945"/>
      <c r="N1" s="945"/>
      <c r="O1" s="945"/>
      <c r="R1" s="139" t="s">
        <v>194</v>
      </c>
      <c r="W1" s="1"/>
      <c r="X1" s="1"/>
    </row>
    <row r="2" spans="1:24" ht="14.25" customHeight="1">
      <c r="A2" s="958"/>
      <c r="B2" s="959"/>
      <c r="C2" s="959"/>
      <c r="D2" s="959"/>
      <c r="E2" s="959"/>
      <c r="F2" s="959"/>
      <c r="G2" s="959"/>
      <c r="H2" s="959"/>
      <c r="I2" s="959"/>
      <c r="J2" s="959"/>
      <c r="K2" s="563" t="str">
        <f>'BP1'!K2</f>
        <v>Federal</v>
      </c>
      <c r="L2" s="564" t="str">
        <f>'BP1'!L2</f>
        <v>On Campus</v>
      </c>
      <c r="M2" s="945"/>
      <c r="N2" s="945"/>
      <c r="O2" s="945"/>
      <c r="R2" s="136" t="s">
        <v>225</v>
      </c>
      <c r="W2" s="1"/>
      <c r="X2" s="1"/>
    </row>
    <row r="3" spans="1:24" ht="14.25" customHeight="1">
      <c r="A3" s="958"/>
      <c r="B3" s="959"/>
      <c r="C3" s="959"/>
      <c r="D3" s="959"/>
      <c r="E3" s="959"/>
      <c r="F3" s="959"/>
      <c r="G3" s="959"/>
      <c r="H3" s="959"/>
      <c r="I3" s="959"/>
      <c r="J3" s="959"/>
      <c r="K3" s="925" t="str">
        <f>'BP1'!K3</f>
        <v>MTDC</v>
      </c>
      <c r="L3" s="926"/>
      <c r="M3" s="945"/>
      <c r="N3" s="945"/>
      <c r="O3" s="945"/>
      <c r="R3" s="136" t="s">
        <v>225</v>
      </c>
      <c r="W3" s="1"/>
      <c r="X3" s="1"/>
    </row>
    <row r="4" spans="1:24" ht="14.25" customHeight="1">
      <c r="A4" s="958"/>
      <c r="B4" s="959"/>
      <c r="C4" s="959"/>
      <c r="D4" s="959"/>
      <c r="E4" s="959"/>
      <c r="F4" s="959"/>
      <c r="G4" s="959"/>
      <c r="H4" s="959"/>
      <c r="I4" s="959"/>
      <c r="J4" s="960"/>
      <c r="K4" s="824" t="s">
        <v>452</v>
      </c>
      <c r="L4" s="825"/>
      <c r="M4" s="945"/>
      <c r="N4" s="945"/>
      <c r="O4" s="945"/>
      <c r="R4" s="136" t="s">
        <v>225</v>
      </c>
      <c r="W4" s="1"/>
      <c r="X4" s="1"/>
    </row>
    <row r="5" spans="1:24" ht="14.25" customHeight="1">
      <c r="A5" s="965">
        <f>'BP4'!A5+1</f>
        <v>5</v>
      </c>
      <c r="B5" s="966"/>
      <c r="C5" s="966"/>
      <c r="D5" s="966"/>
      <c r="E5" s="966"/>
      <c r="F5" s="966"/>
      <c r="G5" s="966"/>
      <c r="H5" s="966"/>
      <c r="I5" s="966"/>
      <c r="J5" s="967"/>
      <c r="K5" s="951">
        <f>'BP1'!K5</f>
        <v>1</v>
      </c>
      <c r="L5" s="952"/>
      <c r="M5" s="945"/>
      <c r="N5" s="945"/>
      <c r="O5" s="945"/>
      <c r="R5" s="136" t="s">
        <v>225</v>
      </c>
      <c r="W5" s="1"/>
      <c r="X5" s="1"/>
    </row>
    <row r="6" spans="1:24" ht="13.5" customHeight="1">
      <c r="A6" s="965"/>
      <c r="B6" s="966"/>
      <c r="C6" s="966"/>
      <c r="D6" s="966"/>
      <c r="E6" s="966"/>
      <c r="F6" s="966"/>
      <c r="G6" s="966"/>
      <c r="H6" s="966"/>
      <c r="I6" s="966"/>
      <c r="J6" s="967"/>
      <c r="K6" s="828" t="s">
        <v>100</v>
      </c>
      <c r="L6" s="829"/>
      <c r="M6" s="946"/>
      <c r="N6" s="945"/>
      <c r="O6" s="945"/>
      <c r="R6" s="136" t="s">
        <v>225</v>
      </c>
      <c r="W6" s="1"/>
      <c r="X6" s="1"/>
    </row>
    <row r="7" spans="1:24" ht="13.5" customHeight="1">
      <c r="A7" s="243"/>
      <c r="B7" s="244"/>
      <c r="C7" s="244"/>
      <c r="D7" s="245"/>
      <c r="E7" s="245"/>
      <c r="F7" s="245"/>
      <c r="G7" s="246"/>
      <c r="H7" s="244"/>
      <c r="I7" s="244"/>
      <c r="J7" s="247"/>
      <c r="K7" s="953">
        <f>'BP1'!$K$7</f>
        <v>0.03</v>
      </c>
      <c r="L7" s="954"/>
      <c r="M7" s="946"/>
      <c r="N7" s="945"/>
      <c r="O7" s="945"/>
      <c r="R7" s="136" t="s">
        <v>225</v>
      </c>
      <c r="W7" s="1"/>
      <c r="X7" s="1"/>
    </row>
    <row r="8" spans="1:24" ht="14.25" customHeight="1">
      <c r="A8" s="203" t="s">
        <v>206</v>
      </c>
      <c r="B8" s="204"/>
      <c r="C8" s="204"/>
      <c r="D8" s="205"/>
      <c r="E8" s="240" t="str">
        <f>'BP1'!E8</f>
        <v>Originating Sponsor</v>
      </c>
      <c r="F8" s="178"/>
      <c r="G8" s="178"/>
      <c r="H8" s="838" t="s">
        <v>521</v>
      </c>
      <c r="I8" s="838"/>
      <c r="J8" s="839"/>
      <c r="K8" s="834">
        <f>EDATE('BP4'!K10,0)+1</f>
        <v>43708</v>
      </c>
      <c r="L8" s="969"/>
      <c r="M8" s="946"/>
      <c r="N8" s="945"/>
      <c r="O8" s="945"/>
      <c r="R8" s="136" t="s">
        <v>225</v>
      </c>
      <c r="W8" s="1"/>
      <c r="X8" s="1"/>
    </row>
    <row r="9" spans="1:24" s="2" customFormat="1" ht="14.25" customHeight="1">
      <c r="A9" s="809" t="s">
        <v>1</v>
      </c>
      <c r="B9" s="810"/>
      <c r="C9" s="810"/>
      <c r="D9" s="810"/>
      <c r="E9" s="961">
        <f>'BP1'!E9</f>
        <v>0</v>
      </c>
      <c r="F9" s="961"/>
      <c r="G9" s="961"/>
      <c r="H9" s="840"/>
      <c r="I9" s="840"/>
      <c r="J9" s="841"/>
      <c r="K9" s="970"/>
      <c r="L9" s="971"/>
      <c r="M9" s="947"/>
      <c r="N9" s="948"/>
      <c r="O9" s="948"/>
      <c r="P9" s="5"/>
      <c r="Q9" s="5"/>
      <c r="R9" s="136" t="s">
        <v>225</v>
      </c>
      <c r="S9" s="5"/>
      <c r="T9" s="5"/>
      <c r="U9" s="5"/>
      <c r="V9" s="5"/>
    </row>
    <row r="10" spans="1:24" s="2" customFormat="1" ht="14.25" customHeight="1">
      <c r="A10" s="207" t="s">
        <v>211</v>
      </c>
      <c r="B10" s="179"/>
      <c r="C10" s="179"/>
      <c r="D10" s="233"/>
      <c r="E10" s="240" t="str">
        <f>'BP1'!E10</f>
        <v>Flow-through Sponsor</v>
      </c>
      <c r="F10" s="178"/>
      <c r="G10" s="178"/>
      <c r="H10" s="838" t="s">
        <v>522</v>
      </c>
      <c r="I10" s="838"/>
      <c r="J10" s="839"/>
      <c r="K10" s="834">
        <f>EDATE(K8,12)-1</f>
        <v>44073</v>
      </c>
      <c r="L10" s="969"/>
      <c r="M10" s="847" t="s">
        <v>569</v>
      </c>
      <c r="N10" s="848"/>
      <c r="O10" s="949"/>
      <c r="P10" s="5"/>
      <c r="Q10" s="5"/>
      <c r="R10" s="136" t="s">
        <v>225</v>
      </c>
      <c r="S10" s="5"/>
      <c r="T10" s="5"/>
      <c r="U10" s="5"/>
      <c r="V10" s="5"/>
    </row>
    <row r="11" spans="1:24" s="2" customFormat="1" ht="14.25" customHeight="1">
      <c r="A11" s="811" t="str">
        <f>'BP1'!A11:D11</f>
        <v>Professor McCormick</v>
      </c>
      <c r="B11" s="812"/>
      <c r="C11" s="812"/>
      <c r="D11" s="812"/>
      <c r="E11" s="961">
        <f>'BP1'!E11</f>
        <v>0</v>
      </c>
      <c r="F11" s="961"/>
      <c r="G11" s="961"/>
      <c r="H11" s="840"/>
      <c r="I11" s="840"/>
      <c r="J11" s="841"/>
      <c r="K11" s="970"/>
      <c r="L11" s="971"/>
      <c r="M11" s="849"/>
      <c r="N11" s="850"/>
      <c r="O11" s="950"/>
      <c r="P11" s="5"/>
      <c r="Q11" s="5"/>
      <c r="R11" s="136" t="s">
        <v>225</v>
      </c>
      <c r="S11" s="5"/>
      <c r="T11" s="5"/>
      <c r="U11" s="5"/>
      <c r="V11" s="5"/>
    </row>
    <row r="12" spans="1:24" s="2" customFormat="1" ht="14.25" customHeight="1">
      <c r="A12" s="207" t="s">
        <v>208</v>
      </c>
      <c r="B12" s="179"/>
      <c r="C12" s="179"/>
      <c r="D12" s="180"/>
      <c r="E12" s="180"/>
      <c r="F12" s="394"/>
      <c r="G12" s="789" t="s">
        <v>915</v>
      </c>
      <c r="H12" s="792" t="s">
        <v>523</v>
      </c>
      <c r="I12" s="793"/>
      <c r="J12" s="794"/>
      <c r="K12" s="800" t="s">
        <v>35</v>
      </c>
      <c r="L12" s="801"/>
      <c r="M12" s="456" t="s">
        <v>292</v>
      </c>
      <c r="N12" s="800" t="s">
        <v>35</v>
      </c>
      <c r="O12" s="801"/>
      <c r="P12" s="5"/>
      <c r="Q12" s="5"/>
      <c r="R12" s="136" t="s">
        <v>225</v>
      </c>
      <c r="S12" s="5"/>
      <c r="T12" s="5"/>
      <c r="U12" s="5"/>
      <c r="V12" s="5"/>
    </row>
    <row r="13" spans="1:24" s="2" customFormat="1" ht="14.25" customHeight="1">
      <c r="A13" s="165"/>
      <c r="B13" s="179"/>
      <c r="C13" s="179"/>
      <c r="D13" s="180"/>
      <c r="E13" s="180"/>
      <c r="F13" s="395"/>
      <c r="G13" s="790"/>
      <c r="H13" s="890" t="s">
        <v>291</v>
      </c>
      <c r="I13" s="891"/>
      <c r="J13" s="892"/>
      <c r="K13" s="802"/>
      <c r="L13" s="803"/>
      <c r="M13" s="455" t="s">
        <v>293</v>
      </c>
      <c r="N13" s="802"/>
      <c r="O13" s="803"/>
      <c r="P13" s="5"/>
      <c r="Q13" s="5"/>
      <c r="R13" s="136" t="s">
        <v>225</v>
      </c>
      <c r="S13" s="5"/>
      <c r="T13" s="5"/>
      <c r="U13" s="5"/>
      <c r="V13" s="5"/>
    </row>
    <row r="14" spans="1:24" s="2" customFormat="1" ht="14.25" customHeight="1">
      <c r="A14" s="165"/>
      <c r="B14" s="177"/>
      <c r="C14" s="177"/>
      <c r="D14" s="175"/>
      <c r="E14" s="175"/>
      <c r="F14" s="457"/>
      <c r="G14" s="791"/>
      <c r="H14" s="197" t="s">
        <v>2</v>
      </c>
      <c r="I14" s="198" t="s">
        <v>204</v>
      </c>
      <c r="J14" s="198" t="s">
        <v>205</v>
      </c>
      <c r="K14" s="194" t="s">
        <v>33</v>
      </c>
      <c r="L14" s="195" t="s">
        <v>34</v>
      </c>
      <c r="M14" s="278" t="s">
        <v>294</v>
      </c>
      <c r="N14" s="194" t="s">
        <v>33</v>
      </c>
      <c r="O14" s="195" t="s">
        <v>34</v>
      </c>
      <c r="P14" s="219" t="s">
        <v>111</v>
      </c>
      <c r="Q14" s="219" t="s">
        <v>870</v>
      </c>
      <c r="R14" s="136" t="s">
        <v>225</v>
      </c>
      <c r="S14" s="5"/>
      <c r="T14" s="5"/>
      <c r="U14" s="5"/>
      <c r="V14" s="5"/>
    </row>
    <row r="15" spans="1:24" s="2" customFormat="1" ht="14.25" customHeight="1">
      <c r="A15" s="257">
        <v>1</v>
      </c>
      <c r="B15" s="931">
        <f>IF($A$5&lt;=$K$5,'BP2'!B15,)</f>
        <v>0</v>
      </c>
      <c r="C15" s="932"/>
      <c r="D15" s="932"/>
      <c r="E15" s="932"/>
      <c r="F15" s="933"/>
      <c r="G15" s="268">
        <f>IF($A$5&lt;=$K$5,'BP1'!G15,)</f>
        <v>0</v>
      </c>
      <c r="H15" s="249">
        <f>IF($G15&gt;0,'BP4'!H15,)</f>
        <v>0</v>
      </c>
      <c r="I15" s="250">
        <f>IF($G15&gt;0,'BP4'!I15,)</f>
        <v>0</v>
      </c>
      <c r="J15" s="250">
        <f>IF($G15&gt;0,'BP4'!J15,)</f>
        <v>0</v>
      </c>
      <c r="K15" s="162">
        <f ca="1">IFERROR(IF(Q15&gt;0,Q15/G15*(SUM(H15:J15)),P15/G15*(SUM(H15:J15))),)</f>
        <v>0</v>
      </c>
      <c r="L15" s="163">
        <f ca="1">IF(K15&gt;4,K15*LOOKUP($K$8,Lists!$A$2:$A$812,IF($K$2="Non-Federal",Lists!$D$2:$D$812,Lists!$C$2:$C$812)),0)</f>
        <v>0</v>
      </c>
      <c r="M15" s="276">
        <f>IF(G15&gt;0,'BP1'!M15,)</f>
        <v>0</v>
      </c>
      <c r="N15" s="162">
        <f ca="1">IFERROR(IF(Q15&gt;0,Q15/G15*M15,P15/G15*M15),)</f>
        <v>0</v>
      </c>
      <c r="O15" s="163">
        <f ca="1">N15*LOOKUP($K$8,Lists!$A$2:$A$812,IF($K$2="Non-Federal",Lists!$D$2:$D$812,Lists!$C$2:$C$812))</f>
        <v>0</v>
      </c>
      <c r="P15" s="229">
        <f ca="1">IF($A$5&lt;='BP1'!$K$5,(1+$K$7)*INDIRECT("BP"&amp;$A$5-1&amp;"!P15"),)</f>
        <v>0</v>
      </c>
      <c r="Q15" s="259">
        <f t="shared" ref="Q15:Q29" si="0">IF(COUNTIF(NIH,$E$9)&gt;0,(IF(G15&gt;0,IF((P15/G15)*12&gt;NIHSalCap,(NIHSalCap/12)*G15,),)),)</f>
        <v>0</v>
      </c>
      <c r="R15" s="136" t="s">
        <v>225</v>
      </c>
      <c r="S15" s="5"/>
      <c r="T15" s="5"/>
      <c r="U15" s="5"/>
      <c r="V15" s="5"/>
    </row>
    <row r="16" spans="1:24" s="5" customFormat="1" ht="14.25" customHeight="1">
      <c r="A16" s="257">
        <v>2</v>
      </c>
      <c r="B16" s="931">
        <f>IF($A$5&lt;=$K$5,'BP2'!B16,)</f>
        <v>0</v>
      </c>
      <c r="C16" s="932"/>
      <c r="D16" s="932"/>
      <c r="E16" s="932"/>
      <c r="F16" s="933"/>
      <c r="G16" s="268">
        <f>IF($A$5&lt;=$K$5,'BP1'!G16,)</f>
        <v>0</v>
      </c>
      <c r="H16" s="249">
        <f>IF($G16&gt;0,'BP4'!H16,)</f>
        <v>0</v>
      </c>
      <c r="I16" s="250">
        <f>IF($G16&gt;0,'BP4'!I16,)</f>
        <v>0</v>
      </c>
      <c r="J16" s="250">
        <f>IF($G16&gt;0,'BP4'!J16,)</f>
        <v>0</v>
      </c>
      <c r="K16" s="162">
        <f ca="1">IFERROR(IF(Q16&gt;0,Q16/G16*(SUM(H16:J16)),P16/G16*(SUM(H16:J16))),)</f>
        <v>0</v>
      </c>
      <c r="L16" s="163">
        <f ca="1">IF(K16&gt;4,K16*LOOKUP($K$8,Lists!$A$2:$A$812,IF($K$2="Non-Federal",Lists!$D$2:$D$812,Lists!$C$2:$C$812)),0)</f>
        <v>0</v>
      </c>
      <c r="M16" s="276">
        <f>IF(G16&gt;0,'BP1'!M16,)</f>
        <v>0</v>
      </c>
      <c r="N16" s="162">
        <f t="shared" ref="N16:N29" ca="1" si="1">IFERROR(IF(Q16&gt;0,Q16/G16*M16,P16/G16*M16),)</f>
        <v>0</v>
      </c>
      <c r="O16" s="163">
        <f ca="1">N16*LOOKUP($K$8,Lists!$A$2:$A$812,IF($K$2="Non-Federal",Lists!$D$2:$D$812,Lists!$C$2:$C$812))</f>
        <v>0</v>
      </c>
      <c r="P16" s="229">
        <f ca="1">IF($A$5&lt;='BP1'!$K$5,(1+$K$7)*INDIRECT("BP"&amp;$A$5-1&amp;"!P16"),)</f>
        <v>0</v>
      </c>
      <c r="Q16" s="259">
        <f>IF(COUNTIF(NIH,$E$9)&gt;0,(IF(G16&gt;0,IF((P16/G16)*12&gt;NIHSalCap,(NIHSalCap/12)*G16,),)),)</f>
        <v>0</v>
      </c>
      <c r="R16" s="136" t="s">
        <v>225</v>
      </c>
    </row>
    <row r="17" spans="1:18" s="5" customFormat="1" ht="14.25" customHeight="1">
      <c r="A17" s="257">
        <v>3</v>
      </c>
      <c r="B17" s="931">
        <f>IF($A$5&lt;=$K$5,'BP2'!B17,)</f>
        <v>0</v>
      </c>
      <c r="C17" s="932"/>
      <c r="D17" s="932"/>
      <c r="E17" s="932"/>
      <c r="F17" s="933"/>
      <c r="G17" s="268">
        <f>IF($A$5&lt;=$K$5,'BP1'!G17,)</f>
        <v>0</v>
      </c>
      <c r="H17" s="249">
        <f>IF($G17&gt;0,'BP4'!H17,)</f>
        <v>0</v>
      </c>
      <c r="I17" s="250">
        <f>IF($G17&gt;0,'BP4'!I17,)</f>
        <v>0</v>
      </c>
      <c r="J17" s="250">
        <f>IF($G17&gt;0,'BP4'!J17,)</f>
        <v>0</v>
      </c>
      <c r="K17" s="162">
        <f t="shared" ref="K17:K29" ca="1" si="2">IFERROR(IF(Q17&gt;0,Q17/G17*(SUM(H17:J17)),P17/G17*(SUM(H17:J17))),)</f>
        <v>0</v>
      </c>
      <c r="L17" s="163">
        <f ca="1">IF(K17&gt;4,K17*LOOKUP($K$8,Lists!$A$2:$A$812,IF($K$2="Non-Federal",Lists!$D$2:$D$812,Lists!$C$2:$C$812)),0)</f>
        <v>0</v>
      </c>
      <c r="M17" s="276">
        <f>IF(G17&gt;0,'BP1'!M17,)</f>
        <v>0</v>
      </c>
      <c r="N17" s="162">
        <f t="shared" ca="1" si="1"/>
        <v>0</v>
      </c>
      <c r="O17" s="163">
        <f ca="1">N17*LOOKUP($K$8,Lists!$A$2:$A$812,IF($K$2="Non-Federal",Lists!$D$2:$D$812,Lists!$C$2:$C$812))</f>
        <v>0</v>
      </c>
      <c r="P17" s="229">
        <f ca="1">IF($A$5&lt;='BP1'!$K$5,(1+$K$7)*INDIRECT("BP"&amp;$A$5-1&amp;"!P17"),)</f>
        <v>0</v>
      </c>
      <c r="Q17" s="259">
        <f t="shared" si="0"/>
        <v>0</v>
      </c>
      <c r="R17" s="136" t="s">
        <v>225</v>
      </c>
    </row>
    <row r="18" spans="1:18" s="5" customFormat="1" ht="14.25" customHeight="1">
      <c r="A18" s="257">
        <v>4</v>
      </c>
      <c r="B18" s="931">
        <f>IF($A$5&lt;=$K$5,'BP2'!B18,)</f>
        <v>0</v>
      </c>
      <c r="C18" s="932"/>
      <c r="D18" s="932"/>
      <c r="E18" s="932"/>
      <c r="F18" s="933"/>
      <c r="G18" s="268">
        <f>IF($A$5&lt;=$K$5,'BP1'!G18,)</f>
        <v>0</v>
      </c>
      <c r="H18" s="249">
        <f>IF($G18&gt;0,'BP4'!H18,)</f>
        <v>0</v>
      </c>
      <c r="I18" s="250">
        <f>IF($G18&gt;0,'BP4'!I18,)</f>
        <v>0</v>
      </c>
      <c r="J18" s="250">
        <f>IF($G18&gt;0,'BP4'!J18,)</f>
        <v>0</v>
      </c>
      <c r="K18" s="162">
        <f t="shared" ca="1" si="2"/>
        <v>0</v>
      </c>
      <c r="L18" s="163">
        <f ca="1">IF(K18&gt;4,K18*LOOKUP($K$8,Lists!$A$2:$A$812,IF($K$2="Non-Federal",Lists!$D$2:$D$812,Lists!$C$2:$C$812)),0)</f>
        <v>0</v>
      </c>
      <c r="M18" s="276">
        <f>IF(G18&gt;0,'BP1'!M18,)</f>
        <v>0</v>
      </c>
      <c r="N18" s="162">
        <f t="shared" ca="1" si="1"/>
        <v>0</v>
      </c>
      <c r="O18" s="163">
        <f ca="1">N18*LOOKUP($K$8,Lists!$A$2:$A$812,IF($K$2="Non-Federal",Lists!$D$2:$D$812,Lists!$C$2:$C$812))</f>
        <v>0</v>
      </c>
      <c r="P18" s="229">
        <f ca="1">IF($A$5&lt;='BP1'!$K$5,(1+$K$7)*INDIRECT("BP"&amp;$A$5-1&amp;"!P18"),)</f>
        <v>0</v>
      </c>
      <c r="Q18" s="259">
        <f t="shared" si="0"/>
        <v>0</v>
      </c>
      <c r="R18" s="136" t="s">
        <v>225</v>
      </c>
    </row>
    <row r="19" spans="1:18" s="5" customFormat="1" ht="14.25" customHeight="1">
      <c r="A19" s="257">
        <v>5</v>
      </c>
      <c r="B19" s="931">
        <f>IF($A$5&lt;=$K$5,'BP2'!B19,)</f>
        <v>0</v>
      </c>
      <c r="C19" s="932"/>
      <c r="D19" s="932"/>
      <c r="E19" s="932"/>
      <c r="F19" s="933"/>
      <c r="G19" s="268">
        <f>IF($A$5&lt;=$K$5,'BP1'!G19,)</f>
        <v>0</v>
      </c>
      <c r="H19" s="249">
        <f>IF($G19&gt;0,'BP4'!H19,)</f>
        <v>0</v>
      </c>
      <c r="I19" s="250">
        <f>IF($G19&gt;0,'BP4'!I19,)</f>
        <v>0</v>
      </c>
      <c r="J19" s="250">
        <f>IF($G19&gt;0,'BP4'!J19,)</f>
        <v>0</v>
      </c>
      <c r="K19" s="162">
        <f t="shared" ca="1" si="2"/>
        <v>0</v>
      </c>
      <c r="L19" s="163">
        <f ca="1">IF(K19&gt;4,K19*LOOKUP($K$8,Lists!$A$2:$A$812,IF($K$2="Non-Federal",Lists!$D$2:$D$812,Lists!$C$2:$C$812)),0)</f>
        <v>0</v>
      </c>
      <c r="M19" s="276">
        <f>IF(G19&gt;0,'BP1'!M19,)</f>
        <v>0</v>
      </c>
      <c r="N19" s="162">
        <f t="shared" ca="1" si="1"/>
        <v>0</v>
      </c>
      <c r="O19" s="163">
        <f ca="1">N19*LOOKUP($K$8,Lists!$A$2:$A$812,IF($K$2="Non-Federal",Lists!$D$2:$D$812,Lists!$C$2:$C$812))</f>
        <v>0</v>
      </c>
      <c r="P19" s="229">
        <f ca="1">IF($A$5&lt;='BP1'!$K$5,(1+$K$7)*INDIRECT("BP"&amp;$A$5-1&amp;"!P19"),)</f>
        <v>0</v>
      </c>
      <c r="Q19" s="259">
        <f t="shared" si="0"/>
        <v>0</v>
      </c>
      <c r="R19" s="136" t="s">
        <v>225</v>
      </c>
    </row>
    <row r="20" spans="1:18" s="5" customFormat="1" ht="14.25" hidden="1" customHeight="1">
      <c r="A20" s="257">
        <v>6</v>
      </c>
      <c r="B20" s="931">
        <f>IF($A$5&lt;=$K$5,'BP2'!B20,)</f>
        <v>0</v>
      </c>
      <c r="C20" s="932"/>
      <c r="D20" s="932"/>
      <c r="E20" s="932"/>
      <c r="F20" s="933"/>
      <c r="G20" s="268">
        <f>IF($A$5&lt;=$K$5,'BP1'!G20,)</f>
        <v>0</v>
      </c>
      <c r="H20" s="249">
        <f>IF($G20&gt;0,'BP4'!H20,)</f>
        <v>0</v>
      </c>
      <c r="I20" s="250">
        <f>IF($G20&gt;0,'BP4'!I20,)</f>
        <v>0</v>
      </c>
      <c r="J20" s="250">
        <f>IF($G20&gt;0,'BP4'!J20,)</f>
        <v>0</v>
      </c>
      <c r="K20" s="162">
        <f t="shared" ca="1" si="2"/>
        <v>0</v>
      </c>
      <c r="L20" s="163">
        <f ca="1">IF(K20&gt;4,K20*LOOKUP($K$8,Lists!$A$2:$A$812,IF($K$2="Non-Federal",Lists!$D$2:$D$812,Lists!$C$2:$C$812)),0)</f>
        <v>0</v>
      </c>
      <c r="M20" s="276">
        <f>IF(G20&gt;0,'BP1'!M20,)</f>
        <v>0</v>
      </c>
      <c r="N20" s="162">
        <f t="shared" ca="1" si="1"/>
        <v>0</v>
      </c>
      <c r="O20" s="163">
        <f ca="1">N20*LOOKUP($K$8,Lists!$A$2:$A$812,IF($K$2="Non-Federal",Lists!$D$2:$D$812,Lists!$C$2:$C$812))</f>
        <v>0</v>
      </c>
      <c r="P20" s="229">
        <f ca="1">IF($A$5&lt;='BP1'!$K$5,(1+$K$7)*INDIRECT("BP"&amp;$A$5-1&amp;"!P20"),)</f>
        <v>0</v>
      </c>
      <c r="Q20" s="259">
        <f t="shared" si="0"/>
        <v>0</v>
      </c>
      <c r="R20" s="136" t="s">
        <v>492</v>
      </c>
    </row>
    <row r="21" spans="1:18" s="5" customFormat="1" ht="14.25" hidden="1" customHeight="1">
      <c r="A21" s="257">
        <v>7</v>
      </c>
      <c r="B21" s="931">
        <f>IF($A$5&lt;=$K$5,'BP2'!B21,)</f>
        <v>0</v>
      </c>
      <c r="C21" s="932"/>
      <c r="D21" s="932"/>
      <c r="E21" s="932"/>
      <c r="F21" s="933"/>
      <c r="G21" s="268">
        <f>IF($A$5&lt;=$K$5,'BP1'!G21,)</f>
        <v>0</v>
      </c>
      <c r="H21" s="249">
        <f>IF($G21&gt;0,'BP4'!H21,)</f>
        <v>0</v>
      </c>
      <c r="I21" s="250">
        <f>IF($G21&gt;0,'BP4'!I21,)</f>
        <v>0</v>
      </c>
      <c r="J21" s="250">
        <f>IF($G21&gt;0,'BP4'!J21,)</f>
        <v>0</v>
      </c>
      <c r="K21" s="162">
        <f t="shared" ca="1" si="2"/>
        <v>0</v>
      </c>
      <c r="L21" s="163">
        <f ca="1">IF(K21&gt;4,K21*LOOKUP($K$8,Lists!$A$2:$A$812,IF($K$2="Non-Federal",Lists!$D$2:$D$812,Lists!$C$2:$C$812)),0)</f>
        <v>0</v>
      </c>
      <c r="M21" s="276">
        <f>IF(G21&gt;0,'BP1'!M21,)</f>
        <v>0</v>
      </c>
      <c r="N21" s="162">
        <f t="shared" ca="1" si="1"/>
        <v>0</v>
      </c>
      <c r="O21" s="163">
        <f ca="1">N21*LOOKUP($K$8,Lists!$A$2:$A$812,IF($K$2="Non-Federal",Lists!$D$2:$D$812,Lists!$C$2:$C$812))</f>
        <v>0</v>
      </c>
      <c r="P21" s="229">
        <f ca="1">IF($A$5&lt;='BP1'!$K$5,(1+$K$7)*INDIRECT("BP"&amp;$A$5-1&amp;"!P21"),)</f>
        <v>0</v>
      </c>
      <c r="Q21" s="259">
        <f t="shared" si="0"/>
        <v>0</v>
      </c>
      <c r="R21" s="136" t="s">
        <v>492</v>
      </c>
    </row>
    <row r="22" spans="1:18" s="5" customFormat="1" ht="14.25" hidden="1" customHeight="1">
      <c r="A22" s="257">
        <v>8</v>
      </c>
      <c r="B22" s="931">
        <f>IF($A$5&lt;=$K$5,'BP2'!B22,)</f>
        <v>0</v>
      </c>
      <c r="C22" s="932"/>
      <c r="D22" s="932"/>
      <c r="E22" s="932"/>
      <c r="F22" s="933"/>
      <c r="G22" s="268">
        <f>IF($A$5&lt;=$K$5,'BP1'!G22,)</f>
        <v>0</v>
      </c>
      <c r="H22" s="249">
        <f>IF($G22&gt;0,'BP4'!H22,)</f>
        <v>0</v>
      </c>
      <c r="I22" s="250">
        <f>IF($G22&gt;0,'BP4'!I22,)</f>
        <v>0</v>
      </c>
      <c r="J22" s="250">
        <f>IF($G22&gt;0,'BP4'!J22,)</f>
        <v>0</v>
      </c>
      <c r="K22" s="162">
        <f t="shared" ca="1" si="2"/>
        <v>0</v>
      </c>
      <c r="L22" s="163">
        <f ca="1">IF(K22&gt;4,K22*LOOKUP($K$8,Lists!$A$2:$A$812,IF($K$2="Non-Federal",Lists!$D$2:$D$812,Lists!$C$2:$C$812)),0)</f>
        <v>0</v>
      </c>
      <c r="M22" s="276">
        <f>IF(G22&gt;0,'BP1'!M22,)</f>
        <v>0</v>
      </c>
      <c r="N22" s="162">
        <f t="shared" ca="1" si="1"/>
        <v>0</v>
      </c>
      <c r="O22" s="163">
        <f ca="1">N22*LOOKUP($K$8,Lists!$A$2:$A$812,IF($K$2="Non-Federal",Lists!$D$2:$D$812,Lists!$C$2:$C$812))</f>
        <v>0</v>
      </c>
      <c r="P22" s="229">
        <f ca="1">IF($A$5&lt;='BP1'!$K$5,(1+$K$7)*INDIRECT("BP"&amp;$A$5-1&amp;"!P22"),)</f>
        <v>0</v>
      </c>
      <c r="Q22" s="259">
        <f t="shared" si="0"/>
        <v>0</v>
      </c>
      <c r="R22" s="136" t="s">
        <v>492</v>
      </c>
    </row>
    <row r="23" spans="1:18" s="5" customFormat="1" ht="14.25" hidden="1" customHeight="1">
      <c r="A23" s="257">
        <v>9</v>
      </c>
      <c r="B23" s="931">
        <f>IF($A$5&lt;=$K$5,'BP2'!B23,)</f>
        <v>0</v>
      </c>
      <c r="C23" s="932"/>
      <c r="D23" s="932"/>
      <c r="E23" s="932"/>
      <c r="F23" s="933"/>
      <c r="G23" s="268">
        <f>IF($A$5&lt;=$K$5,'BP1'!G23,)</f>
        <v>0</v>
      </c>
      <c r="H23" s="249">
        <f>IF($G23&gt;0,'BP4'!H23,)</f>
        <v>0</v>
      </c>
      <c r="I23" s="250">
        <f>IF($G23&gt;0,'BP4'!I23,)</f>
        <v>0</v>
      </c>
      <c r="J23" s="250">
        <f>IF($G23&gt;0,'BP4'!J23,)</f>
        <v>0</v>
      </c>
      <c r="K23" s="162">
        <f t="shared" ca="1" si="2"/>
        <v>0</v>
      </c>
      <c r="L23" s="163">
        <f ca="1">IF(K23&gt;4,K23*LOOKUP($K$8,Lists!$A$2:$A$812,IF($K$2="Non-Federal",Lists!$D$2:$D$812,Lists!$C$2:$C$812)),0)</f>
        <v>0</v>
      </c>
      <c r="M23" s="276">
        <f>IF(G23&gt;0,'BP1'!M23,)</f>
        <v>0</v>
      </c>
      <c r="N23" s="162">
        <f t="shared" ca="1" si="1"/>
        <v>0</v>
      </c>
      <c r="O23" s="163">
        <f ca="1">N23*LOOKUP($K$8,Lists!$A$2:$A$812,IF($K$2="Non-Federal",Lists!$D$2:$D$812,Lists!$C$2:$C$812))</f>
        <v>0</v>
      </c>
      <c r="P23" s="229">
        <f ca="1">IF($A$5&lt;='BP1'!$K$5,(1+$K$7)*INDIRECT("BP"&amp;$A$5-1&amp;"!P23"),)</f>
        <v>0</v>
      </c>
      <c r="Q23" s="259">
        <f t="shared" si="0"/>
        <v>0</v>
      </c>
      <c r="R23" s="136" t="s">
        <v>492</v>
      </c>
    </row>
    <row r="24" spans="1:18" s="5" customFormat="1" ht="14.25" hidden="1" customHeight="1">
      <c r="A24" s="257">
        <v>10</v>
      </c>
      <c r="B24" s="931">
        <f>IF($A$5&lt;=$K$5,'BP2'!B24,)</f>
        <v>0</v>
      </c>
      <c r="C24" s="932"/>
      <c r="D24" s="932"/>
      <c r="E24" s="932"/>
      <c r="F24" s="933"/>
      <c r="G24" s="268">
        <f>IF($A$5&lt;=$K$5,'BP1'!G24,)</f>
        <v>0</v>
      </c>
      <c r="H24" s="249">
        <f>IF($G24&gt;0,'BP4'!H24,)</f>
        <v>0</v>
      </c>
      <c r="I24" s="250">
        <f>IF($G24&gt;0,'BP4'!I24,)</f>
        <v>0</v>
      </c>
      <c r="J24" s="250">
        <f>IF($G24&gt;0,'BP4'!J24,)</f>
        <v>0</v>
      </c>
      <c r="K24" s="162">
        <f t="shared" ca="1" si="2"/>
        <v>0</v>
      </c>
      <c r="L24" s="163">
        <f ca="1">IF(K24&gt;4,K24*LOOKUP($K$8,Lists!$A$2:$A$812,IF($K$2="Non-Federal",Lists!$D$2:$D$812,Lists!$C$2:$C$812)),0)</f>
        <v>0</v>
      </c>
      <c r="M24" s="276">
        <f>IF(G24&gt;0,'BP1'!M24,)</f>
        <v>0</v>
      </c>
      <c r="N24" s="162">
        <f t="shared" ca="1" si="1"/>
        <v>0</v>
      </c>
      <c r="O24" s="163">
        <f ca="1">N24*LOOKUP($K$8,Lists!$A$2:$A$812,IF($K$2="Non-Federal",Lists!$D$2:$D$812,Lists!$C$2:$C$812))</f>
        <v>0</v>
      </c>
      <c r="P24" s="229">
        <f ca="1">IF($A$5&lt;='BP1'!$K$5,(1+$K$7)*INDIRECT("BP"&amp;$A$5-1&amp;"!P24"),)</f>
        <v>0</v>
      </c>
      <c r="Q24" s="259">
        <f t="shared" si="0"/>
        <v>0</v>
      </c>
      <c r="R24" s="136" t="s">
        <v>492</v>
      </c>
    </row>
    <row r="25" spans="1:18" s="5" customFormat="1" ht="14.25" hidden="1" customHeight="1">
      <c r="A25" s="257">
        <v>11</v>
      </c>
      <c r="B25" s="931">
        <f>IF($A$5&lt;=$K$5,'BP2'!B25,)</f>
        <v>0</v>
      </c>
      <c r="C25" s="932"/>
      <c r="D25" s="932"/>
      <c r="E25" s="932"/>
      <c r="F25" s="933"/>
      <c r="G25" s="268">
        <f>IF($A$5&lt;=$K$5,'BP1'!G25,)</f>
        <v>0</v>
      </c>
      <c r="H25" s="249">
        <f>IF($G25&gt;0,'BP4'!H25,)</f>
        <v>0</v>
      </c>
      <c r="I25" s="250">
        <f>IF($G25&gt;0,'BP4'!I25,)</f>
        <v>0</v>
      </c>
      <c r="J25" s="250">
        <f>IF($G25&gt;0,'BP4'!J25,)</f>
        <v>0</v>
      </c>
      <c r="K25" s="162">
        <f t="shared" ca="1" si="2"/>
        <v>0</v>
      </c>
      <c r="L25" s="163">
        <f ca="1">IF(K25&gt;4,K25*LOOKUP($K$8,Lists!$A$2:$A$812,IF($K$2="Non-Federal",Lists!$D$2:$D$812,Lists!$C$2:$C$812)),0)</f>
        <v>0</v>
      </c>
      <c r="M25" s="276">
        <f>IF(G25&gt;0,'BP1'!M25,)</f>
        <v>0</v>
      </c>
      <c r="N25" s="162">
        <f t="shared" ca="1" si="1"/>
        <v>0</v>
      </c>
      <c r="O25" s="163">
        <f ca="1">N25*LOOKUP($K$8,Lists!$A$2:$A$812,IF($K$2="Non-Federal",Lists!$D$2:$D$812,Lists!$C$2:$C$812))</f>
        <v>0</v>
      </c>
      <c r="P25" s="229">
        <f ca="1">IF($A$5&lt;='BP1'!$K$5,(1+$K$7)*INDIRECT("BP"&amp;$A$5-1&amp;"!P25"),)</f>
        <v>0</v>
      </c>
      <c r="Q25" s="259">
        <f t="shared" si="0"/>
        <v>0</v>
      </c>
      <c r="R25" s="136" t="s">
        <v>493</v>
      </c>
    </row>
    <row r="26" spans="1:18" s="5" customFormat="1" ht="14.25" hidden="1" customHeight="1">
      <c r="A26" s="257">
        <v>12</v>
      </c>
      <c r="B26" s="931">
        <f>IF($A$5&lt;=$K$5,'BP2'!B26,)</f>
        <v>0</v>
      </c>
      <c r="C26" s="932"/>
      <c r="D26" s="932"/>
      <c r="E26" s="932"/>
      <c r="F26" s="933"/>
      <c r="G26" s="268">
        <f>IF($A$5&lt;=$K$5,'BP1'!G26,)</f>
        <v>0</v>
      </c>
      <c r="H26" s="249">
        <f>IF($G26&gt;0,'BP4'!H26,)</f>
        <v>0</v>
      </c>
      <c r="I26" s="250">
        <f>IF($G26&gt;0,'BP4'!I26,)</f>
        <v>0</v>
      </c>
      <c r="J26" s="250">
        <f>IF($G26&gt;0,'BP4'!J26,)</f>
        <v>0</v>
      </c>
      <c r="K26" s="162">
        <f t="shared" ca="1" si="2"/>
        <v>0</v>
      </c>
      <c r="L26" s="163">
        <f ca="1">IF(K26&gt;4,K26*LOOKUP($K$8,Lists!$A$2:$A$812,IF($K$2="Non-Federal",Lists!$D$2:$D$812,Lists!$C$2:$C$812)),0)</f>
        <v>0</v>
      </c>
      <c r="M26" s="276">
        <f>IF(G26&gt;0,'BP1'!M26,)</f>
        <v>0</v>
      </c>
      <c r="N26" s="162">
        <f t="shared" ca="1" si="1"/>
        <v>0</v>
      </c>
      <c r="O26" s="163">
        <f ca="1">N26*LOOKUP($K$8,Lists!$A$2:$A$812,IF($K$2="Non-Federal",Lists!$D$2:$D$812,Lists!$C$2:$C$812))</f>
        <v>0</v>
      </c>
      <c r="P26" s="229">
        <f ca="1">IF($A$5&lt;='BP1'!$K$5,(1+$K$7)*INDIRECT("BP"&amp;$A$5-1&amp;"!P26"),)</f>
        <v>0</v>
      </c>
      <c r="Q26" s="259">
        <f t="shared" si="0"/>
        <v>0</v>
      </c>
      <c r="R26" s="136" t="s">
        <v>493</v>
      </c>
    </row>
    <row r="27" spans="1:18" s="5" customFormat="1" ht="14.25" hidden="1" customHeight="1">
      <c r="A27" s="257">
        <v>13</v>
      </c>
      <c r="B27" s="931">
        <f>IF($A$5&lt;=$K$5,'BP2'!B27,)</f>
        <v>0</v>
      </c>
      <c r="C27" s="932"/>
      <c r="D27" s="932"/>
      <c r="E27" s="932"/>
      <c r="F27" s="933"/>
      <c r="G27" s="268">
        <f>IF($A$5&lt;=$K$5,'BP1'!G27,)</f>
        <v>0</v>
      </c>
      <c r="H27" s="249">
        <f>IF($G27&gt;0,'BP4'!H27,)</f>
        <v>0</v>
      </c>
      <c r="I27" s="250">
        <f>IF($G27&gt;0,'BP4'!I27,)</f>
        <v>0</v>
      </c>
      <c r="J27" s="250">
        <f>IF($G27&gt;0,'BP4'!J27,)</f>
        <v>0</v>
      </c>
      <c r="K27" s="162">
        <f t="shared" ca="1" si="2"/>
        <v>0</v>
      </c>
      <c r="L27" s="163">
        <f ca="1">IF(K27&gt;4,K27*LOOKUP($K$8,Lists!$A$2:$A$812,IF($K$2="Non-Federal",Lists!$D$2:$D$812,Lists!$C$2:$C$812)),0)</f>
        <v>0</v>
      </c>
      <c r="M27" s="276">
        <f>IF(G27&gt;0,'BP1'!M27,)</f>
        <v>0</v>
      </c>
      <c r="N27" s="162">
        <f t="shared" ca="1" si="1"/>
        <v>0</v>
      </c>
      <c r="O27" s="163">
        <f ca="1">N27*LOOKUP($K$8,Lists!$A$2:$A$812,IF($K$2="Non-Federal",Lists!$D$2:$D$812,Lists!$C$2:$C$812))</f>
        <v>0</v>
      </c>
      <c r="P27" s="229">
        <f ca="1">IF($A$5&lt;='BP1'!$K$5,(1+$K$7)*INDIRECT("BP"&amp;$A$5-1&amp;"!P27"),)</f>
        <v>0</v>
      </c>
      <c r="Q27" s="259">
        <f t="shared" si="0"/>
        <v>0</v>
      </c>
      <c r="R27" s="136" t="s">
        <v>493</v>
      </c>
    </row>
    <row r="28" spans="1:18" s="5" customFormat="1" ht="14.25" hidden="1" customHeight="1">
      <c r="A28" s="257">
        <v>14</v>
      </c>
      <c r="B28" s="931">
        <f>IF($A$5&lt;=$K$5,'BP2'!B28,)</f>
        <v>0</v>
      </c>
      <c r="C28" s="932"/>
      <c r="D28" s="932"/>
      <c r="E28" s="932"/>
      <c r="F28" s="933"/>
      <c r="G28" s="268">
        <f>IF($A$5&lt;=$K$5,'BP1'!G28,)</f>
        <v>0</v>
      </c>
      <c r="H28" s="249">
        <f>IF($G28&gt;0,'BP4'!H28,)</f>
        <v>0</v>
      </c>
      <c r="I28" s="250">
        <f>IF($G28&gt;0,'BP4'!I28,)</f>
        <v>0</v>
      </c>
      <c r="J28" s="250">
        <f>IF($G28&gt;0,'BP4'!J28,)</f>
        <v>0</v>
      </c>
      <c r="K28" s="162">
        <f t="shared" ca="1" si="2"/>
        <v>0</v>
      </c>
      <c r="L28" s="163">
        <f ca="1">IF(K28&gt;4,K28*LOOKUP($K$8,Lists!$A$2:$A$812,IF($K$2="Non-Federal",Lists!$D$2:$D$812,Lists!$C$2:$C$812)),0)</f>
        <v>0</v>
      </c>
      <c r="M28" s="276">
        <f>IF(G28&gt;0,'BP1'!M28,)</f>
        <v>0</v>
      </c>
      <c r="N28" s="162">
        <f t="shared" ca="1" si="1"/>
        <v>0</v>
      </c>
      <c r="O28" s="163">
        <f ca="1">N28*LOOKUP($K$8,Lists!$A$2:$A$812,IF($K$2="Non-Federal",Lists!$D$2:$D$812,Lists!$C$2:$C$812))</f>
        <v>0</v>
      </c>
      <c r="P28" s="229">
        <f ca="1">IF($A$5&lt;='BP1'!$K$5,(1+$K$7)*INDIRECT("BP"&amp;$A$5-1&amp;"!P28"),)</f>
        <v>0</v>
      </c>
      <c r="Q28" s="259">
        <f t="shared" si="0"/>
        <v>0</v>
      </c>
      <c r="R28" s="136" t="s">
        <v>493</v>
      </c>
    </row>
    <row r="29" spans="1:18" s="5" customFormat="1" ht="14.25" hidden="1" customHeight="1">
      <c r="A29" s="257">
        <v>15</v>
      </c>
      <c r="B29" s="931">
        <f>IF($A$5&lt;=$K$5,'BP2'!B29,)</f>
        <v>0</v>
      </c>
      <c r="C29" s="932"/>
      <c r="D29" s="932"/>
      <c r="E29" s="932"/>
      <c r="F29" s="933"/>
      <c r="G29" s="268">
        <f>IF($A$5&lt;=$K$5,'BP1'!G29,)</f>
        <v>0</v>
      </c>
      <c r="H29" s="249">
        <f>IF($G29&gt;0,'BP4'!H29,)</f>
        <v>0</v>
      </c>
      <c r="I29" s="250">
        <f>IF($G29&gt;0,'BP4'!I29,)</f>
        <v>0</v>
      </c>
      <c r="J29" s="250">
        <f>IF($G29&gt;0,'BP4'!J29,)</f>
        <v>0</v>
      </c>
      <c r="K29" s="162">
        <f t="shared" ca="1" si="2"/>
        <v>0</v>
      </c>
      <c r="L29" s="163">
        <f ca="1">IF(K29&gt;4,K29*LOOKUP($K$8,Lists!$A$2:$A$812,IF($K$2="Non-Federal",Lists!$D$2:$D$812,Lists!$C$2:$C$812)),0)</f>
        <v>0</v>
      </c>
      <c r="M29" s="276">
        <f>IF(G29&gt;0,'BP1'!M29,)</f>
        <v>0</v>
      </c>
      <c r="N29" s="162">
        <f t="shared" ca="1" si="1"/>
        <v>0</v>
      </c>
      <c r="O29" s="163">
        <f ca="1">N29*LOOKUP($K$8,Lists!$A$2:$A$812,IF($K$2="Non-Federal",Lists!$D$2:$D$812,Lists!$C$2:$C$812))</f>
        <v>0</v>
      </c>
      <c r="P29" s="229">
        <f ca="1">IF($A$5&lt;='BP1'!$K$5,(1+$K$7)*INDIRECT("BP"&amp;$A$5-1&amp;"!P29"),)</f>
        <v>0</v>
      </c>
      <c r="Q29" s="259">
        <f t="shared" si="0"/>
        <v>0</v>
      </c>
      <c r="R29" s="136" t="s">
        <v>493</v>
      </c>
    </row>
    <row r="30" spans="1:18" s="5" customFormat="1" ht="14.25" customHeight="1">
      <c r="A30" s="842" t="s">
        <v>209</v>
      </c>
      <c r="B30" s="843"/>
      <c r="C30" s="843"/>
      <c r="D30" s="843"/>
      <c r="E30" s="843"/>
      <c r="F30" s="844"/>
      <c r="G30" s="31"/>
      <c r="H30" s="224">
        <f t="shared" ref="H30:O30" si="3">SUM(H15:H29)</f>
        <v>0</v>
      </c>
      <c r="I30" s="224">
        <f t="shared" si="3"/>
        <v>0</v>
      </c>
      <c r="J30" s="224">
        <f t="shared" si="3"/>
        <v>0</v>
      </c>
      <c r="K30" s="163">
        <f t="shared" ca="1" si="3"/>
        <v>0</v>
      </c>
      <c r="L30" s="163">
        <f t="shared" ca="1" si="3"/>
        <v>0</v>
      </c>
      <c r="M30" s="276">
        <f t="shared" si="3"/>
        <v>0</v>
      </c>
      <c r="N30" s="164">
        <f t="shared" ca="1" si="3"/>
        <v>0</v>
      </c>
      <c r="O30" s="163">
        <f t="shared" ca="1" si="3"/>
        <v>0</v>
      </c>
      <c r="P30" s="70"/>
      <c r="Q30" s="390"/>
      <c r="R30" s="136" t="s">
        <v>225</v>
      </c>
    </row>
    <row r="31" spans="1:18" s="5" customFormat="1" ht="14.25" customHeight="1">
      <c r="A31" s="209" t="s">
        <v>210</v>
      </c>
      <c r="B31" s="204"/>
      <c r="C31" s="204"/>
      <c r="D31" s="240"/>
      <c r="E31" s="240"/>
      <c r="F31" s="240"/>
      <c r="G31" s="32"/>
      <c r="H31" s="27"/>
      <c r="I31" s="28"/>
      <c r="J31" s="28"/>
      <c r="K31" s="68"/>
      <c r="L31" s="424"/>
      <c r="M31" s="425"/>
      <c r="N31" s="33"/>
      <c r="O31" s="34"/>
      <c r="P31" s="219" t="s">
        <v>111</v>
      </c>
      <c r="Q31" s="391"/>
      <c r="R31" s="136" t="s">
        <v>225</v>
      </c>
    </row>
    <row r="32" spans="1:18" s="5" customFormat="1" ht="14.25" customHeight="1">
      <c r="A32" s="252" t="s">
        <v>3</v>
      </c>
      <c r="B32" s="462">
        <f>IF($A$5&lt;=$K$5,'BP4'!B32,0)</f>
        <v>0</v>
      </c>
      <c r="C32" s="204" t="s">
        <v>464</v>
      </c>
      <c r="D32" s="240" t="str">
        <f>"Postdoctoral Associate"&amp;IF(B32&gt;0,"s",)</f>
        <v>Postdoctoral Associate</v>
      </c>
      <c r="E32" s="251"/>
      <c r="F32" s="251"/>
      <c r="G32" s="534">
        <v>12</v>
      </c>
      <c r="H32" s="222">
        <f>IF($A$5&lt;=$K$5,(IF('BP4'!H32&lt;&gt;'BP4'!B32*12,'BP4'!H32,B32*12)),0)</f>
        <v>0</v>
      </c>
      <c r="I32" s="223"/>
      <c r="J32" s="223"/>
      <c r="K32" s="162">
        <f t="shared" ref="K32:K40" ca="1" si="4">IFERROR(P32/12*H32,)</f>
        <v>0</v>
      </c>
      <c r="L32" s="163">
        <f>IF($A$5&lt;=$K$5,K32*LOOKUP($K$8,Lists!$A$2:$A$812,IF('BP1'!$K$2="Non-Federal",Lists!$D$2:$D$812,Lists!$C$2:$C$812)),0)</f>
        <v>0</v>
      </c>
      <c r="M32" s="276">
        <f>IF(B32&gt;0,'BP1'!M32,)</f>
        <v>0</v>
      </c>
      <c r="N32" s="162">
        <f ca="1">IFERROR(P32/12*M32,)</f>
        <v>0</v>
      </c>
      <c r="O32" s="163">
        <f ca="1">N32*LOOKUP($K$8,Lists!$A$2:$A$812,IF($K$2="Non-Federal",Lists!$D$2:$D$812,Lists!$C$2:$C$812))</f>
        <v>0</v>
      </c>
      <c r="P32" s="229">
        <f ca="1">IF($A$5&lt;=$K$5,INDIRECT("BP"&amp;$A$5-1&amp;"!P32")*(1+$K$7),0)</f>
        <v>0</v>
      </c>
      <c r="Q32" s="389"/>
      <c r="R32" s="136" t="s">
        <v>225</v>
      </c>
    </row>
    <row r="33" spans="1:18" s="5" customFormat="1" ht="14.25" customHeight="1">
      <c r="A33" s="209" t="s">
        <v>495</v>
      </c>
      <c r="B33" s="462">
        <f>IF($A$5&lt;=$K$5,'BP4'!B33,0)</f>
        <v>0</v>
      </c>
      <c r="C33" s="204" t="s">
        <v>464</v>
      </c>
      <c r="D33" s="240" t="str">
        <f>'BP1'!D33</f>
        <v>Other Professional</v>
      </c>
      <c r="E33" s="251"/>
      <c r="F33" s="251"/>
      <c r="G33" s="534">
        <v>12</v>
      </c>
      <c r="H33" s="222">
        <f>IF($A$5&lt;=$K$5,(IF('BP4'!H33&lt;&gt;'BP4'!B33*12,'BP4'!H33,B33*12)),0)</f>
        <v>0</v>
      </c>
      <c r="I33" s="223"/>
      <c r="J33" s="223"/>
      <c r="K33" s="162">
        <f t="shared" ca="1" si="4"/>
        <v>0</v>
      </c>
      <c r="L33" s="163">
        <f>IF($A$5&lt;=$K$5,K33*LOOKUP($K$8,Lists!$A$2:$A$812,IF('BP1'!$K$2="Non-Federal",Lists!$D$2:$D$812,Lists!$C$2:$C$812)),0)</f>
        <v>0</v>
      </c>
      <c r="M33" s="276">
        <f>IF(B33&gt;0,'BP1'!M33,)</f>
        <v>0</v>
      </c>
      <c r="N33" s="162">
        <f t="shared" ref="N33:N40" ca="1" si="5">IFERROR(P33/12*M33,)</f>
        <v>0</v>
      </c>
      <c r="O33" s="163">
        <f ca="1">N33*LOOKUP($K$8,Lists!$A$2:$A$812,IF($K$2="Non-Federal",Lists!$D$2:$D$812,Lists!$C$2:$C$812))</f>
        <v>0</v>
      </c>
      <c r="P33" s="229">
        <f ca="1">IF($A$5&lt;=$K$5,INDIRECT("BP"&amp;$A$5-1&amp;"!P33")*(1+$K$7),0)</f>
        <v>0</v>
      </c>
      <c r="Q33" s="389"/>
      <c r="R33" s="136" t="s">
        <v>225</v>
      </c>
    </row>
    <row r="34" spans="1:18" s="5" customFormat="1" ht="14.25" hidden="1" customHeight="1">
      <c r="A34" s="209" t="s">
        <v>496</v>
      </c>
      <c r="B34" s="462">
        <f>IF($A$5&lt;=$K$5,'BP4'!B34,0)</f>
        <v>0</v>
      </c>
      <c r="C34" s="204" t="s">
        <v>464</v>
      </c>
      <c r="D34" s="240" t="str">
        <f>'BP1'!D34</f>
        <v>Other Professional</v>
      </c>
      <c r="E34" s="251"/>
      <c r="F34" s="251"/>
      <c r="G34" s="534">
        <v>12</v>
      </c>
      <c r="H34" s="222">
        <f>IF($A$5&lt;=$K$5,(IF('BP4'!H34&lt;&gt;'BP4'!B34*12,'BP4'!H34,B34*12)),0)</f>
        <v>0</v>
      </c>
      <c r="I34" s="223"/>
      <c r="J34" s="223"/>
      <c r="K34" s="162">
        <f t="shared" ca="1" si="4"/>
        <v>0</v>
      </c>
      <c r="L34" s="163">
        <f>IF($A$5&lt;=$K$5,K34*LOOKUP($K$8,Lists!$A$2:$A$812,IF('BP1'!$K$2="Non-Federal",Lists!$D$2:$D$812,Lists!$C$2:$C$812)),0)</f>
        <v>0</v>
      </c>
      <c r="M34" s="276">
        <f>IF(B34&gt;0,'BP1'!M34,)</f>
        <v>0</v>
      </c>
      <c r="N34" s="162">
        <f t="shared" ca="1" si="5"/>
        <v>0</v>
      </c>
      <c r="O34" s="163">
        <f ca="1">N34*LOOKUP($K$8,Lists!$A$2:$A$812,IF($K$2="Non-Federal",Lists!$D$2:$D$812,Lists!$C$2:$C$812))</f>
        <v>0</v>
      </c>
      <c r="P34" s="229">
        <f ca="1">IF($A$5&lt;=$K$5,INDIRECT("BP"&amp;$A$5-1&amp;"!P34")*(1+$K$7),0)</f>
        <v>0</v>
      </c>
      <c r="Q34" s="389"/>
      <c r="R34" s="136" t="s">
        <v>500</v>
      </c>
    </row>
    <row r="35" spans="1:18" s="5" customFormat="1" ht="14.25" hidden="1" customHeight="1">
      <c r="A35" s="209" t="s">
        <v>497</v>
      </c>
      <c r="B35" s="462">
        <f>IF($A$5&lt;=$K$5,'BP4'!B35,0)</f>
        <v>0</v>
      </c>
      <c r="C35" s="204" t="s">
        <v>464</v>
      </c>
      <c r="D35" s="240" t="str">
        <f>'BP1'!D35</f>
        <v>Other Professional</v>
      </c>
      <c r="E35" s="251"/>
      <c r="F35" s="251"/>
      <c r="G35" s="534">
        <v>12</v>
      </c>
      <c r="H35" s="222">
        <f>IF($A$5&lt;=$K$5,(IF('BP4'!H35&lt;&gt;'BP4'!B35*12,'BP4'!H35,B35*12)),0)</f>
        <v>0</v>
      </c>
      <c r="I35" s="223"/>
      <c r="J35" s="223"/>
      <c r="K35" s="162">
        <f t="shared" ca="1" si="4"/>
        <v>0</v>
      </c>
      <c r="L35" s="163">
        <f>IF($A$5&lt;=$K$5,K35*LOOKUP($K$8,Lists!$A$2:$A$812,IF('BP1'!$K$2="Non-Federal",Lists!$D$2:$D$812,Lists!$C$2:$C$812)),0)</f>
        <v>0</v>
      </c>
      <c r="M35" s="276">
        <f>IF(B35&gt;0,'BP1'!M35,)</f>
        <v>0</v>
      </c>
      <c r="N35" s="162">
        <f t="shared" ca="1" si="5"/>
        <v>0</v>
      </c>
      <c r="O35" s="163">
        <f ca="1">N35*LOOKUP($K$8,Lists!$A$2:$A$812,IF($K$2="Non-Federal",Lists!$D$2:$D$812,Lists!$C$2:$C$812))</f>
        <v>0</v>
      </c>
      <c r="P35" s="229">
        <f ca="1">IF($A$5&lt;=$K$5,INDIRECT("BP"&amp;$A$5-1&amp;"!P35")*(1+$K$7),0)</f>
        <v>0</v>
      </c>
      <c r="Q35" s="389"/>
      <c r="R35" s="136" t="s">
        <v>500</v>
      </c>
    </row>
    <row r="36" spans="1:18" s="5" customFormat="1" ht="14.25" hidden="1" customHeight="1">
      <c r="A36" s="209" t="s">
        <v>498</v>
      </c>
      <c r="B36" s="462">
        <f>IF($A$5&lt;=$K$5,'BP4'!B36,0)</f>
        <v>0</v>
      </c>
      <c r="C36" s="204" t="s">
        <v>464</v>
      </c>
      <c r="D36" s="240" t="str">
        <f>'BP1'!D36</f>
        <v>Other Professional</v>
      </c>
      <c r="E36" s="251"/>
      <c r="F36" s="251"/>
      <c r="G36" s="534">
        <v>12</v>
      </c>
      <c r="H36" s="222">
        <f>IF($A$5&lt;=$K$5,(IF('BP4'!H36&lt;&gt;'BP4'!B36*12,'BP4'!H36,B36*12)),0)</f>
        <v>0</v>
      </c>
      <c r="I36" s="223"/>
      <c r="J36" s="223"/>
      <c r="K36" s="162">
        <f t="shared" ca="1" si="4"/>
        <v>0</v>
      </c>
      <c r="L36" s="163">
        <f>IF($A$5&lt;=$K$5,K36*LOOKUP($K$8,Lists!$A$2:$A$812,IF('BP1'!$K$2="Non-Federal",Lists!$D$2:$D$812,Lists!$C$2:$C$812)),0)</f>
        <v>0</v>
      </c>
      <c r="M36" s="276">
        <f>IF(B36&gt;0,'BP1'!M36,)</f>
        <v>0</v>
      </c>
      <c r="N36" s="162">
        <f t="shared" ca="1" si="5"/>
        <v>0</v>
      </c>
      <c r="O36" s="163">
        <f ca="1">N36*LOOKUP($K$8,Lists!$A$2:$A$812,IF($K$2="Non-Federal",Lists!$D$2:$D$812,Lists!$C$2:$C$812))</f>
        <v>0</v>
      </c>
      <c r="P36" s="229">
        <f ca="1">IF($A$5&lt;=$K$5,INDIRECT("BP"&amp;$A$5-1&amp;"!P36")*(1+$K$7),0)</f>
        <v>0</v>
      </c>
      <c r="Q36" s="389"/>
      <c r="R36" s="136" t="s">
        <v>500</v>
      </c>
    </row>
    <row r="37" spans="1:18" s="5" customFormat="1" ht="14.25" hidden="1" customHeight="1">
      <c r="A37" s="209" t="s">
        <v>499</v>
      </c>
      <c r="B37" s="462">
        <f>IF($A$5&lt;=$K$5,'BP4'!B37,0)</f>
        <v>0</v>
      </c>
      <c r="C37" s="204" t="s">
        <v>464</v>
      </c>
      <c r="D37" s="240" t="str">
        <f>'BP1'!D37</f>
        <v>Other Professional</v>
      </c>
      <c r="E37" s="251"/>
      <c r="F37" s="251"/>
      <c r="G37" s="534">
        <v>12</v>
      </c>
      <c r="H37" s="222">
        <f>IF($A$5&lt;=$K$5,(IF('BP4'!H37&lt;&gt;'BP4'!B37*12,'BP4'!H37,B37*12)),0)</f>
        <v>0</v>
      </c>
      <c r="I37" s="223"/>
      <c r="J37" s="223"/>
      <c r="K37" s="162">
        <f t="shared" ca="1" si="4"/>
        <v>0</v>
      </c>
      <c r="L37" s="163">
        <f>IF($A$5&lt;=$K$5,K37*LOOKUP($K$8,Lists!$A$2:$A$812,IF('BP1'!$K$2="Non-Federal",Lists!$D$2:$D$812,Lists!$C$2:$C$812)),0)</f>
        <v>0</v>
      </c>
      <c r="M37" s="276">
        <f>IF(B37&gt;0,'BP1'!M37,)</f>
        <v>0</v>
      </c>
      <c r="N37" s="162">
        <f t="shared" ca="1" si="5"/>
        <v>0</v>
      </c>
      <c r="O37" s="163">
        <f ca="1">N37*LOOKUP($K$8,Lists!$A$2:$A$812,IF($K$2="Non-Federal",Lists!$D$2:$D$812,Lists!$C$2:$C$812))</f>
        <v>0</v>
      </c>
      <c r="P37" s="229">
        <f ca="1">IF($A$5&lt;=$K$5,INDIRECT("BP"&amp;$A$5-1&amp;"!P37")*(1+$K$7),0)</f>
        <v>0</v>
      </c>
      <c r="Q37" s="389"/>
      <c r="R37" s="136" t="s">
        <v>500</v>
      </c>
    </row>
    <row r="38" spans="1:18" s="5" customFormat="1" ht="14.25" customHeight="1">
      <c r="A38" s="252" t="s">
        <v>4</v>
      </c>
      <c r="B38" s="462">
        <f>IF($A$5&lt;=$K$5,'BP4'!B38,0)</f>
        <v>0</v>
      </c>
      <c r="C38" s="204" t="s">
        <v>464</v>
      </c>
      <c r="D38" s="240" t="str">
        <f>"Graduate Student"&amp;IF(B38&gt;0,"s",)</f>
        <v>Graduate Student</v>
      </c>
      <c r="E38" s="251"/>
      <c r="F38" s="251"/>
      <c r="G38" s="534">
        <v>12</v>
      </c>
      <c r="H38" s="222">
        <f>IF($A$5&lt;=$K$5,(IF('BP4'!H38&lt;&gt;'BP4'!B38*12,'BP4'!H38,B38*12)),0)</f>
        <v>0</v>
      </c>
      <c r="I38" s="223"/>
      <c r="J38" s="223"/>
      <c r="K38" s="162">
        <f t="shared" ca="1" si="4"/>
        <v>0</v>
      </c>
      <c r="L38" s="163">
        <f>IF($A$5&lt;=$K$5,K38*LOOKUP($K$8,Lists!$A$2:$A$812,Lists!$F$2:$F$812),0)</f>
        <v>0</v>
      </c>
      <c r="M38" s="276">
        <f>IF(B38&gt;0,'BP1'!M38,)</f>
        <v>0</v>
      </c>
      <c r="N38" s="162">
        <f t="shared" ca="1" si="5"/>
        <v>0</v>
      </c>
      <c r="O38" s="163">
        <f ca="1">N38*LOOKUP($K$8,Lists!$A$2:$A$812,Lists!$F$2:$F$812)</f>
        <v>0</v>
      </c>
      <c r="P38" s="229">
        <f ca="1">IF($A$5&lt;=$K$5,INDIRECT("BP"&amp;$A$5-1&amp;"!P38")*(1+$K$7),0)</f>
        <v>0</v>
      </c>
      <c r="Q38" s="389"/>
      <c r="R38" s="136" t="s">
        <v>225</v>
      </c>
    </row>
    <row r="39" spans="1:18" s="5" customFormat="1" ht="14.25" customHeight="1">
      <c r="A39" s="252" t="s">
        <v>5</v>
      </c>
      <c r="B39" s="462">
        <f>IF($A$5&lt;=$K$5,'BP4'!B39,0)</f>
        <v>0</v>
      </c>
      <c r="C39" s="204" t="s">
        <v>464</v>
      </c>
      <c r="D39" s="240" t="str">
        <f>"Undergraduate Student"&amp;IF(B39&gt;0,"s",)</f>
        <v>Undergraduate Student</v>
      </c>
      <c r="E39" s="251"/>
      <c r="F39" s="251"/>
      <c r="G39" s="534">
        <v>12</v>
      </c>
      <c r="H39" s="222">
        <f>IF($A$5&lt;=$K$5,(IF('BP4'!H39&lt;&gt;'BP4'!B39*12,'BP4'!H39,B39*12)),0)</f>
        <v>0</v>
      </c>
      <c r="I39" s="223"/>
      <c r="J39" s="223"/>
      <c r="K39" s="162">
        <f t="shared" ca="1" si="4"/>
        <v>0</v>
      </c>
      <c r="L39" s="223"/>
      <c r="M39" s="276">
        <f>IF(B39&gt;0,'BP1'!M39,)</f>
        <v>0</v>
      </c>
      <c r="N39" s="162">
        <f ca="1">IFERROR(P39/12*M39,)</f>
        <v>0</v>
      </c>
      <c r="O39" s="223"/>
      <c r="P39" s="229">
        <f ca="1">IF($A$5&lt;=$K$5,INDIRECT("BP"&amp;$A$5-1&amp;"!P39")*(1+$K$7),0)</f>
        <v>0</v>
      </c>
      <c r="Q39" s="389"/>
      <c r="R39" s="136" t="s">
        <v>225</v>
      </c>
    </row>
    <row r="40" spans="1:18" s="5" customFormat="1" ht="14.25" customHeight="1" thickBot="1">
      <c r="A40" s="252" t="s">
        <v>6</v>
      </c>
      <c r="B40" s="462">
        <f>IF($A$5&lt;=$K$5,'BP4'!B40,0)</f>
        <v>0</v>
      </c>
      <c r="C40" s="204" t="s">
        <v>464</v>
      </c>
      <c r="D40" s="240" t="str">
        <f>"Other"&amp;IF(B40&gt;0,"s",)&amp;" (Carrying Statutory Benefits)"</f>
        <v>Other (Carrying Statutory Benefits)</v>
      </c>
      <c r="E40" s="251"/>
      <c r="F40" s="251"/>
      <c r="G40" s="534">
        <v>12</v>
      </c>
      <c r="H40" s="222">
        <f>IF($A$5&lt;=$K$5,(IF('BP4'!H40&lt;&gt;'BP4'!B40*12,'BP4'!H40,B40*12)),0)</f>
        <v>0</v>
      </c>
      <c r="I40" s="223"/>
      <c r="J40" s="223"/>
      <c r="K40" s="162">
        <f t="shared" ca="1" si="4"/>
        <v>0</v>
      </c>
      <c r="L40" s="163">
        <f>IF($A$5&lt;=$K$5,K40*LOOKUP($K$8,Lists!$A$2:$A$812,Lists!$E$2:$E$812),0)</f>
        <v>0</v>
      </c>
      <c r="M40" s="276">
        <f>IF(B40&gt;0,'BP1'!M40,)</f>
        <v>0</v>
      </c>
      <c r="N40" s="162">
        <f t="shared" ca="1" si="5"/>
        <v>0</v>
      </c>
      <c r="O40" s="163">
        <f ca="1">N40*LOOKUP($K$8,Lists!$A$2:$A$812,Lists!$E$2:$E$812)</f>
        <v>0</v>
      </c>
      <c r="P40" s="229">
        <f ca="1">IF($A$5&lt;=$K$5,INDIRECT("BP"&amp;$A$5-1&amp;"!P40")*(1+$K$7),0)</f>
        <v>0</v>
      </c>
      <c r="Q40" s="389"/>
      <c r="R40" s="136" t="s">
        <v>225</v>
      </c>
    </row>
    <row r="41" spans="1:18" s="5" customFormat="1" ht="14.25" customHeight="1" thickBot="1">
      <c r="A41" s="186"/>
      <c r="B41" s="204" t="s">
        <v>92</v>
      </c>
      <c r="C41" s="187"/>
      <c r="D41" s="181"/>
      <c r="E41" s="181"/>
      <c r="F41" s="181"/>
      <c r="G41" s="181"/>
      <c r="H41" s="188"/>
      <c r="I41" s="189"/>
      <c r="J41" s="187"/>
      <c r="K41" s="852">
        <f>IF($A$5&lt;=$K$5,SUM(K30:K40),0)</f>
        <v>0</v>
      </c>
      <c r="L41" s="853"/>
      <c r="M41" s="272"/>
      <c r="N41" s="867">
        <f ca="1">SUM(N30:N40)</f>
        <v>0</v>
      </c>
      <c r="O41" s="893"/>
      <c r="R41" s="136" t="s">
        <v>225</v>
      </c>
    </row>
    <row r="42" spans="1:18" s="5" customFormat="1" ht="14.25" customHeight="1" thickBot="1">
      <c r="A42" s="209" t="s">
        <v>93</v>
      </c>
      <c r="B42" s="187"/>
      <c r="C42" s="187"/>
      <c r="D42" s="178"/>
      <c r="E42" s="178"/>
      <c r="F42" s="190"/>
      <c r="G42" s="191"/>
      <c r="H42" s="192"/>
      <c r="I42" s="189"/>
      <c r="J42" s="187"/>
      <c r="K42" s="852">
        <f>IF($A$5&lt;=$K$5,SUM(L30:L40),0)</f>
        <v>0</v>
      </c>
      <c r="L42" s="853"/>
      <c r="M42" s="272"/>
      <c r="N42" s="867">
        <f ca="1">SUM(O30:O40)</f>
        <v>0</v>
      </c>
      <c r="O42" s="893"/>
      <c r="R42" s="136" t="s">
        <v>225</v>
      </c>
    </row>
    <row r="43" spans="1:18" s="5" customFormat="1" ht="14.25" customHeight="1" thickBot="1">
      <c r="A43" s="170"/>
      <c r="B43" s="210" t="s">
        <v>212</v>
      </c>
      <c r="C43" s="171"/>
      <c r="D43" s="172"/>
      <c r="E43" s="172"/>
      <c r="F43" s="172"/>
      <c r="G43" s="172"/>
      <c r="H43" s="171"/>
      <c r="I43" s="171"/>
      <c r="J43" s="171"/>
      <c r="K43" s="852">
        <f>IF($A$5&lt;=$K$5,SUM(K41:K42),0)</f>
        <v>0</v>
      </c>
      <c r="L43" s="853"/>
      <c r="M43" s="272"/>
      <c r="N43" s="867">
        <f ca="1">SUM(N41:N42)</f>
        <v>0</v>
      </c>
      <c r="O43" s="893"/>
      <c r="R43" s="136" t="s">
        <v>225</v>
      </c>
    </row>
    <row r="44" spans="1:18" s="5" customFormat="1" ht="14.25" customHeight="1" thickBot="1">
      <c r="A44" s="207" t="s">
        <v>213</v>
      </c>
      <c r="B44" s="166"/>
      <c r="C44" s="166"/>
      <c r="D44" s="167"/>
      <c r="E44" s="167"/>
      <c r="F44" s="167"/>
      <c r="G44" s="167"/>
      <c r="H44" s="166"/>
      <c r="I44" s="182"/>
      <c r="J44" s="166"/>
      <c r="K44" s="62"/>
      <c r="L44" s="63"/>
      <c r="M44" s="272"/>
      <c r="N44" s="35"/>
      <c r="O44" s="36"/>
      <c r="R44" s="136" t="s">
        <v>225</v>
      </c>
    </row>
    <row r="45" spans="1:18" s="5" customFormat="1" ht="14.25" customHeight="1" thickBot="1">
      <c r="A45" s="185"/>
      <c r="B45" s="934"/>
      <c r="C45" s="935"/>
      <c r="D45" s="935"/>
      <c r="E45" s="935"/>
      <c r="F45" s="936"/>
      <c r="G45" s="183"/>
      <c r="H45" s="183"/>
      <c r="I45" s="211" t="s">
        <v>162</v>
      </c>
      <c r="J45" s="184"/>
      <c r="K45" s="962"/>
      <c r="L45" s="963"/>
      <c r="M45" s="272"/>
      <c r="N45" s="776"/>
      <c r="O45" s="777"/>
      <c r="R45" s="136" t="s">
        <v>225</v>
      </c>
    </row>
    <row r="46" spans="1:18" s="5" customFormat="1" ht="14.25" hidden="1" customHeight="1" thickBot="1">
      <c r="A46" s="185"/>
      <c r="B46" s="934"/>
      <c r="C46" s="935"/>
      <c r="D46" s="935"/>
      <c r="E46" s="935"/>
      <c r="F46" s="936"/>
      <c r="G46" s="183"/>
      <c r="H46" s="183"/>
      <c r="I46" s="211" t="s">
        <v>163</v>
      </c>
      <c r="J46" s="184"/>
      <c r="K46" s="962"/>
      <c r="L46" s="963"/>
      <c r="M46" s="272"/>
      <c r="N46" s="776"/>
      <c r="O46" s="777"/>
      <c r="R46" s="136" t="s">
        <v>494</v>
      </c>
    </row>
    <row r="47" spans="1:18" s="5" customFormat="1" ht="14.25" hidden="1" customHeight="1" thickBot="1">
      <c r="A47" s="185"/>
      <c r="B47" s="934"/>
      <c r="C47" s="935"/>
      <c r="D47" s="935"/>
      <c r="E47" s="935"/>
      <c r="F47" s="936"/>
      <c r="G47" s="183"/>
      <c r="H47" s="183"/>
      <c r="I47" s="211" t="s">
        <v>164</v>
      </c>
      <c r="J47" s="184"/>
      <c r="K47" s="962"/>
      <c r="L47" s="963"/>
      <c r="M47" s="272"/>
      <c r="N47" s="776"/>
      <c r="O47" s="777"/>
      <c r="R47" s="136" t="s">
        <v>494</v>
      </c>
    </row>
    <row r="48" spans="1:18" s="5" customFormat="1" ht="14.25" hidden="1" customHeight="1" thickBot="1">
      <c r="A48" s="185"/>
      <c r="B48" s="934"/>
      <c r="C48" s="935"/>
      <c r="D48" s="935"/>
      <c r="E48" s="935"/>
      <c r="F48" s="936"/>
      <c r="G48" s="183"/>
      <c r="H48" s="183"/>
      <c r="I48" s="211" t="s">
        <v>165</v>
      </c>
      <c r="J48" s="184"/>
      <c r="K48" s="962"/>
      <c r="L48" s="963"/>
      <c r="M48" s="272"/>
      <c r="N48" s="776"/>
      <c r="O48" s="777"/>
      <c r="R48" s="136" t="s">
        <v>494</v>
      </c>
    </row>
    <row r="49" spans="1:18" s="5" customFormat="1" ht="14.25" hidden="1" customHeight="1" thickBot="1">
      <c r="A49" s="185"/>
      <c r="B49" s="934"/>
      <c r="C49" s="935"/>
      <c r="D49" s="935"/>
      <c r="E49" s="935"/>
      <c r="F49" s="936"/>
      <c r="G49" s="183"/>
      <c r="H49" s="183"/>
      <c r="I49" s="211" t="s">
        <v>166</v>
      </c>
      <c r="J49" s="184"/>
      <c r="K49" s="962"/>
      <c r="L49" s="963"/>
      <c r="M49" s="272"/>
      <c r="N49" s="776"/>
      <c r="O49" s="777"/>
      <c r="R49" s="136" t="s">
        <v>494</v>
      </c>
    </row>
    <row r="50" spans="1:18" s="5" customFormat="1" ht="14.25" customHeight="1" thickBot="1">
      <c r="A50" s="176"/>
      <c r="B50" s="202" t="s">
        <v>214</v>
      </c>
      <c r="C50" s="177"/>
      <c r="D50" s="169"/>
      <c r="E50" s="169"/>
      <c r="F50" s="169"/>
      <c r="G50" s="169"/>
      <c r="H50" s="169"/>
      <c r="I50" s="169"/>
      <c r="J50" s="169"/>
      <c r="K50" s="862">
        <f>SUM(K45:K49)</f>
        <v>0</v>
      </c>
      <c r="L50" s="853"/>
      <c r="M50" s="272"/>
      <c r="N50" s="900">
        <f>SUM(N45:N49)</f>
        <v>0</v>
      </c>
      <c r="O50" s="901"/>
      <c r="R50" s="136" t="s">
        <v>225</v>
      </c>
    </row>
    <row r="51" spans="1:18" s="5" customFormat="1" ht="14.25" customHeight="1">
      <c r="A51" s="212" t="s">
        <v>215</v>
      </c>
      <c r="B51" s="210"/>
      <c r="C51" s="210"/>
      <c r="D51" s="526"/>
      <c r="E51" s="526"/>
      <c r="F51" s="214"/>
      <c r="G51" s="440" t="s">
        <v>465</v>
      </c>
      <c r="H51" s="858" t="s">
        <v>94</v>
      </c>
      <c r="I51" s="859"/>
      <c r="J51" s="859"/>
      <c r="K51" s="854">
        <f>IF($A$5&lt;=$K$5,(IF(SUM('Travel Calculator'!$L$14:$M$14)&gt;0,('Travel Calculator'!$L$13*(1-'Travel Calculator'!$N$4)),'BP4'!$K$51)),)</f>
        <v>0</v>
      </c>
      <c r="L51" s="855"/>
      <c r="M51" s="272"/>
      <c r="N51" s="854">
        <f>IF($A$5&lt;=$K$5,(IF(SUM('Travel Calculator'!$L$14:$M$14)&gt;0,('Travel Calculator'!$L$13*('Travel Calculator'!$N$4)),'BP4'!$N$51)),)</f>
        <v>0</v>
      </c>
      <c r="O51" s="855"/>
      <c r="R51" s="136" t="s">
        <v>225</v>
      </c>
    </row>
    <row r="52" spans="1:18" s="5" customFormat="1" ht="14.25" customHeight="1" thickBot="1">
      <c r="A52" s="212"/>
      <c r="B52" s="210"/>
      <c r="C52" s="210"/>
      <c r="D52" s="526"/>
      <c r="E52" s="526"/>
      <c r="F52" s="438"/>
      <c r="G52" s="440" t="s">
        <v>466</v>
      </c>
      <c r="H52" s="858" t="s">
        <v>95</v>
      </c>
      <c r="I52" s="859"/>
      <c r="J52" s="859"/>
      <c r="K52" s="864">
        <f>IF($A$5&lt;=$K$5,(IF(SUM('Travel Calculator'!$L$14:$M$14)&gt;0,('Travel Calculator'!$M$13*(1-'Travel Calculator'!$N$4)),'BP4'!$K$52)),)</f>
        <v>0</v>
      </c>
      <c r="L52" s="865"/>
      <c r="M52" s="272"/>
      <c r="N52" s="864">
        <f>IF($A$5&lt;=$K$5,(IF(SUM('Travel Calculator'!$L$14:$M$14)&gt;0,('Travel Calculator'!$M$13*('Travel Calculator'!$N$4)),'BP4'!$N$52)),)</f>
        <v>0</v>
      </c>
      <c r="O52" s="865"/>
      <c r="R52" s="136" t="s">
        <v>225</v>
      </c>
    </row>
    <row r="53" spans="1:18" s="5" customFormat="1" ht="14.25" customHeight="1" thickBot="1">
      <c r="A53" s="196"/>
      <c r="B53" s="202"/>
      <c r="C53" s="202"/>
      <c r="D53" s="527"/>
      <c r="E53" s="527"/>
      <c r="F53" s="527"/>
      <c r="G53" s="527"/>
      <c r="H53" s="860" t="s">
        <v>110</v>
      </c>
      <c r="I53" s="860"/>
      <c r="J53" s="861"/>
      <c r="K53" s="852">
        <f>IF($A$5&lt;=$K$5,K51+K52,0)</f>
        <v>0</v>
      </c>
      <c r="L53" s="853"/>
      <c r="M53" s="272"/>
      <c r="N53" s="867">
        <f>N51+N52</f>
        <v>0</v>
      </c>
      <c r="O53" s="893"/>
      <c r="R53" s="136" t="s">
        <v>225</v>
      </c>
    </row>
    <row r="54" spans="1:18" s="5" customFormat="1" ht="14.25" customHeight="1">
      <c r="A54" s="212" t="s">
        <v>216</v>
      </c>
      <c r="B54" s="210"/>
      <c r="C54" s="210"/>
      <c r="D54" s="239"/>
      <c r="E54" s="239"/>
      <c r="F54" s="239"/>
      <c r="G54" s="239"/>
      <c r="H54" s="210"/>
      <c r="I54" s="217"/>
      <c r="J54" s="210"/>
      <c r="K54" s="66"/>
      <c r="L54" s="67"/>
      <c r="M54" s="272"/>
      <c r="N54" s="37"/>
      <c r="O54" s="38"/>
      <c r="R54" s="136" t="s">
        <v>225</v>
      </c>
    </row>
    <row r="55" spans="1:18" s="5" customFormat="1" ht="14.25" customHeight="1">
      <c r="A55" s="212"/>
      <c r="B55" s="218">
        <v>1</v>
      </c>
      <c r="C55" s="780" t="str">
        <f>'BP1'!C55</f>
        <v>Materials and Supplies</v>
      </c>
      <c r="D55" s="780"/>
      <c r="E55" s="780"/>
      <c r="F55" s="780"/>
      <c r="G55" s="780"/>
      <c r="H55" s="780"/>
      <c r="I55" s="780"/>
      <c r="J55" s="858"/>
      <c r="K55" s="968">
        <f>IF($A$5&lt;=$K$5,'BP4'!K55,0)</f>
        <v>0</v>
      </c>
      <c r="L55" s="963"/>
      <c r="M55" s="272"/>
      <c r="N55" s="776">
        <f>IF($A$5&lt;='BP1'!$K$5,'BP1'!N55,0)</f>
        <v>0</v>
      </c>
      <c r="O55" s="777"/>
      <c r="R55" s="136" t="s">
        <v>225</v>
      </c>
    </row>
    <row r="56" spans="1:18" s="5" customFormat="1" ht="14.25" customHeight="1">
      <c r="A56" s="212"/>
      <c r="B56" s="218">
        <v>2</v>
      </c>
      <c r="C56" s="780" t="str">
        <f>'BP1'!C56</f>
        <v>Publication Costs</v>
      </c>
      <c r="D56" s="780"/>
      <c r="E56" s="780"/>
      <c r="F56" s="780"/>
      <c r="G56" s="780"/>
      <c r="H56" s="780"/>
      <c r="I56" s="780"/>
      <c r="J56" s="858"/>
      <c r="K56" s="968">
        <f>IF($A$5&lt;=$K$5,'BP4'!K56,0)</f>
        <v>0</v>
      </c>
      <c r="L56" s="963"/>
      <c r="M56" s="272"/>
      <c r="N56" s="776">
        <f>IF($A$5&lt;='BP1'!$K$5,'BP1'!N56,0)</f>
        <v>0</v>
      </c>
      <c r="O56" s="777"/>
      <c r="R56" s="136" t="s">
        <v>225</v>
      </c>
    </row>
    <row r="57" spans="1:18" s="5" customFormat="1" ht="14.25" customHeight="1">
      <c r="A57" s="212"/>
      <c r="B57" s="218">
        <v>3</v>
      </c>
      <c r="C57" s="780" t="str">
        <f>'BP1'!C57</f>
        <v>Consultant Services</v>
      </c>
      <c r="D57" s="780"/>
      <c r="E57" s="780"/>
      <c r="F57" s="780"/>
      <c r="G57" s="780"/>
      <c r="H57" s="780"/>
      <c r="I57" s="780"/>
      <c r="J57" s="858"/>
      <c r="K57" s="968">
        <f>IF($A$5&lt;=$K$5,'BP4'!K57,0)</f>
        <v>0</v>
      </c>
      <c r="L57" s="963"/>
      <c r="M57" s="272"/>
      <c r="N57" s="776">
        <f>IF($A$5&lt;='BP1'!$K$5,'BP1'!N57,0)</f>
        <v>0</v>
      </c>
      <c r="O57" s="777"/>
      <c r="R57" s="136" t="s">
        <v>225</v>
      </c>
    </row>
    <row r="58" spans="1:18" s="5" customFormat="1" ht="14.25" customHeight="1">
      <c r="A58" s="212"/>
      <c r="B58" s="218">
        <v>4</v>
      </c>
      <c r="C58" s="780" t="str">
        <f>'BP1'!C58</f>
        <v>Computer Services</v>
      </c>
      <c r="D58" s="780"/>
      <c r="E58" s="780"/>
      <c r="F58" s="780"/>
      <c r="G58" s="780"/>
      <c r="H58" s="780"/>
      <c r="I58" s="780"/>
      <c r="J58" s="858"/>
      <c r="K58" s="968">
        <f>IF($A$5&lt;=$K$5,'BP4'!K58,0)</f>
        <v>0</v>
      </c>
      <c r="L58" s="963"/>
      <c r="M58" s="272"/>
      <c r="N58" s="776">
        <f>IF($A$5&lt;='BP1'!$K$5,'BP1'!N58,0)</f>
        <v>0</v>
      </c>
      <c r="O58" s="777"/>
      <c r="R58" s="136" t="s">
        <v>225</v>
      </c>
    </row>
    <row r="59" spans="1:18" s="5" customFormat="1" ht="14.25" customHeight="1">
      <c r="A59" s="212"/>
      <c r="B59" s="218">
        <v>5</v>
      </c>
      <c r="C59" s="780" t="s">
        <v>221</v>
      </c>
      <c r="D59" s="780"/>
      <c r="E59" s="780"/>
      <c r="F59" s="780"/>
      <c r="G59" s="780"/>
      <c r="H59" s="780"/>
      <c r="I59" s="780"/>
      <c r="J59" s="858"/>
      <c r="K59" s="964">
        <f>IF($A$5&lt;=$K$5,SUM((H38/12)*LOOKUP(K8,Lists!A2:A812,Lists!K2:K812)),0)</f>
        <v>0</v>
      </c>
      <c r="L59" s="964"/>
      <c r="M59" s="272"/>
      <c r="N59" s="917">
        <f>IF($A$5&lt;='BP1'!$K$5,SUM((M38/12)*LOOKUP(K8,Lists!A2:A812,Lists!K2:K812)),0)</f>
        <v>0</v>
      </c>
      <c r="O59" s="937"/>
      <c r="P59" s="8"/>
      <c r="Q59" s="8"/>
      <c r="R59" s="136" t="s">
        <v>225</v>
      </c>
    </row>
    <row r="60" spans="1:18" s="5" customFormat="1" ht="14.25" customHeight="1">
      <c r="A60" s="212"/>
      <c r="B60" s="218">
        <v>6</v>
      </c>
      <c r="C60" s="780" t="str">
        <f>'BP1'!C60</f>
        <v>MTDC Other</v>
      </c>
      <c r="D60" s="780"/>
      <c r="E60" s="780"/>
      <c r="F60" s="780"/>
      <c r="G60" s="780"/>
      <c r="H60" s="780"/>
      <c r="I60" s="780"/>
      <c r="J60" s="858"/>
      <c r="K60" s="919">
        <f>IF($A$5&lt;=$K$5,'BP4'!K60,0)</f>
        <v>0</v>
      </c>
      <c r="L60" s="919"/>
      <c r="M60" s="272"/>
      <c r="N60" s="776">
        <f>IF($A$5&lt;='BP1'!$K$5,'BP1'!N60,0)</f>
        <v>0</v>
      </c>
      <c r="O60" s="777"/>
      <c r="P60" s="8"/>
      <c r="Q60" s="8"/>
      <c r="R60" s="136" t="s">
        <v>225</v>
      </c>
    </row>
    <row r="61" spans="1:18" s="5" customFormat="1" ht="14.25" customHeight="1" thickBot="1">
      <c r="A61" s="212"/>
      <c r="B61" s="218">
        <v>7</v>
      </c>
      <c r="C61" s="780" t="str">
        <f>'BP1'!C61</f>
        <v>Non-MTDC Other (no indirect costs)</v>
      </c>
      <c r="D61" s="780"/>
      <c r="E61" s="780"/>
      <c r="F61" s="780"/>
      <c r="G61" s="780"/>
      <c r="H61" s="780"/>
      <c r="I61" s="780"/>
      <c r="J61" s="858"/>
      <c r="K61" s="968">
        <f>IF($A$5&lt;=$K$5,'BP4'!K61,0)</f>
        <v>0</v>
      </c>
      <c r="L61" s="963"/>
      <c r="M61" s="272"/>
      <c r="N61" s="776">
        <f>IF($A$5&lt;='BP1'!$K$5,'BP1'!N61,0)</f>
        <v>0</v>
      </c>
      <c r="O61" s="777"/>
      <c r="P61" s="219" t="s">
        <v>149</v>
      </c>
      <c r="Q61" s="391"/>
      <c r="R61" s="136" t="s">
        <v>225</v>
      </c>
    </row>
    <row r="62" spans="1:18" s="5" customFormat="1" ht="14.25" customHeight="1" thickBot="1">
      <c r="A62" s="170"/>
      <c r="B62" s="241">
        <v>8</v>
      </c>
      <c r="C62" s="780" t="s">
        <v>573</v>
      </c>
      <c r="D62" s="780"/>
      <c r="E62" s="778" t="s">
        <v>298</v>
      </c>
      <c r="F62" s="779"/>
      <c r="G62" s="768">
        <f>'Subaward Calculator'!B8</f>
        <v>0</v>
      </c>
      <c r="H62" s="769"/>
      <c r="I62" s="770"/>
      <c r="J62" s="299">
        <f>IF(('BP4'!K62+'BP3'!K62+'BP2'!K62+'BP1'!K62)&lt;25000,25000-('BP4'!K62+'BP3'!K62+'BP2'!K62+'BP1'!K62),0)</f>
        <v>25000</v>
      </c>
      <c r="K62" s="771">
        <f>IF(AND(SUM('BP4'!K62)&gt;0,'Subaward Calculator'!AD9=0,'BP1'!K5&gt;4),'BP4'!K62,'Subaward Calculator'!Y9)</f>
        <v>0</v>
      </c>
      <c r="L62" s="772"/>
      <c r="M62" s="272"/>
      <c r="N62" s="922">
        <f>IF(AND(SUM('BP4'!N62)&gt;0,'Subaward Calculator'!AF9=0,'BP1'!K5&gt;4),'BP4'!N62,'Subaward Calculator'!AA9)</f>
        <v>0</v>
      </c>
      <c r="O62" s="923"/>
      <c r="P62" s="592">
        <f>'Subaward Calculator'!B9</f>
        <v>0</v>
      </c>
      <c r="Q62" s="397"/>
      <c r="R62" s="136" t="s">
        <v>225</v>
      </c>
    </row>
    <row r="63" spans="1:18" s="5" customFormat="1" ht="14.25" hidden="1" customHeight="1" thickBot="1">
      <c r="A63" s="212"/>
      <c r="B63" s="271"/>
      <c r="C63" s="780" t="s">
        <v>574</v>
      </c>
      <c r="D63" s="780"/>
      <c r="E63" s="778" t="s">
        <v>298</v>
      </c>
      <c r="F63" s="779"/>
      <c r="G63" s="768">
        <f>'Subaward Calculator'!B11</f>
        <v>0</v>
      </c>
      <c r="H63" s="769"/>
      <c r="I63" s="770"/>
      <c r="J63" s="299">
        <f>IF(('BP4'!K63+'BP3'!K63+'BP2'!K63+'BP1'!K63)&lt;25000,25000-('BP4'!K63+'BP3'!K63+'BP2'!K63+'BP1'!K63),0)</f>
        <v>25000</v>
      </c>
      <c r="K63" s="771">
        <f>IF(AND(SUM('BP4'!K63)&gt;0,'Subaward Calculator'!AD12=0,'BP1'!K5&gt;4),'BP4'!K63,'Subaward Calculator'!Y12)</f>
        <v>0</v>
      </c>
      <c r="L63" s="772"/>
      <c r="M63" s="272"/>
      <c r="N63" s="922" t="str">
        <f>IF(AND(SUM('BP4'!N63)&gt;0,'Subaward Calculator'!AF12=0,'BP1'!K5&gt;4),'BP4'!N63,'Subaward Calculator'!AA12)</f>
        <v/>
      </c>
      <c r="O63" s="923"/>
      <c r="P63" s="592">
        <f>'Subaward Calculator'!B12</f>
        <v>0</v>
      </c>
      <c r="Q63" s="397"/>
      <c r="R63" s="136" t="s">
        <v>228</v>
      </c>
    </row>
    <row r="64" spans="1:18" s="5" customFormat="1" ht="14.25" hidden="1" customHeight="1" thickBot="1">
      <c r="A64" s="170"/>
      <c r="B64" s="241"/>
      <c r="C64" s="780" t="s">
        <v>575</v>
      </c>
      <c r="D64" s="780"/>
      <c r="E64" s="778" t="s">
        <v>298</v>
      </c>
      <c r="F64" s="779"/>
      <c r="G64" s="768">
        <f>'Subaward Calculator'!B14</f>
        <v>0</v>
      </c>
      <c r="H64" s="769"/>
      <c r="I64" s="770"/>
      <c r="J64" s="299">
        <f>IF(('BP4'!K64+'BP3'!K64+'BP2'!K64+'BP1'!K64)&lt;25000,25000-('BP4'!K64+'BP3'!K64+'BP2'!K64+'BP1'!K64),0)</f>
        <v>25000</v>
      </c>
      <c r="K64" s="771">
        <f>IF(AND(SUM('BP4'!K64)&gt;0,'Subaward Calculator'!AD15=0,'BP1'!K5&gt;4),'BP4'!K64,'Subaward Calculator'!Y15)</f>
        <v>0</v>
      </c>
      <c r="L64" s="772"/>
      <c r="M64" s="272"/>
      <c r="N64" s="922" t="str">
        <f>IF(AND(SUM('BP4'!N64)&gt;0,'Subaward Calculator'!AF15=0,'BP1'!K5&gt;4),'BP4'!N64,'Subaward Calculator'!AA15)</f>
        <v/>
      </c>
      <c r="O64" s="923"/>
      <c r="P64" s="592">
        <f>'Subaward Calculator'!B15</f>
        <v>0</v>
      </c>
      <c r="Q64" s="397"/>
      <c r="R64" s="136" t="s">
        <v>228</v>
      </c>
    </row>
    <row r="65" spans="1:18" s="5" customFormat="1" ht="14.25" hidden="1" customHeight="1" thickBot="1">
      <c r="A65" s="170"/>
      <c r="B65" s="241"/>
      <c r="C65" s="780" t="s">
        <v>576</v>
      </c>
      <c r="D65" s="780"/>
      <c r="E65" s="778" t="s">
        <v>298</v>
      </c>
      <c r="F65" s="779"/>
      <c r="G65" s="768">
        <f>'Subaward Calculator'!B17</f>
        <v>0</v>
      </c>
      <c r="H65" s="769"/>
      <c r="I65" s="770"/>
      <c r="J65" s="299">
        <f>IF(('BP4'!$K$65+'BP3'!$K$65+'BP2'!$K$65+'BP1'!$K$65)&lt;25000,25000-('BP4'!$K$65+'BP3'!$K$65+'BP2'!$K$65+'BP1'!$K$65),0)</f>
        <v>25000</v>
      </c>
      <c r="K65" s="771">
        <f>IF(AND(SUM('BP4'!K65)&gt;0,'Subaward Calculator'!AD18=0,'BP1'!K5&gt;4),'BP4'!K65,'Subaward Calculator'!Y18)</f>
        <v>0</v>
      </c>
      <c r="L65" s="772"/>
      <c r="M65" s="272"/>
      <c r="N65" s="922" t="str">
        <f>IF(AND(SUM('BP4'!N65)&gt;0,'Subaward Calculator'!AF18=0,'BP1'!K5&gt;4),'BP4'!N65,'Subaward Calculator'!AA18)</f>
        <v/>
      </c>
      <c r="O65" s="923"/>
      <c r="P65" s="592">
        <f>'Subaward Calculator'!B18</f>
        <v>0</v>
      </c>
      <c r="Q65" s="397"/>
      <c r="R65" s="136" t="s">
        <v>228</v>
      </c>
    </row>
    <row r="66" spans="1:18" s="5" customFormat="1" ht="14.25" hidden="1" customHeight="1" thickBot="1">
      <c r="A66" s="170"/>
      <c r="B66" s="241"/>
      <c r="C66" s="780" t="s">
        <v>577</v>
      </c>
      <c r="D66" s="780"/>
      <c r="E66" s="778" t="s">
        <v>298</v>
      </c>
      <c r="F66" s="779"/>
      <c r="G66" s="768">
        <f>'Subaward Calculator'!B20</f>
        <v>0</v>
      </c>
      <c r="H66" s="769"/>
      <c r="I66" s="770"/>
      <c r="J66" s="299">
        <f>IF(('BP4'!$K$66+'BP3'!$K$66+'BP2'!$K$66+'BP1'!$K$66)&lt;25000,25000-('BP4'!$K$66+'BP3'!$K$66+'BP2'!$K$66+'BP1'!$K$66),0)</f>
        <v>25000</v>
      </c>
      <c r="K66" s="771">
        <f>IF(AND(SUM('BP4'!K66)&gt;0,'Subaward Calculator'!AD21=0,'BP1'!K5&gt;4),'BP4'!K66,'Subaward Calculator'!Y21)</f>
        <v>0</v>
      </c>
      <c r="L66" s="772"/>
      <c r="M66" s="272"/>
      <c r="N66" s="922" t="str">
        <f>IF(AND(SUM('BP4'!N66)&gt;0,'Subaward Calculator'!AF21=0,'BP1'!K5&gt;4),'BP4'!N66,'Subaward Calculator'!AA21)</f>
        <v/>
      </c>
      <c r="O66" s="923"/>
      <c r="P66" s="592">
        <f>'Subaward Calculator'!B21</f>
        <v>0</v>
      </c>
      <c r="Q66" s="397"/>
      <c r="R66" s="136" t="s">
        <v>228</v>
      </c>
    </row>
    <row r="67" spans="1:18" s="5" customFormat="1" ht="14.25" hidden="1" customHeight="1" thickBot="1">
      <c r="A67" s="170"/>
      <c r="B67" s="241"/>
      <c r="C67" s="780" t="s">
        <v>578</v>
      </c>
      <c r="D67" s="780"/>
      <c r="E67" s="778" t="s">
        <v>298</v>
      </c>
      <c r="F67" s="779"/>
      <c r="G67" s="768">
        <f>'Subaward Calculator'!B23</f>
        <v>0</v>
      </c>
      <c r="H67" s="769"/>
      <c r="I67" s="770"/>
      <c r="J67" s="299">
        <f>IF(('BP4'!$K$67+'BP3'!$K$67+'BP2'!$K$67+'BP1'!$K$67)&lt;25000,25000-('BP4'!$K$67+'BP3'!$K$67+'BP2'!$K$67+'BP1'!$K$67),0)</f>
        <v>25000</v>
      </c>
      <c r="K67" s="771">
        <f>IF(AND(SUM('BP4'!K67)&gt;0,'Subaward Calculator'!AD24=0,'BP1'!K5&gt;4),'BP4'!K67,'Subaward Calculator'!Y24)</f>
        <v>0</v>
      </c>
      <c r="L67" s="772"/>
      <c r="M67" s="272"/>
      <c r="N67" s="922" t="str">
        <f>IF(AND(SUM('BP4'!N67)&gt;0,'Subaward Calculator'!AF24=0,'BP1'!K5&gt;4),'BP4'!N67,'Subaward Calculator'!AA24)</f>
        <v/>
      </c>
      <c r="O67" s="923"/>
      <c r="P67" s="592">
        <f>'Subaward Calculator'!B24</f>
        <v>0</v>
      </c>
      <c r="Q67" s="397"/>
      <c r="R67" s="136" t="s">
        <v>228</v>
      </c>
    </row>
    <row r="68" spans="1:18" s="5" customFormat="1" ht="14.25" hidden="1" customHeight="1" thickBot="1">
      <c r="A68" s="170"/>
      <c r="B68" s="241"/>
      <c r="C68" s="780" t="s">
        <v>579</v>
      </c>
      <c r="D68" s="780"/>
      <c r="E68" s="778" t="s">
        <v>298</v>
      </c>
      <c r="F68" s="779"/>
      <c r="G68" s="768">
        <f>'Subaward Calculator'!B26</f>
        <v>0</v>
      </c>
      <c r="H68" s="769"/>
      <c r="I68" s="770"/>
      <c r="J68" s="299">
        <f>IF(('BP4'!$K$68+'BP3'!$K$68+'BP2'!$K$68+'BP1'!$K$68)&lt;25000,25000-('BP4'!$K$68+'BP3'!$K$68+'BP2'!$K$68+'BP1'!$K$68),0)</f>
        <v>25000</v>
      </c>
      <c r="K68" s="771">
        <f>IF(AND(SUM('BP4'!K68)&gt;0,'Subaward Calculator'!AD27=0,'BP1'!K5&gt;4),'BP4'!K68,'Subaward Calculator'!Y27)</f>
        <v>0</v>
      </c>
      <c r="L68" s="772"/>
      <c r="M68" s="272"/>
      <c r="N68" s="922" t="str">
        <f>IF(AND(SUM('BP4'!N68)&gt;0,'Subaward Calculator'!AF27=0,'BP1'!K5&gt;4),'BP4'!N68,'Subaward Calculator'!AA27)</f>
        <v/>
      </c>
      <c r="O68" s="923"/>
      <c r="P68" s="592">
        <f>'Subaward Calculator'!B27</f>
        <v>0</v>
      </c>
      <c r="Q68" s="397"/>
      <c r="R68" s="136" t="s">
        <v>229</v>
      </c>
    </row>
    <row r="69" spans="1:18" s="5" customFormat="1" ht="14.25" hidden="1" customHeight="1" thickBot="1">
      <c r="A69" s="170"/>
      <c r="B69" s="241"/>
      <c r="C69" s="780" t="s">
        <v>580</v>
      </c>
      <c r="D69" s="780"/>
      <c r="E69" s="778" t="s">
        <v>298</v>
      </c>
      <c r="F69" s="779"/>
      <c r="G69" s="768">
        <f>'Subaward Calculator'!B29</f>
        <v>0</v>
      </c>
      <c r="H69" s="769"/>
      <c r="I69" s="770"/>
      <c r="J69" s="299">
        <f>IF(('BP4'!$K$69+'BP3'!$K$69+'BP2'!$K$69+'BP1'!$K$69)&lt;25000,25000-('BP4'!$K$69+'BP3'!$K$69+'BP2'!$K$69+'BP1'!$K$69),0)</f>
        <v>25000</v>
      </c>
      <c r="K69" s="771">
        <f>IF(AND(SUM('BP4'!K69)&gt;0,'Subaward Calculator'!AD30=0,'BP1'!K5&gt;4),'BP4'!K69,'Subaward Calculator'!Y30)</f>
        <v>0</v>
      </c>
      <c r="L69" s="772"/>
      <c r="M69" s="272"/>
      <c r="N69" s="922" t="str">
        <f>IF(AND(SUM('BP4'!N69)&gt;0,'Subaward Calculator'!AF30=0,'BP1'!K5&gt;4),'BP4'!N69,'Subaward Calculator'!AA30)</f>
        <v/>
      </c>
      <c r="O69" s="923"/>
      <c r="P69" s="592">
        <f>'Subaward Calculator'!B30</f>
        <v>0</v>
      </c>
      <c r="Q69" s="397"/>
      <c r="R69" s="136" t="s">
        <v>229</v>
      </c>
    </row>
    <row r="70" spans="1:18" s="5" customFormat="1" ht="14.25" hidden="1" customHeight="1" thickBot="1">
      <c r="A70" s="170"/>
      <c r="B70" s="241"/>
      <c r="C70" s="780" t="s">
        <v>581</v>
      </c>
      <c r="D70" s="780"/>
      <c r="E70" s="778" t="s">
        <v>298</v>
      </c>
      <c r="F70" s="779"/>
      <c r="G70" s="768">
        <f>'Subaward Calculator'!B32</f>
        <v>0</v>
      </c>
      <c r="H70" s="769"/>
      <c r="I70" s="770"/>
      <c r="J70" s="299">
        <f>IF(('BP4'!$K$70+'BP3'!$K$70+'BP2'!$K$70+'BP1'!$K$70)&lt;25000,25000-('BP4'!$K$70+'BP3'!$K$70+'BP2'!$K$70+'BP1'!$K$70),0)</f>
        <v>25000</v>
      </c>
      <c r="K70" s="771">
        <f>IF(AND(SUM('BP4'!K70)&gt;0,'Subaward Calculator'!AD33=0,'BP1'!K5&gt;4),'BP4'!K70,'Subaward Calculator'!Y33)</f>
        <v>0</v>
      </c>
      <c r="L70" s="772"/>
      <c r="M70" s="272"/>
      <c r="N70" s="922" t="str">
        <f>IF(AND(SUM('BP4'!N70)&gt;0,'Subaward Calculator'!AF33=0,'BP1'!K5&gt;4),'BP4'!N70,'Subaward Calculator'!AA33)</f>
        <v/>
      </c>
      <c r="O70" s="923"/>
      <c r="P70" s="592">
        <f>'Subaward Calculator'!B33</f>
        <v>0</v>
      </c>
      <c r="Q70" s="397"/>
      <c r="R70" s="136" t="s">
        <v>229</v>
      </c>
    </row>
    <row r="71" spans="1:18" s="5" customFormat="1" ht="14.25" hidden="1" customHeight="1" thickBot="1">
      <c r="A71" s="170"/>
      <c r="B71" s="241"/>
      <c r="C71" s="780" t="s">
        <v>582</v>
      </c>
      <c r="D71" s="780"/>
      <c r="E71" s="778" t="s">
        <v>298</v>
      </c>
      <c r="F71" s="779"/>
      <c r="G71" s="768">
        <f>'Subaward Calculator'!B35</f>
        <v>0</v>
      </c>
      <c r="H71" s="769"/>
      <c r="I71" s="770"/>
      <c r="J71" s="299">
        <f>IF(('BP4'!$K$71+'BP3'!$K$71+'BP2'!$K$71+'BP1'!$K$71)&lt;25000,25000-('BP4'!$K$71+'BP3'!$K$71+'BP2'!$K$71+'BP1'!$K$71),0)</f>
        <v>25000</v>
      </c>
      <c r="K71" s="771">
        <f>IF(AND(SUM('BP4'!K71)&gt;0,'Subaward Calculator'!AD36=0,'BP1'!K5&gt;4),'BP4'!K71,'Subaward Calculator'!Y36)</f>
        <v>0</v>
      </c>
      <c r="L71" s="772"/>
      <c r="M71" s="272"/>
      <c r="N71" s="922" t="str">
        <f>IF(AND(SUM('BP4'!N71)&gt;0,'Subaward Calculator'!AF36=0,'BP1'!K5&gt;4),'BP4'!N71,'Subaward Calculator'!AA36)</f>
        <v/>
      </c>
      <c r="O71" s="923"/>
      <c r="P71" s="592">
        <f>'Subaward Calculator'!B36</f>
        <v>0</v>
      </c>
      <c r="Q71" s="397"/>
      <c r="R71" s="136" t="s">
        <v>229</v>
      </c>
    </row>
    <row r="72" spans="1:18" s="5" customFormat="1" ht="14.25" hidden="1" customHeight="1" thickBot="1">
      <c r="A72" s="170"/>
      <c r="B72" s="241"/>
      <c r="C72" s="780" t="s">
        <v>583</v>
      </c>
      <c r="D72" s="780"/>
      <c r="E72" s="778" t="s">
        <v>298</v>
      </c>
      <c r="F72" s="779"/>
      <c r="G72" s="768">
        <f>'Subaward Calculator'!B38</f>
        <v>0</v>
      </c>
      <c r="H72" s="769"/>
      <c r="I72" s="770"/>
      <c r="J72" s="299">
        <f>IF(('BP4'!$K$72+'BP3'!$K$72+'BP2'!$K$72+'BP1'!$K$72)&lt;25000,25000-('BP4'!$K$72+'BP3'!$K$72+'BP2'!$K$72+'BP1'!$K$72),0)</f>
        <v>25000</v>
      </c>
      <c r="K72" s="771">
        <f>IF(AND(SUM('BP4'!K72)&gt;0,'Subaward Calculator'!AD39=0,'BP1'!K5&gt;4),'BP4'!K72,'Subaward Calculator'!Y39)</f>
        <v>0</v>
      </c>
      <c r="L72" s="772"/>
      <c r="M72" s="272"/>
      <c r="N72" s="922" t="str">
        <f>IF(AND(SUM('BP4'!N72)&gt;0,'Subaward Calculator'!AF39=0,'BP1'!K5&gt;4),'BP4'!N72,'Subaward Calculator'!AA39)</f>
        <v/>
      </c>
      <c r="O72" s="923"/>
      <c r="P72" s="592">
        <f>'Subaward Calculator'!B39</f>
        <v>0</v>
      </c>
      <c r="Q72" s="397"/>
      <c r="R72" s="136" t="s">
        <v>229</v>
      </c>
    </row>
    <row r="73" spans="1:18" s="5" customFormat="1" ht="14.25" hidden="1" customHeight="1" thickBot="1">
      <c r="A73" s="170"/>
      <c r="B73" s="241"/>
      <c r="C73" s="780" t="s">
        <v>584</v>
      </c>
      <c r="D73" s="780"/>
      <c r="E73" s="778" t="s">
        <v>298</v>
      </c>
      <c r="F73" s="779"/>
      <c r="G73" s="768">
        <f>'Subaward Calculator'!B41</f>
        <v>0</v>
      </c>
      <c r="H73" s="769"/>
      <c r="I73" s="770"/>
      <c r="J73" s="299">
        <f>IF(('BP4'!$K$73+'BP3'!$K$73+'BP2'!$K$73+'BP1'!$K$73)&lt;25000,25000-('BP4'!$K$73+'BP3'!$K$73+'BP2'!$K$73+'BP1'!$K$73),0)</f>
        <v>25000</v>
      </c>
      <c r="K73" s="771">
        <f>IF(AND(SUM('BP4'!K73)&gt;0,'Subaward Calculator'!AD42=0,'BP1'!K5&gt;4),'BP4'!K73,'Subaward Calculator'!Y42)</f>
        <v>0</v>
      </c>
      <c r="L73" s="772"/>
      <c r="M73" s="272"/>
      <c r="N73" s="922" t="str">
        <f>IF(AND(SUM('BP4'!N73)&gt;0,'Subaward Calculator'!AF42=0,'BP1'!K5&gt;4),'BP4'!N73,'Subaward Calculator'!AA42)</f>
        <v/>
      </c>
      <c r="O73" s="923"/>
      <c r="P73" s="592">
        <f>'Subaward Calculator'!B42</f>
        <v>0</v>
      </c>
      <c r="Q73" s="397"/>
      <c r="R73" s="136" t="s">
        <v>229</v>
      </c>
    </row>
    <row r="74" spans="1:18" s="5" customFormat="1" ht="14.25" customHeight="1" thickBot="1">
      <c r="A74" s="212" t="s">
        <v>96</v>
      </c>
      <c r="B74" s="171"/>
      <c r="C74" s="171"/>
      <c r="D74" s="174"/>
      <c r="E74" s="175"/>
      <c r="F74" s="175"/>
      <c r="G74" s="175"/>
      <c r="H74" s="171"/>
      <c r="I74" s="173"/>
      <c r="J74" s="171"/>
      <c r="K74" s="852">
        <f>IF($A$5&lt;=$K$5,SUM(K55:$K$73),0)</f>
        <v>0</v>
      </c>
      <c r="L74" s="853"/>
      <c r="M74" s="272"/>
      <c r="N74" s="867">
        <f>SUM(N55:N73)</f>
        <v>0</v>
      </c>
      <c r="O74" s="893"/>
      <c r="R74" s="136" t="s">
        <v>225</v>
      </c>
    </row>
    <row r="75" spans="1:18" s="5" customFormat="1" ht="14.25" customHeight="1" thickBot="1">
      <c r="A75" s="212" t="s">
        <v>589</v>
      </c>
      <c r="B75" s="171"/>
      <c r="C75" s="171"/>
      <c r="D75" s="172"/>
      <c r="E75" s="172"/>
      <c r="F75" s="172"/>
      <c r="G75" s="172"/>
      <c r="H75" s="171"/>
      <c r="I75" s="173"/>
      <c r="J75" s="171"/>
      <c r="K75" s="852">
        <f>IF($A$5&lt;=$K$5,SUM(K43+K50+K53+$K$74),0)</f>
        <v>0</v>
      </c>
      <c r="L75" s="853"/>
      <c r="M75" s="272"/>
      <c r="N75" s="867">
        <f ca="1">SUM(N43+N50+N53+N74)</f>
        <v>0</v>
      </c>
      <c r="O75" s="893"/>
      <c r="R75" s="136" t="s">
        <v>225</v>
      </c>
    </row>
    <row r="76" spans="1:18" s="5" customFormat="1" ht="14.25" customHeight="1" thickBot="1">
      <c r="A76" s="212" t="str">
        <f>IF('Appendix C-Grants.gov Form Info'!J1&gt;0,IF(AND(SUM(K62:K73)&gt;0,'Subaward Calculator'!AD46=0),"","     Total NU Direct Costs and Subaward Direct Costs"),"")</f>
        <v/>
      </c>
      <c r="B76" s="171"/>
      <c r="C76" s="171"/>
      <c r="D76" s="172"/>
      <c r="E76" s="172"/>
      <c r="F76" s="253"/>
      <c r="G76" s="253"/>
      <c r="H76" s="171"/>
      <c r="I76" s="173"/>
      <c r="J76" s="171"/>
      <c r="K76" s="852" t="str">
        <f>IF('Appendix C-Grants.gov Form Info'!J1&gt;0,IF(AND(SUM(K62:K73)&gt;0,'Subaward Calculator'!AD46=0),"",IF($A$5&lt;=$K$5,SUM(K43+K50+K53+$K$74),0)-'Subaward Calculator'!Y46+'Subaward Calculator'!Y44),"")</f>
        <v/>
      </c>
      <c r="L76" s="853"/>
      <c r="M76" s="272"/>
      <c r="N76" s="6"/>
      <c r="O76" s="97"/>
      <c r="P76" s="4"/>
      <c r="Q76" s="4"/>
      <c r="R76" s="136" t="s">
        <v>225</v>
      </c>
    </row>
    <row r="77" spans="1:18" s="5" customFormat="1" ht="14.25" customHeight="1">
      <c r="A77" s="448"/>
      <c r="B77" s="449"/>
      <c r="C77" s="449"/>
      <c r="D77" s="449"/>
      <c r="E77" s="233"/>
      <c r="F77" s="450" t="str">
        <f>IF(OR($L$2="No F&amp;A",$L$2="Custom"),"","Current Fiscal Year Base Rate =")</f>
        <v>Current Fiscal Year Base Rate =</v>
      </c>
      <c r="G77" s="916">
        <f>IF($L$2="No F&amp;A",$L$2,IF($L$2="Custom","Enter Custom Rate:",(VLOOKUP((IF($K$8&gt;=DATE(YEAR($K$8),9,1),DATE(YEAR($K$8),9,1),DATE(YEAR($K$8)-1,9,1))),Lists!A:Q,(MATCH('BP1'!$K$2&amp;" "&amp;'BP1'!$L$2,Lists!$M$1:$Q$1,0)+12),1))))</f>
        <v>0.6</v>
      </c>
      <c r="H77" s="916"/>
      <c r="I77" s="856">
        <f ca="1">INDIRECT("BP"&amp;$A$5-1&amp;"!I77")</f>
        <v>0.1</v>
      </c>
      <c r="J77" s="857"/>
      <c r="K77" s="453"/>
      <c r="L77" s="65"/>
      <c r="M77" s="272"/>
      <c r="N77" s="283"/>
      <c r="O77" s="284"/>
      <c r="R77" s="136" t="s">
        <v>225</v>
      </c>
    </row>
    <row r="78" spans="1:18" s="5" customFormat="1" ht="14.25" customHeight="1" thickBot="1">
      <c r="A78" s="894" t="str">
        <f>IF(K3="MTDC","Modified Total Direct Costs (MTDC) Base =","Total Direct Costs (TDC) Base =")</f>
        <v>Modified Total Direct Costs (MTDC) Base =</v>
      </c>
      <c r="B78" s="895"/>
      <c r="C78" s="895"/>
      <c r="D78" s="895"/>
      <c r="E78" s="895"/>
      <c r="F78" s="895"/>
      <c r="G78" s="562">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68"/>
      <c r="I78" s="168"/>
      <c r="J78" s="288"/>
      <c r="K78" s="453"/>
      <c r="L78" s="454"/>
      <c r="M78" s="272"/>
      <c r="N78" s="899" t="s">
        <v>295</v>
      </c>
      <c r="O78" s="899"/>
      <c r="R78" s="136" t="s">
        <v>225</v>
      </c>
    </row>
    <row r="79" spans="1:18" s="5" customFormat="1" ht="14.25" customHeight="1" thickBot="1">
      <c r="A79" s="896">
        <f ca="1">IF(K3="MTDC",IF(G79&gt;0,"Modified Total Direct Costs (MTDC) Cost-Share Base =",),IF(G79&gt;0,"Total Direct Costs (TDC) Cost-Share Base =",))</f>
        <v>0</v>
      </c>
      <c r="B79" s="897"/>
      <c r="C79" s="897"/>
      <c r="D79" s="897"/>
      <c r="E79" s="897"/>
      <c r="F79" s="897"/>
      <c r="G79" s="614">
        <f ca="1">IF(K3="MTDC",IF('BP1'!K5&gt;0,N75-N50-N59-N61-IF(N62="",0,N62)-IF(N63="",0,N63)-IF(N64="",0,N64)-IF(N65="",0,N65)-IF(N66="",0,N66)-IF(N67="",0,N67)-IF(N68="",0,N68)-IF(N69="",0,N69)-IF(N70="",0,N70)-IF(N71="",0,N71)-IF(N72="",0,N72)-IF(N73="",0,N73),0),IF('BP1'!K5&gt;0,N75,0))</f>
        <v>0</v>
      </c>
      <c r="H79" s="898" t="s">
        <v>223</v>
      </c>
      <c r="I79" s="898"/>
      <c r="J79" s="898"/>
      <c r="K79" s="852">
        <f ca="1">IF($L$2="No F&amp;A",0,(IF($L$2="Custom",I77,(AVERAGEIFS(INDIRECT(SUBSTITUTE(SUBSTITUTE(CONCATENATE($K$2,$L$2)," ",""),"-","")),StartDateList,"&gt;="&amp;(DATE(YEAR($K$8),MONTH($K$8),1)),StartDateList,"&lt;="&amp;$K$10))))*G78)</f>
        <v>0</v>
      </c>
      <c r="L79" s="853"/>
      <c r="M79" s="422"/>
      <c r="N79" s="867">
        <f ca="1">IF($L$2="No F&amp;A",0,(IF($L$2="Custom",$I$77,(AVERAGEIFS(INDIRECT(SUBSTITUTE(SUBSTITUTE(CONCATENATE($K$2,$L$2)," ",""),"-","")),StartDateList,"&gt;="&amp;(DATE(YEAR($K$8),MONTH($K$8),1)),StartDateList,"&lt;="&amp;$K$10))))*$G$79)</f>
        <v>0</v>
      </c>
      <c r="O79" s="893"/>
      <c r="R79" s="136" t="s">
        <v>225</v>
      </c>
    </row>
    <row r="80" spans="1:18" s="5" customFormat="1" ht="14.25" customHeight="1" thickBot="1">
      <c r="A80" s="212" t="s">
        <v>98</v>
      </c>
      <c r="B80" s="171"/>
      <c r="C80" s="171"/>
      <c r="D80" s="172"/>
      <c r="E80" s="172"/>
      <c r="F80" s="253"/>
      <c r="G80" s="253"/>
      <c r="H80" s="171"/>
      <c r="I80" s="173"/>
      <c r="J80" s="171"/>
      <c r="K80" s="852">
        <f>IF($A$5&lt;=$K$5,ROUND(K75,0)+ROUND(K79,0),0)</f>
        <v>0</v>
      </c>
      <c r="L80" s="853"/>
      <c r="M80" s="422"/>
      <c r="N80" s="867">
        <f ca="1">ROUND(N75,0)+ROUND(N79,0)</f>
        <v>0</v>
      </c>
      <c r="O80" s="893"/>
      <c r="R80" s="136" t="s">
        <v>225</v>
      </c>
    </row>
    <row r="81" spans="1:18" ht="14.25" customHeight="1" thickBot="1">
      <c r="M81" s="272"/>
      <c r="R81" s="136" t="s">
        <v>225</v>
      </c>
    </row>
    <row r="82" spans="1:18" ht="14.25" customHeight="1" thickBot="1">
      <c r="A82" s="212" t="s">
        <v>591</v>
      </c>
      <c r="B82" s="171"/>
      <c r="C82" s="171"/>
      <c r="D82" s="172"/>
      <c r="E82" s="172"/>
      <c r="F82" s="172"/>
      <c r="G82" s="172"/>
      <c r="H82" s="171"/>
      <c r="I82" s="173"/>
      <c r="J82" s="171"/>
      <c r="K82" s="942">
        <f>'BP1'!K75+'BP2'!K75+'BP3'!K75+'BP4'!K75+'BP5'!K75</f>
        <v>0</v>
      </c>
      <c r="L82" s="942"/>
      <c r="M82" s="272"/>
      <c r="N82" s="867">
        <f ca="1">'BP1'!N75+'BP2'!N75+'BP3'!N75+'BP4'!N75+'BP5'!N75</f>
        <v>0</v>
      </c>
      <c r="O82" s="893"/>
      <c r="R82" s="136" t="s">
        <v>225</v>
      </c>
    </row>
    <row r="83" spans="1:18" ht="14.25" customHeight="1" thickBot="1">
      <c r="A83" s="212" t="str">
        <f>IF(AND(SUM(K62:K73)&gt;0,'Subaward Calculator'!AD46=0),"","     Cumulative Total NU Direct Costs and Subaward Direct Costs")</f>
        <v xml:space="preserve">     Cumulative Total NU Direct Costs and Subaward Direct Costs</v>
      </c>
      <c r="B83" s="171"/>
      <c r="C83" s="171"/>
      <c r="D83" s="172"/>
      <c r="E83" s="172"/>
      <c r="F83" s="172"/>
      <c r="G83" s="172"/>
      <c r="H83" s="171"/>
      <c r="I83" s="173"/>
      <c r="J83" s="171"/>
      <c r="K83" s="942">
        <f>IF(AND(SUM(K62:K73)&gt;0,'Subaward Calculator'!AD46=0),"",'BP1'!K75+'BP2'!K75+'BP3'!K75+'BP4'!K75+'BP5'!K75-'Subaward Calculator'!AD46+'Subaward Calculator'!AD44)</f>
        <v>0</v>
      </c>
      <c r="L83" s="942"/>
      <c r="M83" s="272"/>
      <c r="N83" s="612"/>
      <c r="O83" s="612"/>
      <c r="R83" s="136" t="s">
        <v>225</v>
      </c>
    </row>
    <row r="84" spans="1:18" ht="14.25" customHeight="1" thickBot="1">
      <c r="A84" s="212" t="s">
        <v>471</v>
      </c>
      <c r="B84" s="171"/>
      <c r="C84" s="171"/>
      <c r="D84" s="172"/>
      <c r="E84" s="172"/>
      <c r="F84" s="172"/>
      <c r="G84" s="172"/>
      <c r="H84" s="171"/>
      <c r="I84" s="173"/>
      <c r="J84" s="171"/>
      <c r="K84" s="942">
        <f ca="1">'BP1'!K80+'BP2'!K80+'BP3'!K80+'BP4'!K80+'BP5'!K80</f>
        <v>0</v>
      </c>
      <c r="L84" s="942"/>
      <c r="M84" s="272"/>
      <c r="N84" s="867">
        <f ca="1">'BP1'!N80+'BP2'!N80+'BP3'!N80+'BP4'!N80+'BP5'!N80</f>
        <v>0</v>
      </c>
      <c r="O84" s="893"/>
      <c r="R84" s="136" t="s">
        <v>225</v>
      </c>
    </row>
    <row r="85" spans="1:18" ht="14.25" customHeight="1" thickBot="1">
      <c r="A85" s="426"/>
      <c r="B85" s="311"/>
      <c r="C85" s="311"/>
      <c r="D85" s="305"/>
      <c r="E85" s="305"/>
      <c r="F85" s="305"/>
      <c r="G85" s="305"/>
      <c r="H85" s="311"/>
      <c r="I85" s="313"/>
      <c r="J85" s="311"/>
      <c r="K85" s="427"/>
      <c r="L85" s="427"/>
      <c r="M85" s="272"/>
      <c r="N85" s="279"/>
      <c r="O85" s="279"/>
      <c r="R85" s="136" t="s">
        <v>225</v>
      </c>
    </row>
    <row r="86" spans="1:18" ht="14.25" customHeight="1" thickBot="1">
      <c r="F86" s="153"/>
      <c r="G86" s="6"/>
      <c r="H86" s="6"/>
      <c r="I86" s="6"/>
      <c r="K86" s="878"/>
      <c r="L86" s="878"/>
      <c r="N86" s="879">
        <f>$A$5</f>
        <v>5</v>
      </c>
      <c r="O86" s="880"/>
      <c r="P86" s="940" t="s">
        <v>430</v>
      </c>
      <c r="Q86" s="941"/>
      <c r="R86" s="136" t="s">
        <v>225</v>
      </c>
    </row>
    <row r="87" spans="1:18" ht="14.25" customHeight="1" thickBot="1">
      <c r="B87" s="6"/>
      <c r="C87" s="6"/>
      <c r="D87" s="304"/>
      <c r="E87" s="304"/>
      <c r="F87" s="305"/>
      <c r="G87" s="887" t="str">
        <f ca="1">IF(('BP1'!$N$80+'BP2'!$N$80+'BP3'!$N$80+'BP4'!$N$80+'BP5'!$N$80)&gt;0,"SUBAWARD COST-SHARE","")</f>
        <v/>
      </c>
      <c r="H87" s="887"/>
      <c r="I87" s="887"/>
      <c r="J87" s="887"/>
      <c r="K87" s="887"/>
      <c r="L87" s="887"/>
      <c r="M87" s="4"/>
      <c r="N87" s="874">
        <f>SUM(N62:N73)</f>
        <v>0</v>
      </c>
      <c r="O87" s="875"/>
      <c r="P87" s="920">
        <f>'BP1'!$N$87+'BP2'!$N$87+'BP3'!$N$87+'BP4'!$N$87+'BP5'!$N$87</f>
        <v>0</v>
      </c>
      <c r="Q87" s="921">
        <f>'BP1'!Q79+'BP2'!Q79+'BP3'!Q79+'BP4'!Q79+'BP5'!Q79</f>
        <v>0</v>
      </c>
      <c r="R87" s="136" t="s">
        <v>225</v>
      </c>
    </row>
    <row r="88" spans="1:18" ht="14.25" customHeight="1" thickBot="1">
      <c r="B88" s="6"/>
      <c r="C88" s="6"/>
      <c r="D88" s="304"/>
      <c r="E88" s="304"/>
      <c r="F88" s="305"/>
      <c r="G88" s="887" t="str">
        <f ca="1">IF(('BP1'!$N$80+'BP2'!$N$80+'BP3'!$N$80+'BP4'!$N$80+'BP5'!$N$80)&gt;0,"THIRD PARTY COST-SHARE","")</f>
        <v/>
      </c>
      <c r="H88" s="887"/>
      <c r="I88" s="887"/>
      <c r="J88" s="887"/>
      <c r="K88" s="887"/>
      <c r="L88" s="887"/>
      <c r="M88" s="4"/>
      <c r="N88" s="888"/>
      <c r="O88" s="889"/>
      <c r="P88" s="920">
        <f>'BP1'!$N$88+'BP2'!$N$88+'BP3'!$N$88+'BP4'!$N$88+'BP5'!$N$88</f>
        <v>0</v>
      </c>
      <c r="Q88" s="921">
        <f>'BP1'!Q78+'BP2'!Q78+'BP3'!Q78+'BP4'!Q78+'BP5'!Q78</f>
        <v>0</v>
      </c>
      <c r="R88" s="136" t="s">
        <v>225</v>
      </c>
    </row>
    <row r="89" spans="1:18" ht="14.25" customHeight="1" thickBot="1">
      <c r="B89" s="6"/>
      <c r="C89" s="6"/>
      <c r="D89" s="304"/>
      <c r="E89" s="304"/>
      <c r="F89" s="302"/>
      <c r="G89" s="887" t="str">
        <f ca="1">IF(('BP1'!$N$80+'BP2'!$N$80+'BP3'!$N$80+'BP4'!$N$80+'BP5'!$N$80)&gt;0,"TOTAL COST-SHARED","")</f>
        <v/>
      </c>
      <c r="H89" s="887"/>
      <c r="I89" s="887"/>
      <c r="J89" s="887"/>
      <c r="K89" s="887"/>
      <c r="L89" s="887"/>
      <c r="M89" s="4"/>
      <c r="N89" s="874">
        <f ca="1">$N$80+$N$88</f>
        <v>0</v>
      </c>
      <c r="O89" s="875"/>
      <c r="P89" s="920">
        <f ca="1">'BP1'!$N$89+'BP2'!$N$89+'BP3'!$N$89+'BP4'!$N$89+'BP5'!$N$89</f>
        <v>0</v>
      </c>
      <c r="Q89" s="921">
        <f>'BP1'!Q79+'BP2'!Q79+'BP3'!Q79+'BP4'!Q79+'BP5'!Q79</f>
        <v>0</v>
      </c>
      <c r="R89" s="136" t="s">
        <v>225</v>
      </c>
    </row>
    <row r="90" spans="1:18" ht="14.25" customHeight="1" thickBot="1">
      <c r="B90" s="6"/>
      <c r="C90" s="6"/>
      <c r="D90" s="304"/>
      <c r="E90" s="304"/>
      <c r="F90" s="885" t="str">
        <f ca="1">IF(('BP1'!$N$80+'BP2'!$N$80+'BP3'!$N$80+'BP4'!$N$80+'BP5'!$N$80)&gt;0,"SPONSOR COSTS","")</f>
        <v/>
      </c>
      <c r="G90" s="885"/>
      <c r="H90" s="885"/>
      <c r="I90" s="885"/>
      <c r="J90" s="885"/>
      <c r="K90" s="885"/>
      <c r="L90" s="885"/>
      <c r="M90" s="4"/>
      <c r="N90" s="874">
        <f ca="1">IF(('BP1'!$N$80+'BP2'!$N$80+'BP3'!$N$80+'BP4'!$N$80+'BP5'!$N$80)&gt;0,$K$80,)</f>
        <v>0</v>
      </c>
      <c r="O90" s="875"/>
      <c r="P90" s="920">
        <f ca="1">'BP1'!$N$90+'BP2'!$N$90+'BP3'!$N$90+'BP4'!$N$90+'BP5'!$N$90</f>
        <v>0</v>
      </c>
      <c r="Q90" s="921">
        <f>'BP1'!Q80+'BP2'!Q80+'BP3'!Q80+'BP4'!Q80+'BP5'!Q80</f>
        <v>0</v>
      </c>
      <c r="R90" s="136" t="s">
        <v>225</v>
      </c>
    </row>
    <row r="91" spans="1:18" ht="14.25" customHeight="1" thickBot="1">
      <c r="B91" s="6"/>
      <c r="C91" s="6"/>
      <c r="D91" s="304"/>
      <c r="E91" s="304"/>
      <c r="F91" s="302"/>
      <c r="G91" s="885" t="str">
        <f ca="1">IF(('BP1'!$N$80+'BP2'!$N$80+'BP3'!$N$80+'BP4'!$N$80+'BP5'!$N$80)&gt;0,"PROJECT COSTS","")</f>
        <v/>
      </c>
      <c r="H91" s="885"/>
      <c r="I91" s="885"/>
      <c r="J91" s="885"/>
      <c r="K91" s="885"/>
      <c r="L91" s="885"/>
      <c r="M91" s="4"/>
      <c r="N91" s="874">
        <f ca="1">IF(('BP1'!$N$80+'BP2'!$N$80+'BP3'!$N$80+'BP4'!$N$80+'BP5'!$N$80)&gt;0,$N$90+$N$89,)</f>
        <v>0</v>
      </c>
      <c r="O91" s="875"/>
      <c r="P91" s="920">
        <f ca="1">'BP1'!$N$91+'BP2'!$N$91+'BP3'!$N$91+'BP4'!$N$91+'BP5'!$N$91</f>
        <v>0</v>
      </c>
      <c r="Q91" s="921">
        <f>'BP1'!Q81+'BP2'!Q81+'BP3'!Q81+'BP4'!Q81+'BP5'!Q81</f>
        <v>0</v>
      </c>
      <c r="R91" s="136" t="s">
        <v>225</v>
      </c>
    </row>
    <row r="92" spans="1:18" ht="14.25" customHeight="1" thickBot="1">
      <c r="B92" s="6"/>
      <c r="C92" s="6"/>
      <c r="D92" s="304"/>
      <c r="E92" s="304"/>
      <c r="F92" s="303"/>
      <c r="G92" s="886" t="str">
        <f ca="1">IF(('BP1'!$N$80+'BP2'!$N$80+'BP3'!$N$80+'BP4'!$N$80+'BP5'!$N$80)&gt;0,"COST-SHARE AS % OF SPONSOR COSTS","")</f>
        <v/>
      </c>
      <c r="H92" s="886"/>
      <c r="I92" s="886"/>
      <c r="J92" s="886"/>
      <c r="K92" s="886"/>
      <c r="L92" s="886"/>
      <c r="M92" s="4"/>
      <c r="N92" s="876">
        <f ca="1">IFERROR($N$89/$N$90,)</f>
        <v>0</v>
      </c>
      <c r="O92" s="877"/>
      <c r="P92" s="943">
        <f ca="1">IFERROR($P$89/$P$90,)</f>
        <v>0</v>
      </c>
      <c r="Q92" s="944"/>
      <c r="R92" s="136" t="s">
        <v>225</v>
      </c>
    </row>
    <row r="93" spans="1:18" ht="14.25" customHeight="1" thickBot="1">
      <c r="B93" s="6"/>
      <c r="C93" s="6"/>
      <c r="D93" s="304"/>
      <c r="E93" s="304"/>
      <c r="F93" s="885" t="str">
        <f ca="1">IF(('BP1'!$N$80+'BP2'!$N$80+'BP3'!$N$80+'BP4'!$N$80+'BP5'!$N$80)&gt;0,"COST-SHARE AS % OF PROJECT COSTS","")</f>
        <v/>
      </c>
      <c r="G93" s="885"/>
      <c r="H93" s="885"/>
      <c r="I93" s="885"/>
      <c r="J93" s="885"/>
      <c r="K93" s="885"/>
      <c r="L93" s="885"/>
      <c r="M93" s="4"/>
      <c r="N93" s="876">
        <f ca="1">IFERROR($N$89/$N$91,)</f>
        <v>0</v>
      </c>
      <c r="O93" s="877"/>
      <c r="P93" s="943">
        <f ca="1">IFERROR($P$89/$P$91,)</f>
        <v>0</v>
      </c>
      <c r="Q93" s="944"/>
      <c r="R93" s="136" t="s">
        <v>225</v>
      </c>
    </row>
    <row r="94" spans="1:18" ht="12.75">
      <c r="D94" s="309"/>
      <c r="E94" s="309"/>
      <c r="F94" s="309"/>
      <c r="G94" s="60"/>
      <c r="H94" s="60"/>
      <c r="I94" s="60"/>
      <c r="J94" s="308"/>
      <c r="K94" s="307"/>
      <c r="L94" s="306"/>
      <c r="M94" s="306"/>
      <c r="N94" s="307"/>
      <c r="O94" s="306"/>
    </row>
  </sheetData>
  <sheetProtection formatCells="0" formatColumns="0" formatRows="0"/>
  <autoFilter ref="R1:R93" xr:uid="{00000000-0009-0000-0000-000006000000}">
    <filterColumn colId="0">
      <filters>
        <filter val="A) Condensed"/>
      </filters>
    </filterColumn>
  </autoFilter>
  <mergeCells count="196">
    <mergeCell ref="K58:L58"/>
    <mergeCell ref="K60:L60"/>
    <mergeCell ref="K59:L59"/>
    <mergeCell ref="K55:L55"/>
    <mergeCell ref="E11:G11"/>
    <mergeCell ref="B47:F47"/>
    <mergeCell ref="C59:J59"/>
    <mergeCell ref="C55:J55"/>
    <mergeCell ref="B22:F22"/>
    <mergeCell ref="H10:J11"/>
    <mergeCell ref="B23:F23"/>
    <mergeCell ref="B24:F24"/>
    <mergeCell ref="B25:F25"/>
    <mergeCell ref="B26:F26"/>
    <mergeCell ref="B27:F27"/>
    <mergeCell ref="B28:F28"/>
    <mergeCell ref="B29:F29"/>
    <mergeCell ref="G12:G14"/>
    <mergeCell ref="G66:I66"/>
    <mergeCell ref="K3:L3"/>
    <mergeCell ref="K86:L86"/>
    <mergeCell ref="G88:L88"/>
    <mergeCell ref="G89:L89"/>
    <mergeCell ref="G91:L91"/>
    <mergeCell ref="H51:J51"/>
    <mergeCell ref="H52:J52"/>
    <mergeCell ref="H53:J53"/>
    <mergeCell ref="G73:I73"/>
    <mergeCell ref="K42:L42"/>
    <mergeCell ref="K50:L50"/>
    <mergeCell ref="K45:L45"/>
    <mergeCell ref="K48:L48"/>
    <mergeCell ref="K49:L49"/>
    <mergeCell ref="K46:L46"/>
    <mergeCell ref="K47:L47"/>
    <mergeCell ref="K52:L52"/>
    <mergeCell ref="K51:L51"/>
    <mergeCell ref="K8:L9"/>
    <mergeCell ref="K10:L11"/>
    <mergeCell ref="E9:G9"/>
    <mergeCell ref="K53:L53"/>
    <mergeCell ref="K56:L56"/>
    <mergeCell ref="N74:O74"/>
    <mergeCell ref="K73:L73"/>
    <mergeCell ref="N68:O68"/>
    <mergeCell ref="N69:O69"/>
    <mergeCell ref="N70:O70"/>
    <mergeCell ref="N71:O71"/>
    <mergeCell ref="K67:L67"/>
    <mergeCell ref="K68:L68"/>
    <mergeCell ref="K69:L69"/>
    <mergeCell ref="K74:L74"/>
    <mergeCell ref="K72:L72"/>
    <mergeCell ref="K65:L65"/>
    <mergeCell ref="K66:L66"/>
    <mergeCell ref="N61:O61"/>
    <mergeCell ref="N62:O62"/>
    <mergeCell ref="N63:O63"/>
    <mergeCell ref="N64:O64"/>
    <mergeCell ref="K61:L61"/>
    <mergeCell ref="N67:O67"/>
    <mergeCell ref="N73:O73"/>
    <mergeCell ref="K63:L63"/>
    <mergeCell ref="K62:L62"/>
    <mergeCell ref="N66:O66"/>
    <mergeCell ref="K82:L82"/>
    <mergeCell ref="N82:O82"/>
    <mergeCell ref="K80:L80"/>
    <mergeCell ref="K79:L79"/>
    <mergeCell ref="K75:L75"/>
    <mergeCell ref="I77:J77"/>
    <mergeCell ref="N57:O57"/>
    <mergeCell ref="C57:J57"/>
    <mergeCell ref="K64:L64"/>
    <mergeCell ref="C61:J61"/>
    <mergeCell ref="C60:J60"/>
    <mergeCell ref="E73:F73"/>
    <mergeCell ref="N58:O58"/>
    <mergeCell ref="N59:O59"/>
    <mergeCell ref="N60:O60"/>
    <mergeCell ref="C63:D63"/>
    <mergeCell ref="E63:F63"/>
    <mergeCell ref="G63:I63"/>
    <mergeCell ref="E64:F64"/>
    <mergeCell ref="G64:I64"/>
    <mergeCell ref="E65:F65"/>
    <mergeCell ref="G65:I65"/>
    <mergeCell ref="K70:L70"/>
    <mergeCell ref="K71:L71"/>
    <mergeCell ref="G87:L87"/>
    <mergeCell ref="N87:O87"/>
    <mergeCell ref="P87:Q87"/>
    <mergeCell ref="A79:F79"/>
    <mergeCell ref="H79:J79"/>
    <mergeCell ref="E67:F67"/>
    <mergeCell ref="G67:I67"/>
    <mergeCell ref="E68:F68"/>
    <mergeCell ref="G68:I68"/>
    <mergeCell ref="E69:F69"/>
    <mergeCell ref="G69:I69"/>
    <mergeCell ref="K84:L84"/>
    <mergeCell ref="K83:L83"/>
    <mergeCell ref="K76:L76"/>
    <mergeCell ref="G70:I70"/>
    <mergeCell ref="G71:I71"/>
    <mergeCell ref="E70:F70"/>
    <mergeCell ref="P86:Q86"/>
    <mergeCell ref="N84:O84"/>
    <mergeCell ref="N75:O75"/>
    <mergeCell ref="N86:O86"/>
    <mergeCell ref="G77:H77"/>
    <mergeCell ref="E72:F72"/>
    <mergeCell ref="G72:I72"/>
    <mergeCell ref="P93:Q93"/>
    <mergeCell ref="N89:O89"/>
    <mergeCell ref="N90:O90"/>
    <mergeCell ref="N91:O91"/>
    <mergeCell ref="N92:O92"/>
    <mergeCell ref="N93:O93"/>
    <mergeCell ref="N88:O88"/>
    <mergeCell ref="F90:L90"/>
    <mergeCell ref="F93:L93"/>
    <mergeCell ref="P92:Q92"/>
    <mergeCell ref="G92:L92"/>
    <mergeCell ref="P91:Q91"/>
    <mergeCell ref="P88:Q88"/>
    <mergeCell ref="P89:Q89"/>
    <mergeCell ref="P90:Q90"/>
    <mergeCell ref="A1:J4"/>
    <mergeCell ref="K1:L1"/>
    <mergeCell ref="K4:L4"/>
    <mergeCell ref="A5:J6"/>
    <mergeCell ref="K5:L5"/>
    <mergeCell ref="K6:L6"/>
    <mergeCell ref="B45:F45"/>
    <mergeCell ref="K12:L13"/>
    <mergeCell ref="A9:D9"/>
    <mergeCell ref="A11:D11"/>
    <mergeCell ref="K7:L7"/>
    <mergeCell ref="B15:F15"/>
    <mergeCell ref="B16:F16"/>
    <mergeCell ref="B17:F17"/>
    <mergeCell ref="B18:F18"/>
    <mergeCell ref="B19:F19"/>
    <mergeCell ref="B20:F20"/>
    <mergeCell ref="A30:F30"/>
    <mergeCell ref="B21:F21"/>
    <mergeCell ref="H8:J9"/>
    <mergeCell ref="N12:O13"/>
    <mergeCell ref="H12:J12"/>
    <mergeCell ref="H13:J13"/>
    <mergeCell ref="K41:L41"/>
    <mergeCell ref="K43:L43"/>
    <mergeCell ref="C56:J56"/>
    <mergeCell ref="C58:J58"/>
    <mergeCell ref="N53:O53"/>
    <mergeCell ref="N55:O55"/>
    <mergeCell ref="N56:O56"/>
    <mergeCell ref="N48:O48"/>
    <mergeCell ref="N49:O49"/>
    <mergeCell ref="N50:O50"/>
    <mergeCell ref="N51:O51"/>
    <mergeCell ref="N52:O52"/>
    <mergeCell ref="B48:F48"/>
    <mergeCell ref="B49:F49"/>
    <mergeCell ref="B46:F46"/>
    <mergeCell ref="N46:O46"/>
    <mergeCell ref="N47:O47"/>
    <mergeCell ref="N42:O42"/>
    <mergeCell ref="N43:O43"/>
    <mergeCell ref="N45:O45"/>
    <mergeCell ref="K57:L57"/>
    <mergeCell ref="G62:I62"/>
    <mergeCell ref="M1:O9"/>
    <mergeCell ref="M10:O11"/>
    <mergeCell ref="N41:O41"/>
    <mergeCell ref="N79:O79"/>
    <mergeCell ref="N80:O80"/>
    <mergeCell ref="N72:O72"/>
    <mergeCell ref="A78:F78"/>
    <mergeCell ref="E66:F66"/>
    <mergeCell ref="E62:F62"/>
    <mergeCell ref="C72:D72"/>
    <mergeCell ref="C73:D73"/>
    <mergeCell ref="C62:D62"/>
    <mergeCell ref="C64:D64"/>
    <mergeCell ref="C65:D65"/>
    <mergeCell ref="C66:D66"/>
    <mergeCell ref="C67:D67"/>
    <mergeCell ref="C68:D68"/>
    <mergeCell ref="C69:D69"/>
    <mergeCell ref="C70:D70"/>
    <mergeCell ref="C71:D71"/>
    <mergeCell ref="E71:F71"/>
    <mergeCell ref="N78:O78"/>
    <mergeCell ref="N65:O65"/>
  </mergeCells>
  <phoneticPr fontId="10" type="noConversion"/>
  <conditionalFormatting sqref="Q15:Q29">
    <cfRule type="cellIs" dxfId="5" priority="6" operator="greaterThan">
      <formula>0</formula>
    </cfRule>
  </conditionalFormatting>
  <conditionalFormatting sqref="I77:J77">
    <cfRule type="expression" dxfId="4" priority="4">
      <formula>$L$2&lt;&gt;"Custom"</formula>
    </cfRule>
    <cfRule type="expression" dxfId="3" priority="5">
      <formula>$L$2="Custom"</formula>
    </cfRule>
  </conditionalFormatting>
  <conditionalFormatting sqref="P87:Q93">
    <cfRule type="expression" dxfId="2" priority="2">
      <formula>$N$80&gt;0</formula>
    </cfRule>
  </conditionalFormatting>
  <conditionalFormatting sqref="P86:Q86">
    <cfRule type="expression" dxfId="1" priority="1">
      <formula>$N$80&gt;0</formula>
    </cfRule>
  </conditionalFormatting>
  <dataValidations count="3">
    <dataValidation errorStyle="warning" allowBlank="1" showInputMessage="1" sqref="K7" xr:uid="{00000000-0002-0000-0600-000000000000}"/>
    <dataValidation allowBlank="1" showErrorMessage="1" sqref="L2 K2:K3" xr:uid="{00000000-0002-0000-0600-000001000000}"/>
    <dataValidation type="whole" allowBlank="1" showInputMessage="1" showErrorMessage="1" sqref="A5:J6" xr:uid="{00000000-0002-0000-06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K15:O50 H32:H40 K53:O61 K51:O52 G92 A11 G62:I73 O72 O71 O70 O69 O68 O67 O66 O65 O64 O63 O62 O73 N72 N73 N62 N63 N64 N65 N66 N67 N68 N69 N70 N71" unlockedFormula="1"/>
    <ignoredError sqref="G51:G52" numberStoredAsText="1"/>
    <ignoredError sqref="J62:J73" evalError="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filterMode="1">
    <tabColor theme="6" tint="0.59999389629810485"/>
    <pageSetUpPr fitToPage="1"/>
  </sheetPr>
  <dimension ref="A1:R90"/>
  <sheetViews>
    <sheetView showGridLines="0" zoomScaleNormal="100" zoomScaleSheetLayoutView="100" workbookViewId="0">
      <selection activeCell="R1" sqref="R1"/>
    </sheetView>
  </sheetViews>
  <sheetFormatPr defaultRowHeight="12.75" outlineLevelCol="1"/>
  <cols>
    <col min="1" max="1" width="2.42578125" customWidth="1"/>
    <col min="2" max="2" width="3.85546875" customWidth="1"/>
    <col min="3" max="3" width="1.5703125" customWidth="1"/>
    <col min="4" max="4" width="27.140625" customWidth="1"/>
    <col min="5" max="5" width="6.5703125" customWidth="1"/>
    <col min="6" max="6" width="9" customWidth="1"/>
    <col min="7" max="7" width="11.28515625" customWidth="1"/>
    <col min="8" max="10" width="6.85546875" customWidth="1"/>
    <col min="11" max="12" width="12.140625" customWidth="1"/>
    <col min="13" max="13" width="5.85546875" style="97" customWidth="1" outlineLevel="1"/>
    <col min="14" max="14" width="12.140625" style="6" customWidth="1" outlineLevel="1"/>
    <col min="15" max="15" width="12.140625" style="97" customWidth="1" outlineLevel="1"/>
    <col min="16" max="17" width="14.42578125" style="97" customWidth="1" outlineLevel="1"/>
    <col min="18" max="18" width="35.5703125" style="4" bestFit="1" customWidth="1"/>
  </cols>
  <sheetData>
    <row r="1" spans="1:18" s="10" customFormat="1" ht="14.25" customHeight="1" thickBot="1">
      <c r="A1" s="955" t="str">
        <f>'BP1'!A1:L1</f>
        <v>Title</v>
      </c>
      <c r="B1" s="956"/>
      <c r="C1" s="956"/>
      <c r="D1" s="956"/>
      <c r="E1" s="956"/>
      <c r="F1" s="956"/>
      <c r="G1" s="956"/>
      <c r="H1" s="956"/>
      <c r="I1" s="956"/>
      <c r="J1" s="957"/>
      <c r="K1" s="822" t="s">
        <v>231</v>
      </c>
      <c r="L1" s="823"/>
      <c r="M1" s="945"/>
      <c r="N1" s="945"/>
      <c r="O1" s="945"/>
      <c r="P1" s="459"/>
      <c r="Q1" s="459"/>
      <c r="R1" s="139" t="s">
        <v>194</v>
      </c>
    </row>
    <row r="2" spans="1:18" s="10" customFormat="1" ht="14.25" customHeight="1">
      <c r="A2" s="958"/>
      <c r="B2" s="959"/>
      <c r="C2" s="959"/>
      <c r="D2" s="959"/>
      <c r="E2" s="959"/>
      <c r="F2" s="959"/>
      <c r="G2" s="959"/>
      <c r="H2" s="959"/>
      <c r="I2" s="959"/>
      <c r="J2" s="959"/>
      <c r="K2" s="563" t="str">
        <f>'BP1'!K2</f>
        <v>Federal</v>
      </c>
      <c r="L2" s="564" t="str">
        <f>'BP1'!L2</f>
        <v>On Campus</v>
      </c>
      <c r="M2" s="945"/>
      <c r="N2" s="945"/>
      <c r="O2" s="945"/>
      <c r="P2" s="459"/>
      <c r="Q2" s="459"/>
      <c r="R2" s="136" t="s">
        <v>225</v>
      </c>
    </row>
    <row r="3" spans="1:18" s="10" customFormat="1" ht="14.25" customHeight="1">
      <c r="A3" s="958"/>
      <c r="B3" s="959"/>
      <c r="C3" s="959"/>
      <c r="D3" s="959"/>
      <c r="E3" s="959"/>
      <c r="F3" s="959"/>
      <c r="G3" s="959"/>
      <c r="H3" s="959"/>
      <c r="I3" s="959"/>
      <c r="J3" s="959"/>
      <c r="K3" s="988" t="str">
        <f>'BP1'!K3</f>
        <v>MTDC</v>
      </c>
      <c r="L3" s="989"/>
      <c r="M3" s="945"/>
      <c r="N3" s="945"/>
      <c r="O3" s="945"/>
      <c r="P3" s="540"/>
      <c r="Q3" s="540"/>
      <c r="R3" s="136" t="s">
        <v>225</v>
      </c>
    </row>
    <row r="4" spans="1:18" s="10" customFormat="1" ht="14.25" customHeight="1">
      <c r="A4" s="958"/>
      <c r="B4" s="959"/>
      <c r="C4" s="959"/>
      <c r="D4" s="959"/>
      <c r="E4" s="959"/>
      <c r="F4" s="959"/>
      <c r="G4" s="959"/>
      <c r="H4" s="959"/>
      <c r="I4" s="959"/>
      <c r="J4" s="960"/>
      <c r="K4" s="824" t="s">
        <v>452</v>
      </c>
      <c r="L4" s="825"/>
      <c r="M4" s="945"/>
      <c r="N4" s="945"/>
      <c r="O4" s="945"/>
      <c r="P4" s="459"/>
      <c r="Q4" s="459"/>
      <c r="R4" s="136" t="s">
        <v>225</v>
      </c>
    </row>
    <row r="5" spans="1:18" s="10" customFormat="1" ht="14.25" customHeight="1">
      <c r="A5" s="978" t="s">
        <v>301</v>
      </c>
      <c r="B5" s="979"/>
      <c r="C5" s="979"/>
      <c r="D5" s="979"/>
      <c r="E5" s="979"/>
      <c r="F5" s="979"/>
      <c r="G5" s="979"/>
      <c r="H5" s="979"/>
      <c r="I5" s="979"/>
      <c r="J5" s="980"/>
      <c r="K5" s="951">
        <f>'BP1'!K5</f>
        <v>1</v>
      </c>
      <c r="L5" s="952"/>
      <c r="M5" s="945"/>
      <c r="N5" s="945"/>
      <c r="O5" s="945"/>
      <c r="P5" s="459"/>
      <c r="Q5" s="459"/>
      <c r="R5" s="136" t="s">
        <v>225</v>
      </c>
    </row>
    <row r="6" spans="1:18" s="10" customFormat="1" ht="13.5" customHeight="1">
      <c r="A6" s="978"/>
      <c r="B6" s="979"/>
      <c r="C6" s="979"/>
      <c r="D6" s="979"/>
      <c r="E6" s="979"/>
      <c r="F6" s="979"/>
      <c r="G6" s="979"/>
      <c r="H6" s="979"/>
      <c r="I6" s="979"/>
      <c r="J6" s="980"/>
      <c r="K6" s="828" t="s">
        <v>100</v>
      </c>
      <c r="L6" s="829"/>
      <c r="M6" s="946"/>
      <c r="N6" s="945"/>
      <c r="O6" s="945"/>
      <c r="P6" s="459"/>
      <c r="Q6" s="459"/>
      <c r="R6" s="136" t="s">
        <v>225</v>
      </c>
    </row>
    <row r="7" spans="1:18" s="10" customFormat="1" ht="14.25" customHeight="1">
      <c r="A7" s="243"/>
      <c r="B7" s="244"/>
      <c r="C7" s="244"/>
      <c r="D7" s="245"/>
      <c r="E7" s="245"/>
      <c r="F7" s="245"/>
      <c r="G7" s="246"/>
      <c r="H7" s="244"/>
      <c r="I7" s="244"/>
      <c r="J7" s="247"/>
      <c r="K7" s="953">
        <f>'BP1'!K7</f>
        <v>0.03</v>
      </c>
      <c r="L7" s="954"/>
      <c r="M7" s="946"/>
      <c r="N7" s="945"/>
      <c r="O7" s="945"/>
      <c r="P7" s="459"/>
      <c r="Q7" s="459"/>
      <c r="R7" s="136" t="s">
        <v>225</v>
      </c>
    </row>
    <row r="8" spans="1:18" s="10" customFormat="1" ht="14.25" customHeight="1">
      <c r="A8" s="203" t="s">
        <v>206</v>
      </c>
      <c r="B8" s="204"/>
      <c r="C8" s="204"/>
      <c r="D8" s="205"/>
      <c r="E8" s="240" t="str">
        <f>'BP1'!E8</f>
        <v>Originating Sponsor</v>
      </c>
      <c r="F8" s="178"/>
      <c r="G8" s="178"/>
      <c r="H8" s="838" t="s">
        <v>521</v>
      </c>
      <c r="I8" s="838"/>
      <c r="J8" s="839"/>
      <c r="K8" s="834">
        <f>'BP1'!K8</f>
        <v>42247</v>
      </c>
      <c r="L8" s="969"/>
      <c r="M8" s="946"/>
      <c r="N8" s="945"/>
      <c r="O8" s="945"/>
      <c r="P8" s="459"/>
      <c r="Q8" s="459"/>
      <c r="R8" s="136" t="s">
        <v>225</v>
      </c>
    </row>
    <row r="9" spans="1:18" s="10" customFormat="1" ht="14.25" customHeight="1">
      <c r="A9" s="809" t="s">
        <v>1</v>
      </c>
      <c r="B9" s="810"/>
      <c r="C9" s="810"/>
      <c r="D9" s="810"/>
      <c r="E9" s="961" t="str">
        <f>IF(ISBLANK('BP1'!E9),"",'BP1'!E9)</f>
        <v/>
      </c>
      <c r="F9" s="961"/>
      <c r="G9" s="961"/>
      <c r="H9" s="840"/>
      <c r="I9" s="840"/>
      <c r="J9" s="841"/>
      <c r="K9" s="970"/>
      <c r="L9" s="971"/>
      <c r="M9" s="947"/>
      <c r="N9" s="948"/>
      <c r="O9" s="948"/>
      <c r="P9" s="459"/>
      <c r="Q9" s="459"/>
      <c r="R9" s="136" t="s">
        <v>225</v>
      </c>
    </row>
    <row r="10" spans="1:18" s="10" customFormat="1" ht="14.25" customHeight="1">
      <c r="A10" s="207" t="s">
        <v>211</v>
      </c>
      <c r="B10" s="179"/>
      <c r="C10" s="179"/>
      <c r="D10" s="233"/>
      <c r="E10" s="240" t="str">
        <f>'BP1'!E10</f>
        <v>Flow-through Sponsor</v>
      </c>
      <c r="F10" s="178"/>
      <c r="G10" s="178"/>
      <c r="H10" s="838" t="s">
        <v>522</v>
      </c>
      <c r="I10" s="838"/>
      <c r="J10" s="839"/>
      <c r="K10" s="834">
        <f ca="1">INDIRECT("BP"&amp;'BP1'!K5&amp;"!K10")</f>
        <v>42612</v>
      </c>
      <c r="L10" s="969"/>
      <c r="M10" s="847" t="s">
        <v>569</v>
      </c>
      <c r="N10" s="848"/>
      <c r="O10" s="949"/>
      <c r="P10" s="466"/>
      <c r="Q10" s="466"/>
      <c r="R10" s="136" t="s">
        <v>225</v>
      </c>
    </row>
    <row r="11" spans="1:18" s="10" customFormat="1" ht="14.25" customHeight="1">
      <c r="A11" s="811" t="str">
        <f>'BP1'!A11:D11</f>
        <v>Professor McCormick</v>
      </c>
      <c r="B11" s="812"/>
      <c r="C11" s="812"/>
      <c r="D11" s="812"/>
      <c r="E11" s="961" t="str">
        <f>IF(ISBLANK('BP1'!E11),"",'BP1'!E11)</f>
        <v/>
      </c>
      <c r="F11" s="961"/>
      <c r="G11" s="961"/>
      <c r="H11" s="840"/>
      <c r="I11" s="840"/>
      <c r="J11" s="841"/>
      <c r="K11" s="970"/>
      <c r="L11" s="971"/>
      <c r="M11" s="849"/>
      <c r="N11" s="850"/>
      <c r="O11" s="950"/>
      <c r="P11" s="466"/>
      <c r="Q11" s="466"/>
      <c r="R11" s="136" t="s">
        <v>225</v>
      </c>
    </row>
    <row r="12" spans="1:18" s="10" customFormat="1" ht="14.25" customHeight="1">
      <c r="A12" s="207" t="s">
        <v>208</v>
      </c>
      <c r="B12" s="321"/>
      <c r="C12" s="321"/>
      <c r="D12" s="322"/>
      <c r="E12" s="180"/>
      <c r="F12" s="394"/>
      <c r="G12" s="789" t="s">
        <v>915</v>
      </c>
      <c r="H12" s="792" t="s">
        <v>523</v>
      </c>
      <c r="I12" s="793"/>
      <c r="J12" s="794"/>
      <c r="K12" s="800" t="s">
        <v>35</v>
      </c>
      <c r="L12" s="801"/>
      <c r="M12" s="456" t="s">
        <v>292</v>
      </c>
      <c r="N12" s="800" t="s">
        <v>35</v>
      </c>
      <c r="O12" s="801"/>
      <c r="P12" s="467"/>
      <c r="Q12" s="467"/>
      <c r="R12" s="136" t="s">
        <v>225</v>
      </c>
    </row>
    <row r="13" spans="1:18" s="10" customFormat="1" ht="14.25" customHeight="1">
      <c r="A13" s="165"/>
      <c r="B13" s="179"/>
      <c r="C13" s="179"/>
      <c r="D13" s="180"/>
      <c r="E13" s="180"/>
      <c r="F13" s="395"/>
      <c r="G13" s="790"/>
      <c r="H13" s="890" t="s">
        <v>291</v>
      </c>
      <c r="I13" s="891"/>
      <c r="J13" s="892"/>
      <c r="K13" s="802"/>
      <c r="L13" s="803"/>
      <c r="M13" s="455" t="s">
        <v>293</v>
      </c>
      <c r="N13" s="802"/>
      <c r="O13" s="803"/>
      <c r="P13" s="467"/>
      <c r="Q13" s="467"/>
      <c r="R13" s="136" t="s">
        <v>225</v>
      </c>
    </row>
    <row r="14" spans="1:18" s="10" customFormat="1" ht="14.25" customHeight="1">
      <c r="A14" s="165"/>
      <c r="B14" s="177"/>
      <c r="C14" s="177"/>
      <c r="D14" s="175"/>
      <c r="E14" s="175"/>
      <c r="F14" s="457"/>
      <c r="G14" s="791"/>
      <c r="H14" s="197" t="s">
        <v>2</v>
      </c>
      <c r="I14" s="198" t="s">
        <v>204</v>
      </c>
      <c r="J14" s="198" t="s">
        <v>205</v>
      </c>
      <c r="K14" s="194" t="s">
        <v>33</v>
      </c>
      <c r="L14" s="195" t="s">
        <v>34</v>
      </c>
      <c r="M14" s="278" t="s">
        <v>294</v>
      </c>
      <c r="N14" s="194" t="s">
        <v>33</v>
      </c>
      <c r="O14" s="195" t="s">
        <v>34</v>
      </c>
      <c r="P14" s="468"/>
      <c r="Q14" s="468"/>
      <c r="R14" s="136" t="s">
        <v>225</v>
      </c>
    </row>
    <row r="15" spans="1:18" s="10" customFormat="1" ht="14.25" customHeight="1">
      <c r="A15" s="257">
        <v>1</v>
      </c>
      <c r="B15" s="981" t="str">
        <f>A11</f>
        <v>Professor McCormick</v>
      </c>
      <c r="C15" s="982"/>
      <c r="D15" s="982"/>
      <c r="E15" s="982"/>
      <c r="F15" s="983"/>
      <c r="G15" s="268">
        <f>IF('BP1'!G15&gt;0,'BP1'!G15,"")</f>
        <v>9</v>
      </c>
      <c r="H15" s="224">
        <f>'BP1'!H15+'BP2'!H15+'BP3'!H15+'BP4'!H15+'BP5'!H15</f>
        <v>0</v>
      </c>
      <c r="I15" s="224">
        <f>'BP1'!I15+'BP2'!I15+'BP3'!I15+'BP4'!I15+'BP5'!I15</f>
        <v>0</v>
      </c>
      <c r="J15" s="224">
        <f>'BP1'!J15+'BP2'!J15+'BP3'!J15+'BP4'!J15+'BP5'!J15</f>
        <v>0</v>
      </c>
      <c r="K15" s="164">
        <f ca="1">'BP1'!K15+'BP2'!K15+'BP3'!K15+'BP4'!K15+'BP5'!K15</f>
        <v>0</v>
      </c>
      <c r="L15" s="163">
        <f ca="1">'BP1'!L15+'BP2'!L15+'BP3'!L15+'BP4'!L15+'BP5'!L15</f>
        <v>0</v>
      </c>
      <c r="M15" s="276">
        <f>'BP1'!M15+'BP2'!M15+'BP3'!M15+'BP4'!M15+'BP5'!M15</f>
        <v>0</v>
      </c>
      <c r="N15" s="162">
        <f ca="1">'BP1'!N15+'BP2'!N15+'BP3'!N15+'BP4'!N15+'BP5'!N15</f>
        <v>0</v>
      </c>
      <c r="O15" s="163">
        <f ca="1">'BP1'!O15+'BP2'!O15+'BP3'!O15+'BP4'!O15+'BP5'!O15</f>
        <v>0</v>
      </c>
      <c r="P15" s="469"/>
      <c r="Q15" s="469"/>
      <c r="R15" s="136" t="s">
        <v>225</v>
      </c>
    </row>
    <row r="16" spans="1:18" s="10" customFormat="1" ht="14.25" customHeight="1">
      <c r="A16" s="257">
        <v>2</v>
      </c>
      <c r="B16" s="981" t="str">
        <f>IF('BP1'!B16&gt;0,'BP1'!B16,"")</f>
        <v/>
      </c>
      <c r="C16" s="982"/>
      <c r="D16" s="982"/>
      <c r="E16" s="982"/>
      <c r="F16" s="983"/>
      <c r="G16" s="268" t="str">
        <f>IF('BP1'!G16&gt;0,'BP1'!G16,"")</f>
        <v/>
      </c>
      <c r="H16" s="224">
        <f>'BP1'!H16+'BP2'!H16+'BP3'!H16+'BP4'!H16+'BP5'!H16</f>
        <v>0</v>
      </c>
      <c r="I16" s="224">
        <f>'BP1'!I16+'BP2'!I16+'BP3'!I16+'BP4'!I16+'BP5'!I16</f>
        <v>0</v>
      </c>
      <c r="J16" s="224">
        <f>'BP1'!J16+'BP2'!J16+'BP3'!J16+'BP4'!J16+'BP5'!J16</f>
        <v>0</v>
      </c>
      <c r="K16" s="164">
        <f ca="1">'BP1'!K16+'BP2'!K16+'BP3'!K16+'BP4'!K16+'BP5'!K16</f>
        <v>0</v>
      </c>
      <c r="L16" s="163">
        <f ca="1">'BP1'!L16+'BP2'!L16+'BP3'!L16+'BP4'!L16+'BP5'!L16</f>
        <v>0</v>
      </c>
      <c r="M16" s="276">
        <f>'BP1'!M16+'BP2'!M16+'BP3'!M16+'BP4'!M16+'BP5'!M16</f>
        <v>0</v>
      </c>
      <c r="N16" s="162">
        <f ca="1">'BP1'!N16+'BP2'!N16+'BP3'!N16+'BP4'!N16+'BP5'!N16</f>
        <v>0</v>
      </c>
      <c r="O16" s="163">
        <f ca="1">'BP1'!O16+'BP2'!O16+'BP3'!O16+'BP4'!O16+'BP5'!O16</f>
        <v>0</v>
      </c>
      <c r="P16" s="469"/>
      <c r="Q16" s="469"/>
      <c r="R16" s="136" t="s">
        <v>225</v>
      </c>
    </row>
    <row r="17" spans="1:18" s="10" customFormat="1" ht="14.25" customHeight="1">
      <c r="A17" s="257">
        <v>3</v>
      </c>
      <c r="B17" s="981" t="str">
        <f>IF('BP1'!B17&gt;0,'BP1'!B17,"")</f>
        <v/>
      </c>
      <c r="C17" s="982"/>
      <c r="D17" s="982"/>
      <c r="E17" s="982"/>
      <c r="F17" s="983"/>
      <c r="G17" s="268" t="str">
        <f>IF('BP1'!G17&gt;0,'BP1'!G17,"")</f>
        <v/>
      </c>
      <c r="H17" s="224">
        <f>'BP1'!H17+'BP2'!H17+'BP3'!H17+'BP4'!H17+'BP5'!H17</f>
        <v>0</v>
      </c>
      <c r="I17" s="224">
        <f>'BP1'!I17+'BP2'!I17+'BP3'!I17+'BP4'!I17+'BP5'!I17</f>
        <v>0</v>
      </c>
      <c r="J17" s="224">
        <f>'BP1'!J17+'BP2'!J17+'BP3'!J17+'BP4'!J17+'BP5'!J17</f>
        <v>0</v>
      </c>
      <c r="K17" s="164">
        <f ca="1">'BP1'!K17+'BP2'!K17+'BP3'!K17+'BP4'!K17+'BP5'!K17</f>
        <v>0</v>
      </c>
      <c r="L17" s="163">
        <f ca="1">'BP1'!L17+'BP2'!L17+'BP3'!L17+'BP4'!L17+'BP5'!L17</f>
        <v>0</v>
      </c>
      <c r="M17" s="276">
        <f>'BP1'!M17+'BP2'!M17+'BP3'!M17+'BP4'!M17+'BP5'!M17</f>
        <v>0</v>
      </c>
      <c r="N17" s="162">
        <f ca="1">'BP1'!N17+'BP2'!N17+'BP3'!N17+'BP4'!N17+'BP5'!N17</f>
        <v>0</v>
      </c>
      <c r="O17" s="163">
        <f ca="1">'BP1'!O17+'BP2'!O17+'BP3'!O17+'BP4'!O17+'BP5'!O17</f>
        <v>0</v>
      </c>
      <c r="P17" s="469"/>
      <c r="Q17" s="469"/>
      <c r="R17" s="136" t="s">
        <v>225</v>
      </c>
    </row>
    <row r="18" spans="1:18" s="10" customFormat="1" ht="14.25" customHeight="1">
      <c r="A18" s="257">
        <v>4</v>
      </c>
      <c r="B18" s="981" t="str">
        <f>IF('BP1'!B18&gt;0,'BP1'!B18,"")</f>
        <v/>
      </c>
      <c r="C18" s="982"/>
      <c r="D18" s="982"/>
      <c r="E18" s="982"/>
      <c r="F18" s="983"/>
      <c r="G18" s="268" t="str">
        <f>IF('BP1'!G18&gt;0,'BP1'!G18,"")</f>
        <v/>
      </c>
      <c r="H18" s="224">
        <f>'BP1'!H18+'BP2'!H18+'BP3'!H18+'BP4'!H18+'BP5'!H18</f>
        <v>0</v>
      </c>
      <c r="I18" s="224">
        <f>'BP1'!I18+'BP2'!I18+'BP3'!I18+'BP4'!I18+'BP5'!I18</f>
        <v>0</v>
      </c>
      <c r="J18" s="224">
        <f>'BP1'!J18+'BP2'!J18+'BP3'!J18+'BP4'!J18+'BP5'!J18</f>
        <v>0</v>
      </c>
      <c r="K18" s="164">
        <f ca="1">'BP1'!K18+'BP2'!K18+'BP3'!K18+'BP4'!K18+'BP5'!K18</f>
        <v>0</v>
      </c>
      <c r="L18" s="163">
        <f ca="1">'BP1'!L18+'BP2'!L18+'BP3'!L18+'BP4'!L18+'BP5'!L18</f>
        <v>0</v>
      </c>
      <c r="M18" s="276">
        <f>'BP1'!M18+'BP2'!M18+'BP3'!M18+'BP4'!M18+'BP5'!M18</f>
        <v>0</v>
      </c>
      <c r="N18" s="162">
        <f ca="1">'BP1'!N18+'BP2'!N18+'BP3'!N18+'BP4'!N18+'BP5'!N18</f>
        <v>0</v>
      </c>
      <c r="O18" s="163">
        <f ca="1">'BP1'!O18+'BP2'!O18+'BP3'!O18+'BP4'!O18+'BP5'!O18</f>
        <v>0</v>
      </c>
      <c r="P18" s="469"/>
      <c r="Q18" s="469"/>
      <c r="R18" s="136" t="s">
        <v>225</v>
      </c>
    </row>
    <row r="19" spans="1:18" s="10" customFormat="1" ht="14.25" customHeight="1">
      <c r="A19" s="257">
        <v>5</v>
      </c>
      <c r="B19" s="981" t="str">
        <f>IF('BP1'!B19&gt;0,'BP1'!B19,"")</f>
        <v/>
      </c>
      <c r="C19" s="982"/>
      <c r="D19" s="982"/>
      <c r="E19" s="982"/>
      <c r="F19" s="983"/>
      <c r="G19" s="268" t="str">
        <f>IF('BP1'!G19&gt;0,'BP1'!G19,"")</f>
        <v/>
      </c>
      <c r="H19" s="224">
        <f>'BP1'!H19+'BP2'!H19+'BP3'!H19+'BP4'!H19+'BP5'!H19</f>
        <v>0</v>
      </c>
      <c r="I19" s="224">
        <f>'BP1'!I19+'BP2'!I19+'BP3'!I19+'BP4'!I19+'BP5'!I19</f>
        <v>0</v>
      </c>
      <c r="J19" s="224">
        <f>'BP1'!J19+'BP2'!J19+'BP3'!J19+'BP4'!J19+'BP5'!J19</f>
        <v>0</v>
      </c>
      <c r="K19" s="164">
        <f ca="1">'BP1'!K19+'BP2'!K19+'BP3'!K19+'BP4'!K19+'BP5'!K19</f>
        <v>0</v>
      </c>
      <c r="L19" s="163">
        <f ca="1">'BP1'!L19+'BP2'!L19+'BP3'!L19+'BP4'!L19+'BP5'!L19</f>
        <v>0</v>
      </c>
      <c r="M19" s="276">
        <f>'BP1'!M19+'BP2'!M19+'BP3'!M19+'BP4'!M19+'BP5'!M19</f>
        <v>0</v>
      </c>
      <c r="N19" s="162">
        <f ca="1">'BP1'!N19+'BP2'!N19+'BP3'!N19+'BP4'!N19+'BP5'!N19</f>
        <v>0</v>
      </c>
      <c r="O19" s="163">
        <f ca="1">'BP1'!O19+'BP2'!O19+'BP3'!O19+'BP4'!O19+'BP5'!O19</f>
        <v>0</v>
      </c>
      <c r="P19" s="469"/>
      <c r="Q19" s="469"/>
      <c r="R19" s="136" t="s">
        <v>225</v>
      </c>
    </row>
    <row r="20" spans="1:18" s="10" customFormat="1" ht="14.25" hidden="1" customHeight="1">
      <c r="A20" s="257">
        <v>6</v>
      </c>
      <c r="B20" s="981" t="str">
        <f>IF('BP1'!B20&gt;0,'BP1'!B20,"")</f>
        <v/>
      </c>
      <c r="C20" s="982"/>
      <c r="D20" s="982"/>
      <c r="E20" s="982"/>
      <c r="F20" s="983"/>
      <c r="G20" s="268" t="str">
        <f>IF('BP1'!G20&gt;0,'BP1'!G20,"")</f>
        <v/>
      </c>
      <c r="H20" s="224">
        <f>'BP1'!H20+'BP2'!H20+'BP3'!H20+'BP4'!H20+'BP5'!H20</f>
        <v>0</v>
      </c>
      <c r="I20" s="224">
        <f>'BP1'!I20+'BP2'!I20+'BP3'!I20+'BP4'!I20+'BP5'!I20</f>
        <v>0</v>
      </c>
      <c r="J20" s="224">
        <f>'BP1'!J20+'BP2'!J20+'BP3'!J20+'BP4'!J20+'BP5'!J20</f>
        <v>0</v>
      </c>
      <c r="K20" s="164">
        <f ca="1">'BP1'!K20+'BP2'!K20+'BP3'!K20+'BP4'!K20+'BP5'!K20</f>
        <v>0</v>
      </c>
      <c r="L20" s="163">
        <f ca="1">'BP1'!L20+'BP2'!L20+'BP3'!L20+'BP4'!L20+'BP5'!L20</f>
        <v>0</v>
      </c>
      <c r="M20" s="276">
        <f>'BP1'!M20+'BP2'!M20+'BP3'!M20+'BP4'!M20+'BP5'!M20</f>
        <v>0</v>
      </c>
      <c r="N20" s="162">
        <f ca="1">'BP1'!N20+'BP2'!N20+'BP3'!N20+'BP4'!N20+'BP5'!N20</f>
        <v>0</v>
      </c>
      <c r="O20" s="163">
        <f ca="1">'BP1'!O20+'BP2'!O20+'BP3'!O20+'BP4'!O20+'BP5'!O20</f>
        <v>0</v>
      </c>
      <c r="P20" s="469"/>
      <c r="Q20" s="469"/>
      <c r="R20" s="136" t="s">
        <v>492</v>
      </c>
    </row>
    <row r="21" spans="1:18" s="10" customFormat="1" ht="14.25" hidden="1" customHeight="1">
      <c r="A21" s="257">
        <v>7</v>
      </c>
      <c r="B21" s="981" t="str">
        <f>IF('BP1'!B21&gt;0,'BP1'!B21,"")</f>
        <v/>
      </c>
      <c r="C21" s="982"/>
      <c r="D21" s="982"/>
      <c r="E21" s="982"/>
      <c r="F21" s="983"/>
      <c r="G21" s="268" t="str">
        <f>IF('BP1'!G21&gt;0,'BP1'!G21,"")</f>
        <v/>
      </c>
      <c r="H21" s="224">
        <f>'BP1'!H21+'BP2'!H21+'BP3'!H21+'BP4'!H21+'BP5'!H21</f>
        <v>0</v>
      </c>
      <c r="I21" s="224">
        <f>'BP1'!I21+'BP2'!I21+'BP3'!I21+'BP4'!I21+'BP5'!I21</f>
        <v>0</v>
      </c>
      <c r="J21" s="224">
        <f>'BP1'!J21+'BP2'!J21+'BP3'!J21+'BP4'!J21+'BP5'!J21</f>
        <v>0</v>
      </c>
      <c r="K21" s="164">
        <f ca="1">'BP1'!K21+'BP2'!K21+'BP3'!K21+'BP4'!K21+'BP5'!K21</f>
        <v>0</v>
      </c>
      <c r="L21" s="163">
        <f ca="1">'BP1'!L21+'BP2'!L21+'BP3'!L21+'BP4'!L21+'BP5'!L21</f>
        <v>0</v>
      </c>
      <c r="M21" s="276">
        <f>'BP1'!M21+'BP2'!M21+'BP3'!M21+'BP4'!M21+'BP5'!M21</f>
        <v>0</v>
      </c>
      <c r="N21" s="162">
        <f ca="1">'BP1'!N21+'BP2'!N21+'BP3'!N21+'BP4'!N21+'BP5'!N21</f>
        <v>0</v>
      </c>
      <c r="O21" s="163">
        <f ca="1">'BP1'!O21+'BP2'!O21+'BP3'!O21+'BP4'!O21+'BP5'!O21</f>
        <v>0</v>
      </c>
      <c r="P21" s="469"/>
      <c r="Q21" s="469"/>
      <c r="R21" s="136" t="s">
        <v>492</v>
      </c>
    </row>
    <row r="22" spans="1:18" s="10" customFormat="1" ht="14.25" hidden="1" customHeight="1">
      <c r="A22" s="257">
        <v>8</v>
      </c>
      <c r="B22" s="981" t="str">
        <f>IF('BP1'!B22&gt;0,'BP1'!B22,"")</f>
        <v/>
      </c>
      <c r="C22" s="982"/>
      <c r="D22" s="982"/>
      <c r="E22" s="982"/>
      <c r="F22" s="983"/>
      <c r="G22" s="268" t="str">
        <f>IF('BP1'!G22&gt;0,'BP1'!G22,"")</f>
        <v/>
      </c>
      <c r="H22" s="224">
        <f>'BP1'!H22+'BP2'!H22+'BP3'!H22+'BP4'!H22+'BP5'!H22</f>
        <v>0</v>
      </c>
      <c r="I22" s="224">
        <f>'BP1'!I22+'BP2'!I22+'BP3'!I22+'BP4'!I22+'BP5'!I22</f>
        <v>0</v>
      </c>
      <c r="J22" s="224">
        <f>'BP1'!J22+'BP2'!J22+'BP3'!J22+'BP4'!J22+'BP5'!J22</f>
        <v>0</v>
      </c>
      <c r="K22" s="164">
        <f ca="1">'BP1'!K22+'BP2'!K22+'BP3'!K22+'BP4'!K22+'BP5'!K22</f>
        <v>0</v>
      </c>
      <c r="L22" s="163">
        <f ca="1">'BP1'!L22+'BP2'!L22+'BP3'!L22+'BP4'!L22+'BP5'!L22</f>
        <v>0</v>
      </c>
      <c r="M22" s="276">
        <f>'BP1'!M22+'BP2'!M22+'BP3'!M22+'BP4'!M22+'BP5'!M22</f>
        <v>0</v>
      </c>
      <c r="N22" s="162">
        <f ca="1">'BP1'!N22+'BP2'!N22+'BP3'!N22+'BP4'!N22+'BP5'!N22</f>
        <v>0</v>
      </c>
      <c r="O22" s="163">
        <f ca="1">'BP1'!O22+'BP2'!O22+'BP3'!O22+'BP4'!O22+'BP5'!O22</f>
        <v>0</v>
      </c>
      <c r="P22" s="469"/>
      <c r="Q22" s="469"/>
      <c r="R22" s="136" t="s">
        <v>492</v>
      </c>
    </row>
    <row r="23" spans="1:18" s="10" customFormat="1" ht="14.25" hidden="1" customHeight="1">
      <c r="A23" s="257">
        <v>9</v>
      </c>
      <c r="B23" s="981" t="str">
        <f>IF('BP1'!B23&gt;0,'BP1'!B23,"")</f>
        <v/>
      </c>
      <c r="C23" s="982"/>
      <c r="D23" s="982"/>
      <c r="E23" s="982"/>
      <c r="F23" s="983"/>
      <c r="G23" s="268" t="str">
        <f>IF('BP1'!G23&gt;0,'BP1'!G23,"")</f>
        <v/>
      </c>
      <c r="H23" s="224">
        <f>'BP1'!H23+'BP2'!H23+'BP3'!H23+'BP4'!H23+'BP5'!H23</f>
        <v>0</v>
      </c>
      <c r="I23" s="224">
        <f>'BP1'!I23+'BP2'!I23+'BP3'!I23+'BP4'!I23+'BP5'!I23</f>
        <v>0</v>
      </c>
      <c r="J23" s="224">
        <f>'BP1'!J23+'BP2'!J23+'BP3'!J23+'BP4'!J23+'BP5'!J23</f>
        <v>0</v>
      </c>
      <c r="K23" s="164">
        <f ca="1">'BP1'!K23+'BP2'!K23+'BP3'!K23+'BP4'!K23+'BP5'!K23</f>
        <v>0</v>
      </c>
      <c r="L23" s="163">
        <f ca="1">'BP1'!L23+'BP2'!L23+'BP3'!L23+'BP4'!L23+'BP5'!L23</f>
        <v>0</v>
      </c>
      <c r="M23" s="276">
        <f>'BP1'!M23+'BP2'!M23+'BP3'!M23+'BP4'!M23+'BP5'!M23</f>
        <v>0</v>
      </c>
      <c r="N23" s="162">
        <f ca="1">'BP1'!N23+'BP2'!N23+'BP3'!N23+'BP4'!N23+'BP5'!N23</f>
        <v>0</v>
      </c>
      <c r="O23" s="163">
        <f ca="1">'BP1'!O23+'BP2'!O23+'BP3'!O23+'BP4'!O23+'BP5'!O23</f>
        <v>0</v>
      </c>
      <c r="P23" s="469"/>
      <c r="Q23" s="469"/>
      <c r="R23" s="136" t="s">
        <v>492</v>
      </c>
    </row>
    <row r="24" spans="1:18" s="10" customFormat="1" ht="14.25" hidden="1" customHeight="1">
      <c r="A24" s="257">
        <v>10</v>
      </c>
      <c r="B24" s="981" t="str">
        <f>IF('BP1'!B24&gt;0,'BP1'!B24,"")</f>
        <v/>
      </c>
      <c r="C24" s="982"/>
      <c r="D24" s="982"/>
      <c r="E24" s="982"/>
      <c r="F24" s="983"/>
      <c r="G24" s="268" t="str">
        <f>IF('BP1'!G24&gt;0,'BP1'!G24,"")</f>
        <v/>
      </c>
      <c r="H24" s="224">
        <f>'BP1'!H24+'BP2'!H24+'BP3'!H24+'BP4'!H24+'BP5'!H24</f>
        <v>0</v>
      </c>
      <c r="I24" s="224">
        <f>'BP1'!I24+'BP2'!I24+'BP3'!I24+'BP4'!I24+'BP5'!I24</f>
        <v>0</v>
      </c>
      <c r="J24" s="224">
        <f>'BP1'!J24+'BP2'!J24+'BP3'!J24+'BP4'!J24+'BP5'!J24</f>
        <v>0</v>
      </c>
      <c r="K24" s="164">
        <f ca="1">'BP1'!K24+'BP2'!K24+'BP3'!K24+'BP4'!K24+'BP5'!K24</f>
        <v>0</v>
      </c>
      <c r="L24" s="163">
        <f ca="1">'BP1'!L24+'BP2'!L24+'BP3'!L24+'BP4'!L24+'BP5'!L24</f>
        <v>0</v>
      </c>
      <c r="M24" s="276">
        <f>'BP1'!M24+'BP2'!M24+'BP3'!M24+'BP4'!M24+'BP5'!M24</f>
        <v>0</v>
      </c>
      <c r="N24" s="162">
        <f ca="1">'BP1'!N24+'BP2'!N24+'BP3'!N24+'BP4'!N24+'BP5'!N24</f>
        <v>0</v>
      </c>
      <c r="O24" s="163">
        <f ca="1">'BP1'!O24+'BP2'!O24+'BP3'!O24+'BP4'!O24+'BP5'!O24</f>
        <v>0</v>
      </c>
      <c r="P24" s="469"/>
      <c r="Q24" s="469"/>
      <c r="R24" s="136" t="s">
        <v>492</v>
      </c>
    </row>
    <row r="25" spans="1:18" s="10" customFormat="1" ht="14.25" hidden="1" customHeight="1">
      <c r="A25" s="257">
        <v>11</v>
      </c>
      <c r="B25" s="981" t="str">
        <f>IF('BP1'!B25&gt;0,'BP1'!B25,"")</f>
        <v/>
      </c>
      <c r="C25" s="982"/>
      <c r="D25" s="982"/>
      <c r="E25" s="982"/>
      <c r="F25" s="983"/>
      <c r="G25" s="268" t="str">
        <f>IF('BP1'!G25&gt;0,'BP1'!G25,"")</f>
        <v/>
      </c>
      <c r="H25" s="224">
        <f>'BP1'!H25+'BP2'!H25+'BP3'!H25+'BP4'!H25+'BP5'!H25</f>
        <v>0</v>
      </c>
      <c r="I25" s="224">
        <f>'BP1'!I25+'BP2'!I25+'BP3'!I25+'BP4'!I25+'BP5'!I25</f>
        <v>0</v>
      </c>
      <c r="J25" s="224">
        <f>'BP1'!J25+'BP2'!J25+'BP3'!J25+'BP4'!J25+'BP5'!J25</f>
        <v>0</v>
      </c>
      <c r="K25" s="164">
        <f ca="1">'BP1'!K25+'BP2'!K25+'BP3'!K25+'BP4'!K25+'BP5'!K25</f>
        <v>0</v>
      </c>
      <c r="L25" s="163">
        <f ca="1">'BP1'!L25+'BP2'!L25+'BP3'!L25+'BP4'!L25+'BP5'!L25</f>
        <v>0</v>
      </c>
      <c r="M25" s="276">
        <f>'BP1'!M25+'BP2'!M25+'BP3'!M25+'BP4'!M25+'BP5'!M25</f>
        <v>0</v>
      </c>
      <c r="N25" s="162">
        <f ca="1">'BP1'!N25+'BP2'!N25+'BP3'!N25+'BP4'!N25+'BP5'!N25</f>
        <v>0</v>
      </c>
      <c r="O25" s="163">
        <f ca="1">'BP1'!O25+'BP2'!O25+'BP3'!O25+'BP4'!O25+'BP5'!O25</f>
        <v>0</v>
      </c>
      <c r="P25" s="469"/>
      <c r="Q25" s="469"/>
      <c r="R25" s="136" t="s">
        <v>493</v>
      </c>
    </row>
    <row r="26" spans="1:18" s="10" customFormat="1" ht="14.25" hidden="1" customHeight="1">
      <c r="A26" s="257">
        <v>12</v>
      </c>
      <c r="B26" s="981" t="str">
        <f>IF('BP1'!B26&gt;0,'BP1'!B26,"")</f>
        <v/>
      </c>
      <c r="C26" s="982"/>
      <c r="D26" s="982"/>
      <c r="E26" s="982"/>
      <c r="F26" s="983"/>
      <c r="G26" s="268" t="str">
        <f>IF('BP1'!G26&gt;0,'BP1'!G26,"")</f>
        <v/>
      </c>
      <c r="H26" s="224">
        <f>'BP1'!H26+'BP2'!H26+'BP3'!H26+'BP4'!H26+'BP5'!H26</f>
        <v>0</v>
      </c>
      <c r="I26" s="224">
        <f>'BP1'!I26+'BP2'!I26+'BP3'!I26+'BP4'!I26+'BP5'!I26</f>
        <v>0</v>
      </c>
      <c r="J26" s="224">
        <f>'BP1'!J26+'BP2'!J26+'BP3'!J26+'BP4'!J26+'BP5'!J26</f>
        <v>0</v>
      </c>
      <c r="K26" s="164">
        <f ca="1">'BP1'!K26+'BP2'!K26+'BP3'!K26+'BP4'!K26+'BP5'!K26</f>
        <v>0</v>
      </c>
      <c r="L26" s="163">
        <f ca="1">'BP1'!L26+'BP2'!L26+'BP3'!L26+'BP4'!L26+'BP5'!L26</f>
        <v>0</v>
      </c>
      <c r="M26" s="276">
        <f>'BP1'!M26+'BP2'!M26+'BP3'!M26+'BP4'!M26+'BP5'!M26</f>
        <v>0</v>
      </c>
      <c r="N26" s="162">
        <f ca="1">'BP1'!N26+'BP2'!N26+'BP3'!N26+'BP4'!N26+'BP5'!N26</f>
        <v>0</v>
      </c>
      <c r="O26" s="163">
        <f ca="1">'BP1'!O26+'BP2'!O26+'BP3'!O26+'BP4'!O26+'BP5'!O26</f>
        <v>0</v>
      </c>
      <c r="P26" s="469"/>
      <c r="Q26" s="469"/>
      <c r="R26" s="136" t="s">
        <v>493</v>
      </c>
    </row>
    <row r="27" spans="1:18" s="10" customFormat="1" ht="14.25" hidden="1" customHeight="1">
      <c r="A27" s="257">
        <v>13</v>
      </c>
      <c r="B27" s="981" t="str">
        <f>IF('BP1'!B27&gt;0,'BP1'!B27,"")</f>
        <v/>
      </c>
      <c r="C27" s="982"/>
      <c r="D27" s="982"/>
      <c r="E27" s="982"/>
      <c r="F27" s="983"/>
      <c r="G27" s="268" t="str">
        <f>IF('BP1'!G27&gt;0,'BP1'!G27,"")</f>
        <v/>
      </c>
      <c r="H27" s="224">
        <f>'BP1'!H27+'BP2'!H27+'BP3'!H27+'BP4'!H27+'BP5'!H27</f>
        <v>0</v>
      </c>
      <c r="I27" s="224">
        <f>'BP1'!I27+'BP2'!I27+'BP3'!I27+'BP4'!I27+'BP5'!I27</f>
        <v>0</v>
      </c>
      <c r="J27" s="224">
        <f>'BP1'!J27+'BP2'!J27+'BP3'!J27+'BP4'!J27+'BP5'!J27</f>
        <v>0</v>
      </c>
      <c r="K27" s="164">
        <f ca="1">'BP1'!K27+'BP2'!K27+'BP3'!K27+'BP4'!K27+'BP5'!K27</f>
        <v>0</v>
      </c>
      <c r="L27" s="163">
        <f ca="1">'BP1'!L27+'BP2'!L27+'BP3'!L27+'BP4'!L27+'BP5'!L27</f>
        <v>0</v>
      </c>
      <c r="M27" s="276">
        <f>'BP1'!M27+'BP2'!M27+'BP3'!M27+'BP4'!M27+'BP5'!M27</f>
        <v>0</v>
      </c>
      <c r="N27" s="162">
        <f ca="1">'BP1'!N27+'BP2'!N27+'BP3'!N27+'BP4'!N27+'BP5'!N27</f>
        <v>0</v>
      </c>
      <c r="O27" s="163">
        <f ca="1">'BP1'!O27+'BP2'!O27+'BP3'!O27+'BP4'!O27+'BP5'!O27</f>
        <v>0</v>
      </c>
      <c r="P27" s="469"/>
      <c r="Q27" s="469"/>
      <c r="R27" s="136" t="s">
        <v>493</v>
      </c>
    </row>
    <row r="28" spans="1:18" s="10" customFormat="1" ht="14.25" hidden="1" customHeight="1">
      <c r="A28" s="257">
        <v>14</v>
      </c>
      <c r="B28" s="981" t="str">
        <f>IF('BP1'!B28&gt;0,'BP1'!B28,"")</f>
        <v/>
      </c>
      <c r="C28" s="982"/>
      <c r="D28" s="982"/>
      <c r="E28" s="982"/>
      <c r="F28" s="983"/>
      <c r="G28" s="268" t="str">
        <f>IF('BP1'!G28&gt;0,'BP1'!G28,"")</f>
        <v/>
      </c>
      <c r="H28" s="224">
        <f>'BP1'!H28+'BP2'!H28+'BP3'!H28+'BP4'!H28+'BP5'!H28</f>
        <v>0</v>
      </c>
      <c r="I28" s="224">
        <f>'BP1'!I28+'BP2'!I28+'BP3'!I28+'BP4'!I28+'BP5'!I28</f>
        <v>0</v>
      </c>
      <c r="J28" s="224">
        <f>'BP1'!J28+'BP2'!J28+'BP3'!J28+'BP4'!J28+'BP5'!J28</f>
        <v>0</v>
      </c>
      <c r="K28" s="164">
        <f ca="1">'BP1'!K28+'BP2'!K28+'BP3'!K28+'BP4'!K28+'BP5'!K28</f>
        <v>0</v>
      </c>
      <c r="L28" s="163">
        <f ca="1">'BP1'!L28+'BP2'!L28+'BP3'!L28+'BP4'!L28+'BP5'!L28</f>
        <v>0</v>
      </c>
      <c r="M28" s="276">
        <f>'BP1'!M28+'BP2'!M28+'BP3'!M28+'BP4'!M28+'BP5'!M28</f>
        <v>0</v>
      </c>
      <c r="N28" s="162">
        <f ca="1">'BP1'!N28+'BP2'!N28+'BP3'!N28+'BP4'!N28+'BP5'!N28</f>
        <v>0</v>
      </c>
      <c r="O28" s="163">
        <f ca="1">'BP1'!O28+'BP2'!O28+'BP3'!O28+'BP4'!O28+'BP5'!O28</f>
        <v>0</v>
      </c>
      <c r="P28" s="469"/>
      <c r="Q28" s="469"/>
      <c r="R28" s="136" t="s">
        <v>493</v>
      </c>
    </row>
    <row r="29" spans="1:18" s="10" customFormat="1" ht="14.25" hidden="1" customHeight="1">
      <c r="A29" s="257">
        <v>15</v>
      </c>
      <c r="B29" s="981" t="str">
        <f>IF('BP1'!B29&gt;0,'BP1'!B29,"")</f>
        <v/>
      </c>
      <c r="C29" s="982"/>
      <c r="D29" s="982"/>
      <c r="E29" s="982"/>
      <c r="F29" s="983"/>
      <c r="G29" s="268" t="str">
        <f>IF('BP1'!G29&gt;0,'BP1'!G29,"")</f>
        <v/>
      </c>
      <c r="H29" s="224">
        <f>'BP1'!H29+'BP2'!H29+'BP3'!H29+'BP4'!H29+'BP5'!H29</f>
        <v>0</v>
      </c>
      <c r="I29" s="224">
        <f>'BP1'!I29+'BP2'!I29+'BP3'!I29+'BP4'!I29+'BP5'!I29</f>
        <v>0</v>
      </c>
      <c r="J29" s="224">
        <f>'BP1'!J29+'BP2'!J29+'BP3'!J29+'BP4'!J29+'BP5'!J29</f>
        <v>0</v>
      </c>
      <c r="K29" s="164">
        <f ca="1">'BP1'!K29+'BP2'!K29+'BP3'!K29+'BP4'!K29+'BP5'!K29</f>
        <v>0</v>
      </c>
      <c r="L29" s="163">
        <f ca="1">'BP1'!L29+'BP2'!L29+'BP3'!L29+'BP4'!L29+'BP5'!L29</f>
        <v>0</v>
      </c>
      <c r="M29" s="276">
        <f>'BP1'!M29+'BP2'!M29+'BP3'!M29+'BP4'!M29+'BP5'!M29</f>
        <v>0</v>
      </c>
      <c r="N29" s="162">
        <f ca="1">'BP1'!N29+'BP2'!N29+'BP3'!N29+'BP4'!N29+'BP5'!N29</f>
        <v>0</v>
      </c>
      <c r="O29" s="163">
        <f ca="1">'BP1'!O29+'BP2'!O29+'BP3'!O29+'BP4'!O29+'BP5'!O29</f>
        <v>0</v>
      </c>
      <c r="P29" s="469"/>
      <c r="Q29" s="469"/>
      <c r="R29" s="136" t="s">
        <v>493</v>
      </c>
    </row>
    <row r="30" spans="1:18" s="10" customFormat="1" ht="14.25" customHeight="1">
      <c r="A30" s="842" t="s">
        <v>209</v>
      </c>
      <c r="B30" s="843"/>
      <c r="C30" s="843"/>
      <c r="D30" s="843"/>
      <c r="E30" s="843"/>
      <c r="F30" s="844"/>
      <c r="G30" s="31"/>
      <c r="H30" s="224">
        <f t="shared" ref="H30:N30" si="0">SUM(H15:H29)</f>
        <v>0</v>
      </c>
      <c r="I30" s="224">
        <f t="shared" si="0"/>
        <v>0</v>
      </c>
      <c r="J30" s="224">
        <f t="shared" si="0"/>
        <v>0</v>
      </c>
      <c r="K30" s="164">
        <f t="shared" ca="1" si="0"/>
        <v>0</v>
      </c>
      <c r="L30" s="164">
        <f t="shared" ca="1" si="0"/>
        <v>0</v>
      </c>
      <c r="M30" s="277">
        <f t="shared" si="0"/>
        <v>0</v>
      </c>
      <c r="N30" s="164">
        <f t="shared" ca="1" si="0"/>
        <v>0</v>
      </c>
      <c r="O30" s="163">
        <f ca="1">SUM(O15:O29)</f>
        <v>0</v>
      </c>
      <c r="P30" s="469"/>
      <c r="Q30" s="469"/>
      <c r="R30" s="136" t="s">
        <v>225</v>
      </c>
    </row>
    <row r="31" spans="1:18" s="10" customFormat="1" ht="14.25" customHeight="1">
      <c r="A31" s="209" t="s">
        <v>210</v>
      </c>
      <c r="B31" s="315"/>
      <c r="C31" s="315"/>
      <c r="D31" s="316"/>
      <c r="E31" s="240"/>
      <c r="F31" s="240"/>
      <c r="G31" s="32"/>
      <c r="H31" s="27"/>
      <c r="I31" s="28"/>
      <c r="J31" s="28"/>
      <c r="K31" s="68"/>
      <c r="L31" s="69"/>
      <c r="M31" s="274"/>
      <c r="N31" s="33"/>
      <c r="O31" s="34"/>
      <c r="P31" s="470"/>
      <c r="Q31" s="470"/>
      <c r="R31" s="136" t="s">
        <v>225</v>
      </c>
    </row>
    <row r="32" spans="1:18" s="10" customFormat="1" ht="14.25" customHeight="1">
      <c r="A32" s="252" t="s">
        <v>3</v>
      </c>
      <c r="B32" s="265">
        <f>'BP1'!B32+'BP2'!B32+'BP3'!B32+'BP4'!B32+'BP5'!B32</f>
        <v>0</v>
      </c>
      <c r="C32" s="204" t="s">
        <v>464</v>
      </c>
      <c r="D32" s="240" t="str">
        <f>"Postdoctoral Associate"&amp;IF(B32&gt;0,"s",)</f>
        <v>Postdoctoral Associate</v>
      </c>
      <c r="E32" s="251"/>
      <c r="F32" s="251"/>
      <c r="G32" s="227" t="s">
        <v>472</v>
      </c>
      <c r="H32" s="224">
        <f>'BP1'!H32+'BP2'!H32+'BP3'!H32+'BP4'!H32+'BP5'!H32</f>
        <v>0</v>
      </c>
      <c r="I32" s="223"/>
      <c r="J32" s="223"/>
      <c r="K32" s="164">
        <f ca="1">'BP1'!K32+'BP2'!K32+'BP3'!K32+'BP4'!K32+'BP5'!K32</f>
        <v>0</v>
      </c>
      <c r="L32" s="163">
        <f>'BP1'!L32+'BP2'!L32+'BP3'!L32+'BP4'!L32+'BP5'!L32</f>
        <v>0</v>
      </c>
      <c r="M32" s="276">
        <f>'BP1'!M32+'BP2'!M32+'BP3'!M32+'BP4'!M32+'BP5'!M32</f>
        <v>0</v>
      </c>
      <c r="N32" s="162">
        <f ca="1">'BP1'!N32+'BP2'!N32+'BP3'!N32+'BP4'!N32+'BP5'!N32</f>
        <v>0</v>
      </c>
      <c r="O32" s="163">
        <f ca="1">'BP1'!O32+'BP2'!O32+'BP3'!O32+'BP4'!O32+'BP5'!O32</f>
        <v>0</v>
      </c>
      <c r="P32" s="469"/>
      <c r="Q32" s="469"/>
      <c r="R32" s="136" t="s">
        <v>225</v>
      </c>
    </row>
    <row r="33" spans="1:18" s="10" customFormat="1" ht="14.25" customHeight="1">
      <c r="A33" s="209" t="s">
        <v>495</v>
      </c>
      <c r="B33" s="265">
        <f>'BP1'!B33+'BP2'!B33+'BP3'!B33+'BP4'!B33+'BP5'!B33</f>
        <v>0</v>
      </c>
      <c r="C33" s="204" t="s">
        <v>464</v>
      </c>
      <c r="D33" s="240" t="str">
        <f>'BP1'!D33</f>
        <v>Other Professional</v>
      </c>
      <c r="E33" s="251"/>
      <c r="F33" s="251"/>
      <c r="G33" s="228" t="s">
        <v>472</v>
      </c>
      <c r="H33" s="224">
        <f>'BP1'!H33+'BP2'!H33+'BP3'!H33+'BP4'!H33+'BP5'!H33</f>
        <v>0</v>
      </c>
      <c r="I33" s="223"/>
      <c r="J33" s="223"/>
      <c r="K33" s="164">
        <f ca="1">'BP1'!K33+'BP2'!K33+'BP3'!K33+'BP4'!K33+'BP5'!K33</f>
        <v>0</v>
      </c>
      <c r="L33" s="163">
        <f>'BP1'!L33+'BP2'!L33+'BP3'!L33+'BP4'!L33+'BP5'!L33</f>
        <v>0</v>
      </c>
      <c r="M33" s="276">
        <f>'BP1'!M33+'BP2'!M33+'BP3'!M33+'BP4'!M33+'BP5'!M33</f>
        <v>0</v>
      </c>
      <c r="N33" s="162">
        <f ca="1">'BP1'!N33+'BP2'!N33+'BP3'!N33+'BP4'!N33+'BP5'!N33</f>
        <v>0</v>
      </c>
      <c r="O33" s="163">
        <f ca="1">'BP1'!O33+'BP2'!O33+'BP3'!O33+'BP4'!O33+'BP5'!O33</f>
        <v>0</v>
      </c>
      <c r="P33" s="469"/>
      <c r="Q33" s="469"/>
      <c r="R33" s="136" t="s">
        <v>225</v>
      </c>
    </row>
    <row r="34" spans="1:18" s="10" customFormat="1" ht="14.25" hidden="1" customHeight="1">
      <c r="A34" s="209" t="s">
        <v>496</v>
      </c>
      <c r="B34" s="265">
        <f>'BP1'!B34+'BP2'!B34+'BP3'!B34+'BP4'!B34+'BP5'!B34</f>
        <v>0</v>
      </c>
      <c r="C34" s="204" t="s">
        <v>464</v>
      </c>
      <c r="D34" s="240" t="str">
        <f>'BP1'!D34</f>
        <v>Other Professional</v>
      </c>
      <c r="E34" s="251"/>
      <c r="F34" s="251"/>
      <c r="G34" s="228" t="s">
        <v>472</v>
      </c>
      <c r="H34" s="224">
        <f>'BP1'!H34+'BP2'!H34+'BP3'!H34+'BP4'!H34+'BP5'!H34</f>
        <v>0</v>
      </c>
      <c r="I34" s="223"/>
      <c r="J34" s="223"/>
      <c r="K34" s="164">
        <f ca="1">'BP1'!K34+'BP2'!K34+'BP3'!K34+'BP4'!K34+'BP5'!K34</f>
        <v>0</v>
      </c>
      <c r="L34" s="163">
        <f>'BP1'!L34+'BP2'!L34+'BP3'!L34+'BP4'!L34+'BP5'!L34</f>
        <v>0</v>
      </c>
      <c r="M34" s="276">
        <f>'BP1'!M34+'BP2'!M34+'BP3'!M34+'BP4'!M34+'BP5'!M34</f>
        <v>0</v>
      </c>
      <c r="N34" s="162">
        <f ca="1">'BP1'!N34+'BP2'!N34+'BP3'!N34+'BP4'!N34+'BP5'!N34</f>
        <v>0</v>
      </c>
      <c r="O34" s="163">
        <f ca="1">'BP1'!O34+'BP2'!O34+'BP3'!O34+'BP4'!O34+'BP5'!O34</f>
        <v>0</v>
      </c>
      <c r="P34" s="469"/>
      <c r="Q34" s="469"/>
      <c r="R34" s="136" t="s">
        <v>500</v>
      </c>
    </row>
    <row r="35" spans="1:18" s="10" customFormat="1" ht="14.25" hidden="1" customHeight="1">
      <c r="A35" s="209" t="s">
        <v>497</v>
      </c>
      <c r="B35" s="265">
        <f>'BP1'!B35+'BP2'!B35+'BP3'!B35+'BP4'!B35+'BP5'!B35</f>
        <v>0</v>
      </c>
      <c r="C35" s="204" t="s">
        <v>464</v>
      </c>
      <c r="D35" s="240" t="str">
        <f>'BP1'!D35</f>
        <v>Other Professional</v>
      </c>
      <c r="E35" s="251"/>
      <c r="F35" s="251"/>
      <c r="G35" s="228" t="s">
        <v>472</v>
      </c>
      <c r="H35" s="224">
        <f>'BP1'!H35+'BP2'!H35+'BP3'!H35+'BP4'!H35+'BP5'!H35</f>
        <v>0</v>
      </c>
      <c r="I35" s="223"/>
      <c r="J35" s="223"/>
      <c r="K35" s="164">
        <f ca="1">'BP1'!K35+'BP2'!K35+'BP3'!K35+'BP4'!K35+'BP5'!K35</f>
        <v>0</v>
      </c>
      <c r="L35" s="163">
        <f>'BP1'!L35+'BP2'!L35+'BP3'!L35+'BP4'!L35+'BP5'!L35</f>
        <v>0</v>
      </c>
      <c r="M35" s="276">
        <f>'BP1'!M35+'BP2'!M35+'BP3'!M35+'BP4'!M35+'BP5'!M35</f>
        <v>0</v>
      </c>
      <c r="N35" s="162">
        <f ca="1">'BP1'!N35+'BP2'!N35+'BP3'!N35+'BP4'!N35+'BP5'!N35</f>
        <v>0</v>
      </c>
      <c r="O35" s="163">
        <f ca="1">'BP1'!O35+'BP2'!O35+'BP3'!O35+'BP4'!O35+'BP5'!O35</f>
        <v>0</v>
      </c>
      <c r="P35" s="469"/>
      <c r="Q35" s="469"/>
      <c r="R35" s="136" t="s">
        <v>500</v>
      </c>
    </row>
    <row r="36" spans="1:18" s="10" customFormat="1" ht="14.25" hidden="1" customHeight="1">
      <c r="A36" s="209" t="s">
        <v>498</v>
      </c>
      <c r="B36" s="265">
        <f>'BP1'!B36+'BP2'!B36+'BP3'!B36+'BP4'!B36+'BP5'!B36</f>
        <v>0</v>
      </c>
      <c r="C36" s="204" t="s">
        <v>464</v>
      </c>
      <c r="D36" s="240" t="str">
        <f>'BP1'!D36</f>
        <v>Other Professional</v>
      </c>
      <c r="E36" s="251"/>
      <c r="F36" s="251"/>
      <c r="G36" s="228" t="s">
        <v>472</v>
      </c>
      <c r="H36" s="224">
        <f>'BP1'!H36+'BP2'!H36+'BP3'!H36+'BP4'!H36+'BP5'!H36</f>
        <v>0</v>
      </c>
      <c r="I36" s="223"/>
      <c r="J36" s="223"/>
      <c r="K36" s="164">
        <f ca="1">'BP1'!K36+'BP2'!K36+'BP3'!K36+'BP4'!K36+'BP5'!K36</f>
        <v>0</v>
      </c>
      <c r="L36" s="163">
        <f>'BP1'!L36+'BP2'!L36+'BP3'!L36+'BP4'!L36+'BP5'!L36</f>
        <v>0</v>
      </c>
      <c r="M36" s="276">
        <f>'BP1'!M36+'BP2'!M36+'BP3'!M36+'BP4'!M36+'BP5'!M36</f>
        <v>0</v>
      </c>
      <c r="N36" s="162">
        <f ca="1">'BP1'!N36+'BP2'!N36+'BP3'!N36+'BP4'!N36+'BP5'!N36</f>
        <v>0</v>
      </c>
      <c r="O36" s="163">
        <f ca="1">'BP1'!O36+'BP2'!O36+'BP3'!O36+'BP4'!O36+'BP5'!O36</f>
        <v>0</v>
      </c>
      <c r="P36" s="469"/>
      <c r="Q36" s="469"/>
      <c r="R36" s="136" t="s">
        <v>500</v>
      </c>
    </row>
    <row r="37" spans="1:18" s="10" customFormat="1" ht="14.25" hidden="1" customHeight="1">
      <c r="A37" s="209" t="s">
        <v>499</v>
      </c>
      <c r="B37" s="265">
        <f>'BP1'!B37+'BP2'!B37+'BP3'!B37+'BP4'!B37+'BP5'!B37</f>
        <v>0</v>
      </c>
      <c r="C37" s="204" t="s">
        <v>464</v>
      </c>
      <c r="D37" s="240" t="str">
        <f>'BP1'!D37</f>
        <v>Other Professional</v>
      </c>
      <c r="E37" s="251"/>
      <c r="F37" s="251"/>
      <c r="G37" s="228" t="s">
        <v>472</v>
      </c>
      <c r="H37" s="224">
        <f>'BP1'!H37+'BP2'!H37+'BP3'!H37+'BP4'!H37+'BP5'!H37</f>
        <v>0</v>
      </c>
      <c r="I37" s="223"/>
      <c r="J37" s="223"/>
      <c r="K37" s="164">
        <f ca="1">'BP1'!K37+'BP2'!K37+'BP3'!K37+'BP4'!K37+'BP5'!K37</f>
        <v>0</v>
      </c>
      <c r="L37" s="163">
        <f>'BP1'!L37+'BP2'!L37+'BP3'!L37+'BP4'!L37+'BP5'!L37</f>
        <v>0</v>
      </c>
      <c r="M37" s="276">
        <f>'BP1'!M37+'BP2'!M37+'BP3'!M37+'BP4'!M37+'BP5'!M37</f>
        <v>0</v>
      </c>
      <c r="N37" s="162">
        <f ca="1">'BP1'!N37+'BP2'!N37+'BP3'!N37+'BP4'!N37+'BP5'!N37</f>
        <v>0</v>
      </c>
      <c r="O37" s="163">
        <f ca="1">'BP1'!O37+'BP2'!O37+'BP3'!O37+'BP4'!O37+'BP5'!O37</f>
        <v>0</v>
      </c>
      <c r="P37" s="469"/>
      <c r="Q37" s="469"/>
      <c r="R37" s="136" t="s">
        <v>500</v>
      </c>
    </row>
    <row r="38" spans="1:18" s="10" customFormat="1" ht="14.25" customHeight="1">
      <c r="A38" s="252" t="s">
        <v>4</v>
      </c>
      <c r="B38" s="265">
        <f>'BP1'!B38+'BP2'!B38+'BP3'!B38+'BP4'!B38+'BP5'!B38</f>
        <v>0</v>
      </c>
      <c r="C38" s="204" t="s">
        <v>464</v>
      </c>
      <c r="D38" s="240" t="str">
        <f>"Graduate Student"&amp;IF(B38&gt;0,"s",)</f>
        <v>Graduate Student</v>
      </c>
      <c r="E38" s="251"/>
      <c r="F38" s="251"/>
      <c r="G38" s="228" t="s">
        <v>472</v>
      </c>
      <c r="H38" s="224">
        <f>'BP1'!H38+'BP2'!H38+'BP3'!H38+'BP4'!H38+'BP5'!H38</f>
        <v>0</v>
      </c>
      <c r="I38" s="223"/>
      <c r="J38" s="223"/>
      <c r="K38" s="164">
        <f ca="1">'BP1'!K38+'BP2'!K38+'BP3'!K38+'BP4'!K38+'BP5'!K38</f>
        <v>0</v>
      </c>
      <c r="L38" s="163">
        <f>'BP1'!L38+'BP2'!L38+'BP3'!L38+'BP4'!L38+'BP5'!L38</f>
        <v>0</v>
      </c>
      <c r="M38" s="276">
        <f>'BP1'!M38+'BP2'!M38+'BP3'!M38+'BP4'!M38+'BP5'!M38</f>
        <v>0</v>
      </c>
      <c r="N38" s="162">
        <f ca="1">'BP1'!N38+'BP2'!N38+'BP3'!N38+'BP4'!N38+'BP5'!N38</f>
        <v>0</v>
      </c>
      <c r="O38" s="163">
        <f ca="1">'BP1'!O38+'BP2'!O38+'BP3'!O38+'BP4'!O38+'BP5'!O38</f>
        <v>0</v>
      </c>
      <c r="P38" s="469"/>
      <c r="Q38" s="469"/>
      <c r="R38" s="136" t="s">
        <v>225</v>
      </c>
    </row>
    <row r="39" spans="1:18" s="10" customFormat="1" ht="14.25" customHeight="1">
      <c r="A39" s="252" t="s">
        <v>5</v>
      </c>
      <c r="B39" s="265">
        <f>'BP1'!B39+'BP2'!B39+'BP3'!B39+'BP4'!B39+'BP5'!B39</f>
        <v>0</v>
      </c>
      <c r="C39" s="204" t="s">
        <v>464</v>
      </c>
      <c r="D39" s="240" t="str">
        <f>"Undergraduate Student"&amp;IF(B39&gt;0,"s",)</f>
        <v>Undergraduate Student</v>
      </c>
      <c r="E39" s="251"/>
      <c r="F39" s="251"/>
      <c r="G39" s="228" t="s">
        <v>472</v>
      </c>
      <c r="H39" s="224">
        <f>'BP1'!H39+'BP2'!H39+'BP3'!H39+'BP4'!H39+'BP5'!H39</f>
        <v>0</v>
      </c>
      <c r="I39" s="223"/>
      <c r="J39" s="223"/>
      <c r="K39" s="164">
        <f ca="1">'BP1'!K39+'BP2'!K39+'BP3'!K39+'BP4'!K39+'BP5'!K39</f>
        <v>0</v>
      </c>
      <c r="L39" s="223"/>
      <c r="M39" s="276">
        <f>'BP1'!M39+'BP2'!M39+'BP3'!M39+'BP4'!M39+'BP5'!M39</f>
        <v>0</v>
      </c>
      <c r="N39" s="162">
        <f ca="1">'BP1'!N39+'BP2'!N39+'BP3'!N39+'BP4'!N39+'BP5'!N39</f>
        <v>0</v>
      </c>
      <c r="O39" s="163">
        <f>'BP1'!O39+'BP2'!O39+'BP3'!O39+'BP4'!O39+'BP5'!O39</f>
        <v>0</v>
      </c>
      <c r="P39" s="469"/>
      <c r="Q39" s="469"/>
      <c r="R39" s="136" t="s">
        <v>225</v>
      </c>
    </row>
    <row r="40" spans="1:18" s="10" customFormat="1" ht="14.25" customHeight="1" thickBot="1">
      <c r="A40" s="252" t="s">
        <v>6</v>
      </c>
      <c r="B40" s="265">
        <f>'BP1'!B40+'BP2'!B40+'BP3'!B40+'BP4'!B40+'BP5'!B40</f>
        <v>0</v>
      </c>
      <c r="C40" s="204" t="s">
        <v>464</v>
      </c>
      <c r="D40" s="240" t="str">
        <f>"Other"&amp;IF(B40&gt;0,"s",)&amp;" (Carrying Statutory Benefits)"</f>
        <v>Other (Carrying Statutory Benefits)</v>
      </c>
      <c r="E40" s="251"/>
      <c r="F40" s="251"/>
      <c r="G40" s="228" t="s">
        <v>472</v>
      </c>
      <c r="H40" s="224">
        <f>'BP1'!H40+'BP2'!H40+'BP3'!H40+'BP4'!H40+'BP5'!H40</f>
        <v>0</v>
      </c>
      <c r="I40" s="223"/>
      <c r="J40" s="223"/>
      <c r="K40" s="254">
        <f ca="1">'BP1'!K40+'BP2'!K40+'BP3'!K40+'BP4'!K40+'BP5'!K40</f>
        <v>0</v>
      </c>
      <c r="L40" s="255">
        <f>'BP1'!L40+'BP2'!L40+'BP3'!L40+'BP4'!L40+'BP5'!L40</f>
        <v>0</v>
      </c>
      <c r="M40" s="276">
        <f>'BP1'!M40+'BP2'!M40+'BP3'!M40+'BP4'!M40+'BP5'!M40</f>
        <v>0</v>
      </c>
      <c r="N40" s="162">
        <f ca="1">'BP1'!N40+'BP2'!N40+'BP3'!N40+'BP4'!N40+'BP5'!N40</f>
        <v>0</v>
      </c>
      <c r="O40" s="163">
        <f ca="1">'BP1'!O40+'BP2'!O40+'BP3'!O40+'BP4'!O40+'BP5'!O40</f>
        <v>0</v>
      </c>
      <c r="P40" s="469"/>
      <c r="Q40" s="469"/>
      <c r="R40" s="136" t="s">
        <v>225</v>
      </c>
    </row>
    <row r="41" spans="1:18" s="10" customFormat="1" ht="14.25" customHeight="1" thickBot="1">
      <c r="A41" s="186"/>
      <c r="B41" s="204" t="s">
        <v>92</v>
      </c>
      <c r="C41" s="187"/>
      <c r="D41" s="181"/>
      <c r="E41" s="181"/>
      <c r="F41" s="181"/>
      <c r="G41" s="181"/>
      <c r="H41" s="188"/>
      <c r="I41" s="189"/>
      <c r="J41" s="187"/>
      <c r="K41" s="852">
        <f ca="1">SUM(K30:K40)</f>
        <v>0</v>
      </c>
      <c r="L41" s="853"/>
      <c r="M41" s="272"/>
      <c r="N41" s="867">
        <f ca="1">SUM(N30:N40)</f>
        <v>0</v>
      </c>
      <c r="O41" s="893"/>
      <c r="P41" s="279"/>
      <c r="Q41" s="279"/>
      <c r="R41" s="136" t="s">
        <v>225</v>
      </c>
    </row>
    <row r="42" spans="1:18" s="10" customFormat="1" ht="14.25" customHeight="1" thickBot="1">
      <c r="A42" s="209" t="s">
        <v>93</v>
      </c>
      <c r="B42" s="187"/>
      <c r="C42" s="187"/>
      <c r="D42" s="178"/>
      <c r="E42" s="178"/>
      <c r="F42" s="190"/>
      <c r="G42" s="191"/>
      <c r="H42" s="192"/>
      <c r="I42" s="189"/>
      <c r="J42" s="187"/>
      <c r="K42" s="852">
        <f ca="1">SUM(L30:L40)</f>
        <v>0</v>
      </c>
      <c r="L42" s="853"/>
      <c r="M42" s="272"/>
      <c r="N42" s="867">
        <f ca="1">SUM(O30:O40)</f>
        <v>0</v>
      </c>
      <c r="O42" s="893"/>
      <c r="P42" s="279"/>
      <c r="Q42" s="279"/>
      <c r="R42" s="136" t="s">
        <v>225</v>
      </c>
    </row>
    <row r="43" spans="1:18" s="10" customFormat="1" ht="14.25" customHeight="1" thickBot="1">
      <c r="A43" s="170"/>
      <c r="B43" s="210" t="s">
        <v>212</v>
      </c>
      <c r="C43" s="171"/>
      <c r="D43" s="172"/>
      <c r="E43" s="172"/>
      <c r="F43" s="172"/>
      <c r="G43" s="172"/>
      <c r="H43" s="171"/>
      <c r="I43" s="171"/>
      <c r="J43" s="171"/>
      <c r="K43" s="852">
        <f ca="1">SUM(K41:K42)</f>
        <v>0</v>
      </c>
      <c r="L43" s="853"/>
      <c r="M43" s="272"/>
      <c r="N43" s="867">
        <f ca="1">SUM(N41:N42)</f>
        <v>0</v>
      </c>
      <c r="O43" s="893"/>
      <c r="P43" s="279"/>
      <c r="Q43" s="279"/>
      <c r="R43" s="136" t="s">
        <v>225</v>
      </c>
    </row>
    <row r="44" spans="1:18" s="10" customFormat="1" ht="14.25" customHeight="1" thickBot="1">
      <c r="A44" s="207" t="s">
        <v>213</v>
      </c>
      <c r="B44" s="319"/>
      <c r="C44" s="319"/>
      <c r="D44" s="320"/>
      <c r="E44" s="167"/>
      <c r="F44" s="167"/>
      <c r="G44" s="167"/>
      <c r="H44" s="166"/>
      <c r="I44" s="182"/>
      <c r="J44" s="166"/>
      <c r="K44" s="62"/>
      <c r="L44" s="63"/>
      <c r="M44" s="272"/>
      <c r="N44" s="35"/>
      <c r="O44" s="36"/>
      <c r="P44" s="471"/>
      <c r="Q44" s="471"/>
      <c r="R44" s="136" t="s">
        <v>225</v>
      </c>
    </row>
    <row r="45" spans="1:18" s="10" customFormat="1" ht="14.25" customHeight="1" thickBot="1">
      <c r="A45" s="207"/>
      <c r="B45" s="768">
        <f>'BP1'!B45</f>
        <v>0</v>
      </c>
      <c r="C45" s="769"/>
      <c r="D45" s="769"/>
      <c r="E45" s="769"/>
      <c r="F45" s="770"/>
      <c r="G45" s="183"/>
      <c r="H45" s="183"/>
      <c r="I45" s="211" t="s">
        <v>162</v>
      </c>
      <c r="J45" s="184"/>
      <c r="K45" s="782">
        <f>'BP1'!K45:L45+'BP2'!K45+'BP3'!K45+'BP4'!K45+'BP5'!K45</f>
        <v>0</v>
      </c>
      <c r="L45" s="866"/>
      <c r="M45" s="272"/>
      <c r="N45" s="782">
        <f>'BP1'!N45:O45+'BP2'!N45+'BP3'!N45+'BP4'!N45+'BP5'!N45</f>
        <v>0</v>
      </c>
      <c r="O45" s="866"/>
      <c r="P45" s="463"/>
      <c r="Q45" s="463"/>
      <c r="R45" s="136" t="s">
        <v>225</v>
      </c>
    </row>
    <row r="46" spans="1:18" s="10" customFormat="1" ht="14.25" hidden="1" customHeight="1" thickBot="1">
      <c r="A46" s="207"/>
      <c r="B46" s="768">
        <f>'BP1'!B46</f>
        <v>0</v>
      </c>
      <c r="C46" s="769"/>
      <c r="D46" s="769"/>
      <c r="E46" s="769"/>
      <c r="F46" s="770"/>
      <c r="G46" s="183"/>
      <c r="H46" s="183"/>
      <c r="I46" s="211" t="s">
        <v>163</v>
      </c>
      <c r="J46" s="184"/>
      <c r="K46" s="782">
        <f>'BP1'!K46:L46+'BP2'!K46+'BP3'!K46+'BP4'!K46+'BP5'!K46</f>
        <v>0</v>
      </c>
      <c r="L46" s="866"/>
      <c r="M46" s="272"/>
      <c r="N46" s="782">
        <f>'BP1'!N46:O46+'BP2'!N46+'BP3'!N46+'BP4'!N46+'BP5'!N46</f>
        <v>0</v>
      </c>
      <c r="O46" s="866"/>
      <c r="P46" s="463"/>
      <c r="Q46" s="463"/>
      <c r="R46" s="136" t="s">
        <v>494</v>
      </c>
    </row>
    <row r="47" spans="1:18" s="10" customFormat="1" ht="14.25" hidden="1" customHeight="1" thickBot="1">
      <c r="A47" s="207"/>
      <c r="B47" s="768">
        <f>'BP1'!B47</f>
        <v>0</v>
      </c>
      <c r="C47" s="769"/>
      <c r="D47" s="769"/>
      <c r="E47" s="769"/>
      <c r="F47" s="770"/>
      <c r="G47" s="183"/>
      <c r="H47" s="183"/>
      <c r="I47" s="211" t="s">
        <v>164</v>
      </c>
      <c r="J47" s="184"/>
      <c r="K47" s="782">
        <f>'BP1'!K47:L47+'BP2'!K47+'BP3'!K47+'BP4'!K47+'BP5'!K47</f>
        <v>0</v>
      </c>
      <c r="L47" s="866"/>
      <c r="M47" s="272"/>
      <c r="N47" s="782">
        <f>'BP1'!N47:O47+'BP2'!N47+'BP3'!N47+'BP4'!N47+'BP5'!N47</f>
        <v>0</v>
      </c>
      <c r="O47" s="866"/>
      <c r="P47" s="463"/>
      <c r="Q47" s="463"/>
      <c r="R47" s="136" t="s">
        <v>494</v>
      </c>
    </row>
    <row r="48" spans="1:18" s="10" customFormat="1" ht="14.25" hidden="1" customHeight="1" thickBot="1">
      <c r="A48" s="207"/>
      <c r="B48" s="768">
        <f>'BP1'!B48</f>
        <v>0</v>
      </c>
      <c r="C48" s="769"/>
      <c r="D48" s="769"/>
      <c r="E48" s="769"/>
      <c r="F48" s="770"/>
      <c r="G48" s="183"/>
      <c r="H48" s="183"/>
      <c r="I48" s="211" t="s">
        <v>165</v>
      </c>
      <c r="J48" s="184"/>
      <c r="K48" s="782">
        <f>'BP1'!K48:L48+'BP2'!K48+'BP3'!K48+'BP4'!K48+'BP5'!K48</f>
        <v>0</v>
      </c>
      <c r="L48" s="866"/>
      <c r="M48" s="272"/>
      <c r="N48" s="782">
        <f>'BP1'!N48:O48+'BP2'!N48+'BP3'!N48+'BP4'!N48+'BP5'!N48</f>
        <v>0</v>
      </c>
      <c r="O48" s="866"/>
      <c r="P48" s="463"/>
      <c r="Q48" s="463"/>
      <c r="R48" s="136" t="s">
        <v>494</v>
      </c>
    </row>
    <row r="49" spans="1:18" s="10" customFormat="1" ht="14.25" hidden="1" customHeight="1" thickBot="1">
      <c r="A49" s="207"/>
      <c r="B49" s="768">
        <f>'BP1'!B49</f>
        <v>0</v>
      </c>
      <c r="C49" s="769"/>
      <c r="D49" s="769"/>
      <c r="E49" s="769"/>
      <c r="F49" s="770"/>
      <c r="G49" s="183"/>
      <c r="H49" s="183"/>
      <c r="I49" s="211" t="s">
        <v>166</v>
      </c>
      <c r="J49" s="184"/>
      <c r="K49" s="782">
        <f>'BP1'!K49:L49+'BP2'!K49+'BP3'!K49+'BP4'!K49+'BP5'!K49</f>
        <v>0</v>
      </c>
      <c r="L49" s="866"/>
      <c r="M49" s="272"/>
      <c r="N49" s="782">
        <f>'BP1'!N49:O49+'BP2'!N49+'BP3'!N49+'BP4'!N49+'BP5'!N49</f>
        <v>0</v>
      </c>
      <c r="O49" s="866"/>
      <c r="P49" s="463"/>
      <c r="Q49" s="463"/>
      <c r="R49" s="136" t="s">
        <v>494</v>
      </c>
    </row>
    <row r="50" spans="1:18" s="10" customFormat="1" ht="14.25" customHeight="1" thickBot="1">
      <c r="A50" s="176"/>
      <c r="B50" s="202" t="s">
        <v>214</v>
      </c>
      <c r="C50" s="177"/>
      <c r="D50" s="169"/>
      <c r="E50" s="169"/>
      <c r="F50" s="169"/>
      <c r="G50" s="169"/>
      <c r="H50" s="169"/>
      <c r="I50" s="169"/>
      <c r="J50" s="169"/>
      <c r="K50" s="852">
        <f>'BP1'!K50:L50+'BP2'!K50+'BP3'!K50+'BP4'!K50+'BP5'!K50</f>
        <v>0</v>
      </c>
      <c r="L50" s="853"/>
      <c r="M50" s="272"/>
      <c r="N50" s="900">
        <f>'BP1'!N50+'BP2'!N50+'BP3'!N50+'BP4'!N50+'BP5'!N50</f>
        <v>0</v>
      </c>
      <c r="O50" s="901">
        <f>'BP1'!O45+'BP2'!O45+'BP3'!O45+'BP4'!O45+'BP5'!O45</f>
        <v>0</v>
      </c>
      <c r="P50" s="472"/>
      <c r="Q50" s="472"/>
      <c r="R50" s="136" t="s">
        <v>225</v>
      </c>
    </row>
    <row r="51" spans="1:18" s="10" customFormat="1" ht="14.25" customHeight="1">
      <c r="A51" s="212" t="s">
        <v>215</v>
      </c>
      <c r="B51" s="210"/>
      <c r="C51" s="210"/>
      <c r="D51" s="526"/>
      <c r="E51" s="526"/>
      <c r="F51" s="214"/>
      <c r="G51" s="440" t="s">
        <v>465</v>
      </c>
      <c r="H51" s="858" t="s">
        <v>94</v>
      </c>
      <c r="I51" s="859"/>
      <c r="J51" s="859"/>
      <c r="K51" s="984">
        <f>'BP1'!K51:L51+'BP2'!K51+'BP3'!K51+'BP4'!K51+'BP5'!K51</f>
        <v>0</v>
      </c>
      <c r="L51" s="985"/>
      <c r="M51" s="272"/>
      <c r="N51" s="974">
        <f>'BP1'!N51+'BP2'!N51+'BP3'!N51+'BP4'!N51+'BP5'!N51</f>
        <v>0</v>
      </c>
      <c r="O51" s="975">
        <f>'BP1'!O46+'BP2'!O46+'BP3'!O46+'BP4'!O46+'BP5'!O46</f>
        <v>0</v>
      </c>
      <c r="P51" s="472"/>
      <c r="Q51" s="472"/>
      <c r="R51" s="136" t="s">
        <v>225</v>
      </c>
    </row>
    <row r="52" spans="1:18" s="10" customFormat="1" ht="14.25" customHeight="1" thickBot="1">
      <c r="A52" s="212"/>
      <c r="B52" s="210"/>
      <c r="C52" s="210"/>
      <c r="D52" s="526"/>
      <c r="E52" s="526"/>
      <c r="F52" s="438"/>
      <c r="G52" s="440" t="s">
        <v>466</v>
      </c>
      <c r="H52" s="858" t="s">
        <v>95</v>
      </c>
      <c r="I52" s="859"/>
      <c r="J52" s="859"/>
      <c r="K52" s="986">
        <f>'BP1'!K52:L52+'BP2'!K52+'BP3'!K52+'BP4'!K52+'BP5'!K52</f>
        <v>0</v>
      </c>
      <c r="L52" s="987"/>
      <c r="M52" s="272"/>
      <c r="N52" s="976">
        <f>'BP1'!N52+'BP2'!N52+'BP3'!N52+'BP4'!N52+'BP5'!N52</f>
        <v>0</v>
      </c>
      <c r="O52" s="977">
        <f>'BP1'!O47+'BP2'!O47+'BP3'!O47+'BP4'!O47+'BP5'!O47</f>
        <v>0</v>
      </c>
      <c r="P52" s="472"/>
      <c r="Q52" s="472"/>
      <c r="R52" s="136" t="s">
        <v>225</v>
      </c>
    </row>
    <row r="53" spans="1:18" s="10" customFormat="1" ht="14.25" customHeight="1" thickBot="1">
      <c r="A53" s="196"/>
      <c r="B53" s="202"/>
      <c r="C53" s="202"/>
      <c r="D53" s="527"/>
      <c r="E53" s="527"/>
      <c r="F53" s="527"/>
      <c r="G53" s="527"/>
      <c r="H53" s="860" t="s">
        <v>110</v>
      </c>
      <c r="I53" s="860"/>
      <c r="J53" s="861"/>
      <c r="K53" s="852">
        <f>SUM(K51:L52)</f>
        <v>0</v>
      </c>
      <c r="L53" s="853"/>
      <c r="M53" s="272"/>
      <c r="N53" s="867">
        <f>N51+N52</f>
        <v>0</v>
      </c>
      <c r="O53" s="893"/>
      <c r="P53" s="279"/>
      <c r="Q53" s="279"/>
      <c r="R53" s="136" t="s">
        <v>225</v>
      </c>
    </row>
    <row r="54" spans="1:18" s="10" customFormat="1" ht="14.25" customHeight="1">
      <c r="A54" s="212" t="s">
        <v>216</v>
      </c>
      <c r="B54" s="317"/>
      <c r="C54" s="317"/>
      <c r="D54" s="318"/>
      <c r="E54" s="239"/>
      <c r="F54" s="239"/>
      <c r="G54" s="239"/>
      <c r="H54" s="210"/>
      <c r="I54" s="217"/>
      <c r="J54" s="210"/>
      <c r="K54" s="66"/>
      <c r="L54" s="67"/>
      <c r="M54" s="272"/>
      <c r="N54" s="37"/>
      <c r="O54" s="38"/>
      <c r="P54" s="471"/>
      <c r="Q54" s="471"/>
      <c r="R54" s="136" t="s">
        <v>225</v>
      </c>
    </row>
    <row r="55" spans="1:18" s="10" customFormat="1" ht="14.25" customHeight="1">
      <c r="A55" s="212"/>
      <c r="B55" s="218">
        <v>1</v>
      </c>
      <c r="C55" s="780" t="str">
        <f>'BP1'!C55</f>
        <v>Materials and Supplies</v>
      </c>
      <c r="D55" s="780"/>
      <c r="E55" s="780"/>
      <c r="F55" s="780"/>
      <c r="G55" s="780"/>
      <c r="H55" s="780"/>
      <c r="I55" s="780"/>
      <c r="J55" s="858"/>
      <c r="K55" s="771">
        <f>'BP1'!K55:L55+'BP2'!K55+'BP3'!K55+'BP4'!K55+'BP5'!K55</f>
        <v>0</v>
      </c>
      <c r="L55" s="772"/>
      <c r="M55" s="272"/>
      <c r="N55" s="782">
        <f>'BP1'!N55+'BP2'!N55+'BP3'!N55+'BP4'!N55+'BP5'!N55</f>
        <v>0</v>
      </c>
      <c r="O55" s="866">
        <f>'BP1'!O50+'BP2'!O50+'BP3'!O50+'BP4'!O50+'BP5'!O50</f>
        <v>0</v>
      </c>
      <c r="P55" s="472"/>
      <c r="Q55" s="472"/>
      <c r="R55" s="136" t="s">
        <v>225</v>
      </c>
    </row>
    <row r="56" spans="1:18" s="10" customFormat="1" ht="14.25" customHeight="1">
      <c r="A56" s="212"/>
      <c r="B56" s="218">
        <v>2</v>
      </c>
      <c r="C56" s="780" t="str">
        <f>'BP1'!C56</f>
        <v>Publication Costs</v>
      </c>
      <c r="D56" s="780"/>
      <c r="E56" s="780"/>
      <c r="F56" s="780"/>
      <c r="G56" s="780"/>
      <c r="H56" s="780"/>
      <c r="I56" s="780"/>
      <c r="J56" s="858"/>
      <c r="K56" s="771">
        <f>'BP1'!K56:L56+'BP2'!K56+'BP3'!K56+'BP4'!K56+'BP5'!K56</f>
        <v>0</v>
      </c>
      <c r="L56" s="772"/>
      <c r="M56" s="272"/>
      <c r="N56" s="782">
        <f>'BP1'!N56+'BP2'!N56+'BP3'!N56+'BP4'!N56+'BP5'!N56</f>
        <v>0</v>
      </c>
      <c r="O56" s="866">
        <f>'BP1'!O51+'BP2'!O51+'BP3'!O51+'BP4'!O51+'BP5'!O51</f>
        <v>0</v>
      </c>
      <c r="P56" s="472"/>
      <c r="Q56" s="472"/>
      <c r="R56" s="136" t="s">
        <v>225</v>
      </c>
    </row>
    <row r="57" spans="1:18" s="10" customFormat="1" ht="14.25" customHeight="1">
      <c r="A57" s="212"/>
      <c r="B57" s="218">
        <v>3</v>
      </c>
      <c r="C57" s="780" t="str">
        <f>'BP1'!C57</f>
        <v>Consultant Services</v>
      </c>
      <c r="D57" s="780"/>
      <c r="E57" s="780"/>
      <c r="F57" s="780"/>
      <c r="G57" s="780"/>
      <c r="H57" s="780"/>
      <c r="I57" s="780"/>
      <c r="J57" s="858"/>
      <c r="K57" s="771">
        <f>'BP1'!K57:L57+'BP2'!K57+'BP3'!K57+'BP4'!K57+'BP5'!K57</f>
        <v>0</v>
      </c>
      <c r="L57" s="772"/>
      <c r="M57" s="272"/>
      <c r="N57" s="782">
        <f>'BP1'!N57+'BP2'!N57+'BP3'!N57+'BP4'!N57+'BP5'!N57</f>
        <v>0</v>
      </c>
      <c r="O57" s="866">
        <f>'BP1'!O52+'BP2'!O52+'BP3'!O52+'BP4'!O52+'BP5'!O52</f>
        <v>0</v>
      </c>
      <c r="P57" s="472"/>
      <c r="Q57" s="472"/>
      <c r="R57" s="136" t="s">
        <v>225</v>
      </c>
    </row>
    <row r="58" spans="1:18" s="10" customFormat="1" ht="14.25" customHeight="1">
      <c r="A58" s="212"/>
      <c r="B58" s="218">
        <v>4</v>
      </c>
      <c r="C58" s="780" t="str">
        <f>'BP1'!C58</f>
        <v>Computer Services</v>
      </c>
      <c r="D58" s="780"/>
      <c r="E58" s="780"/>
      <c r="F58" s="780"/>
      <c r="G58" s="780"/>
      <c r="H58" s="780"/>
      <c r="I58" s="780"/>
      <c r="J58" s="858"/>
      <c r="K58" s="771">
        <f>'BP1'!K58:L58+'BP2'!K58+'BP3'!K58+'BP4'!K58+'BP5'!K58</f>
        <v>0</v>
      </c>
      <c r="L58" s="772"/>
      <c r="M58" s="272"/>
      <c r="N58" s="782">
        <f>'BP1'!N58+'BP2'!N58+'BP3'!N58+'BP4'!N58+'BP5'!N58</f>
        <v>0</v>
      </c>
      <c r="O58" s="866">
        <f>'BP1'!O53+'BP2'!O53+'BP3'!O53+'BP4'!O53+'BP5'!O53</f>
        <v>0</v>
      </c>
      <c r="P58" s="472"/>
      <c r="Q58" s="472"/>
      <c r="R58" s="136" t="s">
        <v>225</v>
      </c>
    </row>
    <row r="59" spans="1:18" s="10" customFormat="1" ht="14.25" customHeight="1">
      <c r="A59" s="212"/>
      <c r="B59" s="218">
        <v>5</v>
      </c>
      <c r="C59" s="780" t="s">
        <v>221</v>
      </c>
      <c r="D59" s="780"/>
      <c r="E59" s="780"/>
      <c r="F59" s="780"/>
      <c r="G59" s="780"/>
      <c r="H59" s="780"/>
      <c r="I59" s="780"/>
      <c r="J59" s="858"/>
      <c r="K59" s="771">
        <f>'BP1'!K59:L59+'BP2'!K59+'BP3'!K59+'BP4'!K59+'BP5'!K59</f>
        <v>0</v>
      </c>
      <c r="L59" s="772"/>
      <c r="M59" s="272"/>
      <c r="N59" s="771">
        <f>'BP1'!N59+'BP2'!N59+'BP3'!N59+'BP4'!N59+'BP5'!N59</f>
        <v>0</v>
      </c>
      <c r="O59" s="772">
        <f>'BP1'!O54+'BP2'!O54+'BP3'!O54+'BP4'!O54+'BP5'!O54</f>
        <v>0</v>
      </c>
      <c r="P59" s="279"/>
      <c r="Q59" s="279"/>
      <c r="R59" s="136" t="s">
        <v>225</v>
      </c>
    </row>
    <row r="60" spans="1:18" s="10" customFormat="1" ht="14.25" customHeight="1">
      <c r="A60" s="212"/>
      <c r="B60" s="218">
        <v>6</v>
      </c>
      <c r="C60" s="780" t="str">
        <f>'BP1'!C60</f>
        <v>MTDC Other</v>
      </c>
      <c r="D60" s="780"/>
      <c r="E60" s="780"/>
      <c r="F60" s="780"/>
      <c r="G60" s="780"/>
      <c r="H60" s="780"/>
      <c r="I60" s="780"/>
      <c r="J60" s="858"/>
      <c r="K60" s="771">
        <f>'BP1'!K60:L60+'BP2'!K60+'BP3'!K60+'BP4'!K60+'BP5'!K60</f>
        <v>0</v>
      </c>
      <c r="L60" s="772"/>
      <c r="M60" s="272"/>
      <c r="N60" s="782">
        <f>'BP1'!N60+'BP2'!N60+'BP3'!N60+'BP4'!N60+'BP5'!N60</f>
        <v>0</v>
      </c>
      <c r="O60" s="866">
        <f>'BP1'!O55+'BP2'!O55+'BP3'!O55+'BP4'!O55+'BP5'!O55</f>
        <v>0</v>
      </c>
      <c r="P60" s="472"/>
      <c r="Q60" s="472"/>
      <c r="R60" s="136" t="s">
        <v>225</v>
      </c>
    </row>
    <row r="61" spans="1:18" s="10" customFormat="1" ht="14.25" customHeight="1" thickBot="1">
      <c r="A61" s="212"/>
      <c r="B61" s="218">
        <v>7</v>
      </c>
      <c r="C61" s="780" t="str">
        <f>'BP1'!C61</f>
        <v>Non-MTDC Other (no indirect costs)</v>
      </c>
      <c r="D61" s="780"/>
      <c r="E61" s="780"/>
      <c r="F61" s="780"/>
      <c r="G61" s="780"/>
      <c r="H61" s="780"/>
      <c r="I61" s="780"/>
      <c r="J61" s="858"/>
      <c r="K61" s="771">
        <f>'BP1'!K61:L61+'BP2'!K61+'BP3'!K61+'BP4'!K61+'BP5'!K61</f>
        <v>0</v>
      </c>
      <c r="L61" s="772"/>
      <c r="M61" s="272"/>
      <c r="N61" s="782">
        <f>'BP1'!N61+'BP2'!N61+'BP3'!N61+'BP4'!N61+'BP5'!N61</f>
        <v>0</v>
      </c>
      <c r="O61" s="866">
        <f>'BP1'!O56+'BP2'!O56+'BP3'!O56+'BP4'!O56+'BP5'!O56</f>
        <v>0</v>
      </c>
      <c r="P61" s="472"/>
      <c r="Q61" s="472"/>
      <c r="R61" s="136" t="s">
        <v>225</v>
      </c>
    </row>
    <row r="62" spans="1:18" s="10" customFormat="1" ht="14.25" customHeight="1" thickBot="1">
      <c r="A62" s="170"/>
      <c r="B62" s="271">
        <v>8</v>
      </c>
      <c r="C62" s="780" t="str">
        <f>'BP1'!C62:D62</f>
        <v>Subaward I</v>
      </c>
      <c r="D62" s="780"/>
      <c r="E62" s="778" t="s">
        <v>298</v>
      </c>
      <c r="F62" s="779"/>
      <c r="G62" s="768">
        <f>IF(ISBLANK('BP1'!G62),"",'BP1'!G62)</f>
        <v>0</v>
      </c>
      <c r="H62" s="769"/>
      <c r="I62" s="770"/>
      <c r="J62" s="299"/>
      <c r="K62" s="771">
        <f>IF('Subaward Calculator'!AD9&gt;0,'Subaward Calculator'!AD9,'BP1'!K62+IF('BP2'!K62="",0,'BP2'!K62)+IF('BP3'!K62="",0,'BP3'!K62)+IF('BP4'!K62="",0,'BP4'!K62)+IF('BP5'!K62="",0,'BP5'!K62))</f>
        <v>0</v>
      </c>
      <c r="L62" s="772"/>
      <c r="M62" s="272"/>
      <c r="N62" s="782">
        <f>'Subaward Calculator'!AF9</f>
        <v>0</v>
      </c>
      <c r="O62" s="866">
        <f>'BP1'!O57+'BP2'!O57+'BP3'!O57+'BP4'!O57+'BP5'!O57</f>
        <v>0</v>
      </c>
      <c r="P62" s="473"/>
      <c r="Q62" s="473"/>
      <c r="R62" s="136" t="s">
        <v>225</v>
      </c>
    </row>
    <row r="63" spans="1:18" s="10" customFormat="1" ht="14.25" hidden="1" customHeight="1" thickBot="1">
      <c r="A63" s="212"/>
      <c r="B63" s="271"/>
      <c r="C63" s="780" t="str">
        <f>'BP1'!C63:D63</f>
        <v>Subaward II</v>
      </c>
      <c r="D63" s="780"/>
      <c r="E63" s="778" t="s">
        <v>298</v>
      </c>
      <c r="F63" s="779"/>
      <c r="G63" s="768">
        <f>IF(ISBLANK('BP1'!G63),"",'BP1'!G63)</f>
        <v>0</v>
      </c>
      <c r="H63" s="769"/>
      <c r="I63" s="770"/>
      <c r="J63" s="299"/>
      <c r="K63" s="771">
        <f>IF('Subaward Calculator'!AD12&gt;0,'Subaward Calculator'!AD12,'BP1'!K63+IF('BP2'!K63="",0,'BP2'!K63)+IF('BP3'!K63="",0,'BP3'!K63)+IF('BP4'!K63="",0,'BP4'!K63)+IF('BP5'!K63="",0,'BP5'!K63))</f>
        <v>0</v>
      </c>
      <c r="L63" s="772"/>
      <c r="M63" s="272"/>
      <c r="N63" s="782">
        <f>'Subaward Calculator'!AF12</f>
        <v>0</v>
      </c>
      <c r="O63" s="866">
        <f>'BP1'!O58+'BP2'!O58+'BP3'!O58+'BP4'!O58+'BP5'!O58</f>
        <v>0</v>
      </c>
      <c r="P63" s="473"/>
      <c r="Q63" s="473"/>
      <c r="R63" s="136" t="s">
        <v>228</v>
      </c>
    </row>
    <row r="64" spans="1:18" s="10" customFormat="1" ht="14.25" hidden="1" customHeight="1" thickBot="1">
      <c r="A64" s="170"/>
      <c r="B64" s="271"/>
      <c r="C64" s="780" t="str">
        <f>'BP1'!C64:D64</f>
        <v>Subaward III</v>
      </c>
      <c r="D64" s="780"/>
      <c r="E64" s="778" t="s">
        <v>298</v>
      </c>
      <c r="F64" s="779"/>
      <c r="G64" s="768">
        <f>IF(ISBLANK('BP1'!G64),"",'BP1'!G64)</f>
        <v>0</v>
      </c>
      <c r="H64" s="769"/>
      <c r="I64" s="770"/>
      <c r="J64" s="299"/>
      <c r="K64" s="771">
        <f>IF('Subaward Calculator'!AD15&gt;0,'Subaward Calculator'!AD15,'BP1'!K64+IF('BP2'!K64="",0,'BP2'!K64)+IF('BP3'!K64="",0,'BP3'!K64)+IF('BP4'!K64="",0,'BP4'!K64)+IF('BP5'!K64="",0,'BP5'!K64))</f>
        <v>0</v>
      </c>
      <c r="L64" s="772"/>
      <c r="M64" s="272"/>
      <c r="N64" s="782">
        <f>'Subaward Calculator'!AF15</f>
        <v>0</v>
      </c>
      <c r="O64" s="866">
        <f>'BP1'!O59+'BP2'!O59+'BP3'!O59+'BP4'!O59+'BP5'!O59</f>
        <v>0</v>
      </c>
      <c r="P64" s="473"/>
      <c r="Q64" s="473"/>
      <c r="R64" s="136" t="s">
        <v>228</v>
      </c>
    </row>
    <row r="65" spans="1:18" s="10" customFormat="1" ht="14.25" hidden="1" customHeight="1" thickBot="1">
      <c r="A65" s="170"/>
      <c r="B65" s="271"/>
      <c r="C65" s="780" t="str">
        <f>'BP1'!C65:D65</f>
        <v>Subaward IV</v>
      </c>
      <c r="D65" s="780"/>
      <c r="E65" s="778" t="s">
        <v>298</v>
      </c>
      <c r="F65" s="779"/>
      <c r="G65" s="768">
        <f>IF(ISBLANK('BP1'!G65),"",'BP1'!G65)</f>
        <v>0</v>
      </c>
      <c r="H65" s="769"/>
      <c r="I65" s="770"/>
      <c r="J65" s="299"/>
      <c r="K65" s="771">
        <f>IF('Subaward Calculator'!AD18&gt;0,'Subaward Calculator'!AD18,'BP1'!K65+IF('BP2'!K65="",0,'BP2'!K65)+IF('BP3'!K65="",0,'BP3'!K65)+IF('BP4'!K65="",0,'BP4'!K65)+IF('BP5'!K65="",0,'BP5'!K65))</f>
        <v>0</v>
      </c>
      <c r="L65" s="772"/>
      <c r="M65" s="272"/>
      <c r="N65" s="782">
        <f>'Subaward Calculator'!AF18</f>
        <v>0</v>
      </c>
      <c r="O65" s="866">
        <f>'BP1'!O60+'BP2'!O60+'BP3'!O60+'BP4'!O60+'BP5'!O60</f>
        <v>0</v>
      </c>
      <c r="P65" s="473"/>
      <c r="Q65" s="473"/>
      <c r="R65" s="136" t="s">
        <v>228</v>
      </c>
    </row>
    <row r="66" spans="1:18" s="10" customFormat="1" ht="14.25" hidden="1" customHeight="1" thickBot="1">
      <c r="A66" s="170"/>
      <c r="B66" s="271"/>
      <c r="C66" s="780" t="str">
        <f>'BP1'!C66:D66</f>
        <v>Subaward V</v>
      </c>
      <c r="D66" s="780"/>
      <c r="E66" s="778" t="s">
        <v>298</v>
      </c>
      <c r="F66" s="779"/>
      <c r="G66" s="768">
        <f>IF(ISBLANK('BP1'!G66),"",'BP1'!G66)</f>
        <v>0</v>
      </c>
      <c r="H66" s="769"/>
      <c r="I66" s="770"/>
      <c r="J66" s="299"/>
      <c r="K66" s="771">
        <f>IF('Subaward Calculator'!AD21&gt;0,'Subaward Calculator'!AD21,'BP1'!K66+IF('BP2'!K66="",0,'BP2'!K66)+IF('BP3'!K66="",0,'BP3'!K66)+IF('BP4'!K66="",0,'BP4'!K66)+IF('BP5'!K66="",0,'BP5'!K66))</f>
        <v>0</v>
      </c>
      <c r="L66" s="772"/>
      <c r="M66" s="272"/>
      <c r="N66" s="782">
        <f>'Subaward Calculator'!AF21</f>
        <v>0</v>
      </c>
      <c r="O66" s="866">
        <f>'BP1'!O61+'BP2'!O61+'BP3'!O61+'BP4'!O61+'BP5'!O61</f>
        <v>0</v>
      </c>
      <c r="P66" s="473"/>
      <c r="Q66" s="473"/>
      <c r="R66" s="136" t="s">
        <v>228</v>
      </c>
    </row>
    <row r="67" spans="1:18" s="10" customFormat="1" ht="14.25" hidden="1" customHeight="1" thickBot="1">
      <c r="A67" s="170"/>
      <c r="B67" s="271"/>
      <c r="C67" s="780" t="str">
        <f>'BP1'!C67:D67</f>
        <v>Subaward VI</v>
      </c>
      <c r="D67" s="780"/>
      <c r="E67" s="778" t="s">
        <v>298</v>
      </c>
      <c r="F67" s="779"/>
      <c r="G67" s="768">
        <f>IF(ISBLANK('BP1'!G67),"",'BP1'!G67)</f>
        <v>0</v>
      </c>
      <c r="H67" s="769"/>
      <c r="I67" s="770"/>
      <c r="J67" s="299"/>
      <c r="K67" s="771">
        <f>IF('Subaward Calculator'!AD24&gt;0,'Subaward Calculator'!AD24,'BP1'!K67+IF('BP2'!K67="",0,'BP2'!K67)+IF('BP3'!K67="",0,'BP3'!K67)+IF('BP4'!K67="",0,'BP4'!K67)+IF('BP5'!K67="",0,'BP5'!K67))</f>
        <v>0</v>
      </c>
      <c r="L67" s="772"/>
      <c r="M67" s="272"/>
      <c r="N67" s="782">
        <f>'Subaward Calculator'!AF24</f>
        <v>0</v>
      </c>
      <c r="O67" s="866">
        <f>'BP1'!O62+'BP2'!O62+'BP3'!O62+'BP4'!O62+'BP5'!O62</f>
        <v>0</v>
      </c>
      <c r="P67" s="473"/>
      <c r="Q67" s="473"/>
      <c r="R67" s="136" t="s">
        <v>228</v>
      </c>
    </row>
    <row r="68" spans="1:18" s="10" customFormat="1" ht="14.25" hidden="1" customHeight="1" thickBot="1">
      <c r="A68" s="170"/>
      <c r="B68" s="271"/>
      <c r="C68" s="780" t="str">
        <f>'BP1'!C68:D68</f>
        <v>Subaward VII</v>
      </c>
      <c r="D68" s="780"/>
      <c r="E68" s="778" t="s">
        <v>298</v>
      </c>
      <c r="F68" s="779"/>
      <c r="G68" s="768">
        <f>IF(ISBLANK('BP1'!G68),"",'BP1'!G68)</f>
        <v>0</v>
      </c>
      <c r="H68" s="769"/>
      <c r="I68" s="770"/>
      <c r="J68" s="299"/>
      <c r="K68" s="771">
        <f>IF('Subaward Calculator'!AD27&gt;0,'Subaward Calculator'!AD27,'BP1'!K68+IF('BP2'!K68="",0,'BP2'!K68)+IF('BP3'!K68="",0,'BP3'!K68)+IF('BP4'!K68="",0,'BP4'!K68)+IF('BP5'!K68="",0,'BP5'!K68))</f>
        <v>0</v>
      </c>
      <c r="L68" s="772"/>
      <c r="M68" s="272"/>
      <c r="N68" s="782">
        <f>'Subaward Calculator'!AF27</f>
        <v>0</v>
      </c>
      <c r="O68" s="866">
        <f>'BP1'!O63+'BP2'!O63+'BP3'!O63+'BP4'!O63+'BP5'!O63</f>
        <v>0</v>
      </c>
      <c r="P68" s="473"/>
      <c r="Q68" s="473"/>
      <c r="R68" s="136" t="s">
        <v>229</v>
      </c>
    </row>
    <row r="69" spans="1:18" s="10" customFormat="1" ht="14.25" hidden="1" customHeight="1" thickBot="1">
      <c r="A69" s="170"/>
      <c r="B69" s="271"/>
      <c r="C69" s="780" t="str">
        <f>'BP1'!C69:D69</f>
        <v>Subaward VIII</v>
      </c>
      <c r="D69" s="780"/>
      <c r="E69" s="778" t="s">
        <v>298</v>
      </c>
      <c r="F69" s="779"/>
      <c r="G69" s="768">
        <f>IF(ISBLANK('BP1'!G69),"",'BP1'!G69)</f>
        <v>0</v>
      </c>
      <c r="H69" s="769"/>
      <c r="I69" s="770"/>
      <c r="J69" s="299"/>
      <c r="K69" s="771">
        <f>IF('Subaward Calculator'!AD30&gt;0,'Subaward Calculator'!AD30,'BP1'!K69+IF('BP2'!K69="",0,'BP2'!K69)+IF('BP3'!K69="",0,'BP3'!K69)+IF('BP4'!K69="",0,'BP4'!K69)+IF('BP5'!K69="",0,'BP5'!K69))</f>
        <v>0</v>
      </c>
      <c r="L69" s="772"/>
      <c r="M69" s="272"/>
      <c r="N69" s="782">
        <f>'Subaward Calculator'!AF30</f>
        <v>0</v>
      </c>
      <c r="O69" s="866">
        <f>'BP1'!O64+'BP2'!O64+'BP3'!O64+'BP4'!O64+'BP5'!O64</f>
        <v>0</v>
      </c>
      <c r="P69" s="473"/>
      <c r="Q69" s="473"/>
      <c r="R69" s="136" t="s">
        <v>229</v>
      </c>
    </row>
    <row r="70" spans="1:18" s="10" customFormat="1" ht="14.25" hidden="1" customHeight="1" thickBot="1">
      <c r="A70" s="170"/>
      <c r="B70" s="271"/>
      <c r="C70" s="780" t="str">
        <f>'BP1'!C70:D70</f>
        <v>Subaward IX</v>
      </c>
      <c r="D70" s="780"/>
      <c r="E70" s="778" t="s">
        <v>298</v>
      </c>
      <c r="F70" s="779"/>
      <c r="G70" s="768">
        <f>IF(ISBLANK('BP1'!G70),"",'BP1'!G70)</f>
        <v>0</v>
      </c>
      <c r="H70" s="769"/>
      <c r="I70" s="770"/>
      <c r="J70" s="299"/>
      <c r="K70" s="771">
        <f>IF('Subaward Calculator'!AD33&gt;0,'Subaward Calculator'!AD33,'BP1'!K70+IF('BP2'!K70="",0,'BP2'!K70)+IF('BP3'!K70="",0,'BP3'!K70)+IF('BP4'!K70="",0,'BP4'!K70)+IF('BP5'!K70="",0,'BP5'!K70))</f>
        <v>0</v>
      </c>
      <c r="L70" s="772"/>
      <c r="M70" s="272"/>
      <c r="N70" s="782">
        <f>'Subaward Calculator'!AF33</f>
        <v>0</v>
      </c>
      <c r="O70" s="866">
        <f>'BP1'!O65+'BP2'!O65+'BP3'!O65+'BP4'!O65+'BP5'!O65</f>
        <v>0</v>
      </c>
      <c r="P70" s="473"/>
      <c r="Q70" s="473"/>
      <c r="R70" s="136" t="s">
        <v>229</v>
      </c>
    </row>
    <row r="71" spans="1:18" s="10" customFormat="1" ht="14.25" hidden="1" customHeight="1" thickBot="1">
      <c r="A71" s="170"/>
      <c r="B71" s="271"/>
      <c r="C71" s="780" t="str">
        <f>'BP1'!C71:D71</f>
        <v>Subaward X</v>
      </c>
      <c r="D71" s="780"/>
      <c r="E71" s="778" t="s">
        <v>298</v>
      </c>
      <c r="F71" s="779"/>
      <c r="G71" s="768">
        <f>IF(ISBLANK('BP1'!G71),"",'BP1'!G71)</f>
        <v>0</v>
      </c>
      <c r="H71" s="769"/>
      <c r="I71" s="770"/>
      <c r="J71" s="299"/>
      <c r="K71" s="771">
        <f>IF('Subaward Calculator'!AD36&gt;0,'Subaward Calculator'!AD36,'BP1'!K71+IF('BP2'!K71="",0,'BP2'!K71)+IF('BP3'!K71="",0,'BP3'!K71)+IF('BP4'!K71="",0,'BP4'!K71)+IF('BP5'!K71="",0,'BP5'!K71))</f>
        <v>0</v>
      </c>
      <c r="L71" s="772"/>
      <c r="M71" s="272"/>
      <c r="N71" s="782">
        <f>'Subaward Calculator'!AF36</f>
        <v>0</v>
      </c>
      <c r="O71" s="866">
        <f>'BP1'!O66+'BP2'!O66+'BP3'!O66+'BP4'!O66+'BP5'!O66</f>
        <v>0</v>
      </c>
      <c r="P71" s="473"/>
      <c r="Q71" s="473"/>
      <c r="R71" s="136" t="s">
        <v>229</v>
      </c>
    </row>
    <row r="72" spans="1:18" s="10" customFormat="1" ht="14.25" hidden="1" customHeight="1" thickBot="1">
      <c r="A72" s="170"/>
      <c r="B72" s="271"/>
      <c r="C72" s="780" t="str">
        <f>'BP1'!C72:D72</f>
        <v>Subaward XI</v>
      </c>
      <c r="D72" s="780"/>
      <c r="E72" s="778" t="s">
        <v>298</v>
      </c>
      <c r="F72" s="779"/>
      <c r="G72" s="768">
        <f>IF(ISBLANK('BP1'!G72),"",'BP1'!G72)</f>
        <v>0</v>
      </c>
      <c r="H72" s="769"/>
      <c r="I72" s="770"/>
      <c r="J72" s="299"/>
      <c r="K72" s="771">
        <f>IF('Subaward Calculator'!AD39&gt;0,'Subaward Calculator'!AD39,'BP1'!K72+IF('BP2'!K72="",0,'BP2'!K72)+IF('BP3'!K72="",0,'BP3'!K72)+IF('BP4'!K72="",0,'BP4'!K72)+IF('BP5'!K72="",0,'BP5'!K72))</f>
        <v>0</v>
      </c>
      <c r="L72" s="772"/>
      <c r="M72" s="272"/>
      <c r="N72" s="782">
        <f>'Subaward Calculator'!AF39</f>
        <v>0</v>
      </c>
      <c r="O72" s="866">
        <f>'BP1'!O67+'BP2'!O67+'BP3'!O67+'BP4'!O67+'BP5'!O67</f>
        <v>0</v>
      </c>
      <c r="P72" s="473"/>
      <c r="Q72" s="473"/>
      <c r="R72" s="136" t="s">
        <v>229</v>
      </c>
    </row>
    <row r="73" spans="1:18" s="10" customFormat="1" ht="14.25" hidden="1" customHeight="1" thickBot="1">
      <c r="A73" s="170"/>
      <c r="B73" s="271"/>
      <c r="C73" s="780" t="str">
        <f>'BP1'!C73:D73</f>
        <v>Subaward XII</v>
      </c>
      <c r="D73" s="780"/>
      <c r="E73" s="778" t="s">
        <v>298</v>
      </c>
      <c r="F73" s="779"/>
      <c r="G73" s="768">
        <f>IF(ISBLANK('BP1'!G73),"",'BP1'!G73)</f>
        <v>0</v>
      </c>
      <c r="H73" s="769"/>
      <c r="I73" s="770"/>
      <c r="J73" s="299"/>
      <c r="K73" s="771">
        <f>IF('Subaward Calculator'!AD42&gt;0,'Subaward Calculator'!AD42,'BP1'!K73+IF('BP2'!K73="",0,'BP2'!K73)+IF('BP3'!K73="",0,'BP3'!K73)+IF('BP4'!K73="",0,'BP4'!K73)+IF('BP5'!K73="",0,'BP5'!K73))</f>
        <v>0</v>
      </c>
      <c r="L73" s="772"/>
      <c r="M73" s="272"/>
      <c r="N73" s="782">
        <f>'Subaward Calculator'!AF42</f>
        <v>0</v>
      </c>
      <c r="O73" s="866">
        <f>'BP1'!O68+'BP2'!O68+'BP3'!O68+'BP4'!O68+'BP5'!O68</f>
        <v>0</v>
      </c>
      <c r="P73" s="473"/>
      <c r="Q73" s="473"/>
      <c r="R73" s="136" t="s">
        <v>229</v>
      </c>
    </row>
    <row r="74" spans="1:18" s="10" customFormat="1" ht="14.25" customHeight="1" thickBot="1">
      <c r="A74" s="212" t="s">
        <v>96</v>
      </c>
      <c r="B74" s="171"/>
      <c r="C74" s="171"/>
      <c r="D74" s="174"/>
      <c r="E74" s="175"/>
      <c r="F74" s="175"/>
      <c r="G74" s="175"/>
      <c r="H74" s="171"/>
      <c r="I74" s="173"/>
      <c r="J74" s="171"/>
      <c r="K74" s="852">
        <f>SUM(K55:L73)</f>
        <v>0</v>
      </c>
      <c r="L74" s="853"/>
      <c r="M74" s="272"/>
      <c r="N74" s="867">
        <f>SUM(N55:N73)</f>
        <v>0</v>
      </c>
      <c r="O74" s="893"/>
      <c r="P74" s="279"/>
      <c r="Q74" s="279"/>
      <c r="R74" s="136" t="s">
        <v>225</v>
      </c>
    </row>
    <row r="75" spans="1:18" s="10" customFormat="1" ht="14.25" customHeight="1" thickBot="1">
      <c r="A75" s="212" t="s">
        <v>589</v>
      </c>
      <c r="B75" s="171"/>
      <c r="C75" s="171"/>
      <c r="D75" s="172"/>
      <c r="E75" s="172"/>
      <c r="F75" s="172"/>
      <c r="G75" s="172"/>
      <c r="H75" s="171"/>
      <c r="I75" s="173"/>
      <c r="J75" s="171"/>
      <c r="K75" s="852">
        <f ca="1">SUM(K43+K50+K53+$K$74)</f>
        <v>0</v>
      </c>
      <c r="L75" s="853"/>
      <c r="M75" s="272"/>
      <c r="N75" s="867">
        <f ca="1">SUM(N43+N50+N53+N74)</f>
        <v>0</v>
      </c>
      <c r="O75" s="893"/>
      <c r="P75" s="279"/>
      <c r="Q75" s="279"/>
      <c r="R75" s="136" t="s">
        <v>225</v>
      </c>
    </row>
    <row r="76" spans="1:18" s="10" customFormat="1" ht="14.25" customHeight="1" thickBot="1">
      <c r="A76" s="212" t="str">
        <f>IF('Appendix C-Grants.gov Form Info'!J1&gt;0,IF(AND(SUM(K62:K73)&gt;0,'Subaward Calculator'!AD46=0),"","     Total NU Direct Costs and Subaward Direct Costs"),"")</f>
        <v/>
      </c>
      <c r="B76" s="171"/>
      <c r="C76" s="171"/>
      <c r="D76" s="172"/>
      <c r="E76" s="172"/>
      <c r="F76" s="253"/>
      <c r="G76" s="253"/>
      <c r="H76" s="171"/>
      <c r="I76" s="173"/>
      <c r="J76" s="171"/>
      <c r="K76" s="852" t="str">
        <f>IF('Appendix C-Grants.gov Form Info'!J1&gt;0,IF(AND(SUM(K62:K73)&gt;0,'Subaward Calculator'!AD46=0),"",SUM(K43+K50+K53+$K$74)-'Subaward Calculator'!AD46+'Subaward Calculator'!AD44),"")</f>
        <v/>
      </c>
      <c r="L76" s="853"/>
      <c r="M76" s="272"/>
      <c r="N76" s="588"/>
      <c r="O76" s="284"/>
      <c r="P76" s="279"/>
      <c r="Q76" s="279"/>
      <c r="R76" s="136" t="s">
        <v>225</v>
      </c>
    </row>
    <row r="77" spans="1:18" s="10" customFormat="1" ht="14.25" customHeight="1">
      <c r="A77" s="273" t="s">
        <v>97</v>
      </c>
      <c r="B77" s="248"/>
      <c r="C77" s="248"/>
      <c r="D77" s="248"/>
      <c r="E77" s="178"/>
      <c r="F77" s="285" t="s">
        <v>428</v>
      </c>
      <c r="G77" s="613">
        <f>IF('BP1'!L2="Custom",'BP1'!I77,'BP1'!G77)</f>
        <v>0.57999999999999996</v>
      </c>
      <c r="H77" s="286"/>
      <c r="I77" s="286"/>
      <c r="J77" s="287"/>
      <c r="K77" s="62"/>
      <c r="L77" s="63"/>
      <c r="M77" s="272"/>
      <c r="N77" s="283"/>
      <c r="O77" s="284"/>
      <c r="P77" s="284"/>
      <c r="Q77" s="284"/>
      <c r="R77" s="136" t="s">
        <v>225</v>
      </c>
    </row>
    <row r="78" spans="1:18" s="10" customFormat="1" ht="14.25" customHeight="1" thickBot="1">
      <c r="A78" s="894" t="str">
        <f>IF(K3="MTDC","Modified Total Direct Costs (MTDC) Base =","Total Direct Costs (TDC) Base =")</f>
        <v>Modified Total Direct Costs (MTDC) Base =</v>
      </c>
      <c r="B78" s="895"/>
      <c r="C78" s="895"/>
      <c r="D78" s="895"/>
      <c r="E78" s="895"/>
      <c r="F78" s="895"/>
      <c r="G78" s="562">
        <f>'BP1'!G78:H78+'BP2'!G78+'BP3'!G78+'BP4'!G78+'BP5'!G78</f>
        <v>0</v>
      </c>
      <c r="H78" s="168"/>
      <c r="I78" s="168"/>
      <c r="J78" s="288"/>
      <c r="K78" s="64"/>
      <c r="L78" s="65"/>
      <c r="M78" s="272"/>
      <c r="N78" s="899" t="s">
        <v>295</v>
      </c>
      <c r="O78" s="899"/>
      <c r="P78" s="458"/>
      <c r="Q78" s="458"/>
      <c r="R78" s="136" t="s">
        <v>225</v>
      </c>
    </row>
    <row r="79" spans="1:18" s="10" customFormat="1" ht="14.25" customHeight="1" thickBot="1">
      <c r="A79" s="972">
        <f ca="1">IF(K3="MTDC",IF(G79&gt;0,"Modified Total Direct Costs (MTDC) Cost-Share Base =",),IF(G79&gt;0,"Total Direct Costs (TDC) Cost-Share Base =",))</f>
        <v>0</v>
      </c>
      <c r="B79" s="973"/>
      <c r="C79" s="973"/>
      <c r="D79" s="973"/>
      <c r="E79" s="973"/>
      <c r="F79" s="973"/>
      <c r="G79" s="614">
        <f ca="1">'BP1'!G79:H79+'BP2'!G79+'BP3'!G79+'BP4'!G79+'BP5'!G79</f>
        <v>0</v>
      </c>
      <c r="H79" s="898" t="s">
        <v>223</v>
      </c>
      <c r="I79" s="898"/>
      <c r="J79" s="898"/>
      <c r="K79" s="852">
        <f ca="1">'BP1'!K79+'BP2'!K79+'BP3'!K79+'BP4'!K79+'BP5'!K79</f>
        <v>0</v>
      </c>
      <c r="L79" s="853"/>
      <c r="M79" s="272"/>
      <c r="N79" s="867">
        <f ca="1">'BP1'!N79+'BP2'!N79+'BP3'!N79+'BP4'!N79+'BP5'!N79</f>
        <v>0</v>
      </c>
      <c r="O79" s="893"/>
      <c r="P79" s="279"/>
      <c r="Q79" s="279"/>
      <c r="R79" s="136" t="s">
        <v>225</v>
      </c>
    </row>
    <row r="80" spans="1:18" s="10" customFormat="1" ht="14.25" customHeight="1" thickBot="1">
      <c r="A80" s="212" t="s">
        <v>98</v>
      </c>
      <c r="B80" s="171"/>
      <c r="C80" s="171"/>
      <c r="D80" s="172"/>
      <c r="E80" s="172"/>
      <c r="F80" s="253"/>
      <c r="G80" s="253"/>
      <c r="H80" s="171"/>
      <c r="I80" s="173"/>
      <c r="J80" s="171"/>
      <c r="K80" s="852">
        <f ca="1">ROUND(K75,0)+ROUND(K79,0)</f>
        <v>0</v>
      </c>
      <c r="L80" s="853"/>
      <c r="M80" s="272"/>
      <c r="N80" s="870">
        <f ca="1">ROUND(N75,0)+ROUND(N79,0)</f>
        <v>0</v>
      </c>
      <c r="O80" s="871"/>
      <c r="P80" s="279"/>
      <c r="Q80" s="279"/>
      <c r="R80" s="136" t="s">
        <v>225</v>
      </c>
    </row>
    <row r="81" spans="1:18" s="314" customFormat="1" ht="14.25" customHeight="1">
      <c r="A81" s="310"/>
      <c r="B81" s="311"/>
      <c r="C81" s="311"/>
      <c r="D81" s="305"/>
      <c r="E81" s="305"/>
      <c r="F81" s="312"/>
      <c r="G81" s="312"/>
      <c r="H81" s="311"/>
      <c r="I81" s="313"/>
      <c r="J81" s="311"/>
      <c r="K81" s="279"/>
      <c r="L81" s="279"/>
      <c r="M81" s="272"/>
      <c r="N81" s="279"/>
      <c r="O81" s="279"/>
      <c r="P81" s="279"/>
      <c r="Q81" s="279"/>
      <c r="R81" s="136" t="s">
        <v>225</v>
      </c>
    </row>
    <row r="82" spans="1:18" s="314" customFormat="1" ht="14.25" customHeight="1" thickBot="1">
      <c r="A82" s="310"/>
      <c r="B82" s="311"/>
      <c r="C82" s="311"/>
      <c r="D82" s="305"/>
      <c r="E82" s="305"/>
      <c r="F82" s="312"/>
      <c r="G82" s="312"/>
      <c r="H82" s="311"/>
      <c r="I82" s="313"/>
      <c r="J82" s="311"/>
      <c r="K82" s="279"/>
      <c r="L82" s="279"/>
      <c r="M82" s="272"/>
      <c r="N82" s="279"/>
      <c r="O82" s="279"/>
      <c r="P82" s="279"/>
      <c r="Q82" s="279"/>
      <c r="R82" s="136" t="s">
        <v>225</v>
      </c>
    </row>
    <row r="83" spans="1:18" ht="13.5" thickBot="1">
      <c r="M83" s="272"/>
      <c r="N83" s="879" t="s">
        <v>593</v>
      </c>
      <c r="O83" s="880"/>
      <c r="P83" s="306"/>
      <c r="Q83" s="306"/>
      <c r="R83" s="136" t="s">
        <v>225</v>
      </c>
    </row>
    <row r="84" spans="1:18" ht="15.75" thickBot="1">
      <c r="F84" s="887" t="str">
        <f ca="1">IF(N80&gt;0,"CUMULATIVE SUBAWARD COST-SHARE","")</f>
        <v/>
      </c>
      <c r="G84" s="887"/>
      <c r="H84" s="887"/>
      <c r="I84" s="887"/>
      <c r="J84" s="887"/>
      <c r="K84" s="887"/>
      <c r="L84" s="887"/>
      <c r="M84" s="4"/>
      <c r="N84" s="874">
        <f>'BP1'!$N$87+'BP2'!$N$87+'BP3'!$N$87+'BP4'!$N$87+'BP5'!$N$87</f>
        <v>0</v>
      </c>
      <c r="O84" s="875">
        <f>'BP1'!O78+'BP2'!O78+'BP3'!O78+'BP4'!O78+'BP5'!O78</f>
        <v>0</v>
      </c>
      <c r="P84" s="464"/>
      <c r="Q84" s="464"/>
      <c r="R84" s="136" t="s">
        <v>225</v>
      </c>
    </row>
    <row r="85" spans="1:18" ht="15.75" thickBot="1">
      <c r="F85" s="887" t="str">
        <f ca="1">IF(N80&gt;0,"CUMULATIVE THIRD PARTY COST-SHARE","")</f>
        <v/>
      </c>
      <c r="G85" s="887"/>
      <c r="H85" s="887"/>
      <c r="I85" s="887"/>
      <c r="J85" s="887"/>
      <c r="K85" s="887"/>
      <c r="L85" s="887"/>
      <c r="M85" s="4"/>
      <c r="N85" s="874">
        <f>'BP1'!$N$88+'BP2'!$N$88+'BP3'!$N$88+'BP4'!$N$88+'BP5'!$N$88</f>
        <v>0</v>
      </c>
      <c r="O85" s="875">
        <f>'BP1'!O77+'BP2'!O77+'BP3'!O77+'BP4'!O77+'BP5'!O77</f>
        <v>0</v>
      </c>
      <c r="P85" s="464"/>
      <c r="Q85" s="464"/>
      <c r="R85" s="136" t="s">
        <v>225</v>
      </c>
    </row>
    <row r="86" spans="1:18" ht="15.75" thickBot="1">
      <c r="F86" s="887" t="str">
        <f ca="1">IF(N80&gt;0,"CUMULATIVE TOTAL COST-SHARED","")</f>
        <v/>
      </c>
      <c r="G86" s="887" t="e">
        <f>IF(N78&gt;0,"TOTAL OF YEAR "&amp;#REF!&amp;" COST SHARED","")</f>
        <v>#REF!</v>
      </c>
      <c r="H86" s="887"/>
      <c r="I86" s="887"/>
      <c r="J86" s="887"/>
      <c r="K86" s="887"/>
      <c r="L86" s="887"/>
      <c r="M86" s="4"/>
      <c r="N86" s="874">
        <f ca="1">'BP1'!$N$89+'BP2'!$N$89+'BP3'!$N$89+'BP4'!$N$89+'BP5'!$N$89</f>
        <v>0</v>
      </c>
      <c r="O86" s="875">
        <f>'BP1'!O78+'BP2'!O78+'BP3'!O78+'BP4'!O78+'BP5'!O78</f>
        <v>0</v>
      </c>
      <c r="P86" s="464"/>
      <c r="Q86" s="464"/>
      <c r="R86" s="136" t="s">
        <v>225</v>
      </c>
    </row>
    <row r="87" spans="1:18" ht="15.75" thickBot="1">
      <c r="F87" s="887" t="str">
        <f ca="1">IF(N80&gt;0,"CUMULATIVE SPONSOR COSTS","")</f>
        <v/>
      </c>
      <c r="G87" s="887"/>
      <c r="H87" s="887"/>
      <c r="I87" s="887"/>
      <c r="J87" s="887"/>
      <c r="K87" s="887"/>
      <c r="L87" s="887"/>
      <c r="M87" s="4"/>
      <c r="N87" s="874">
        <f ca="1">'BP1'!$N$90+'BP2'!$N$90+'BP3'!$N$90+'BP4'!$N$90+'BP5'!$N$90</f>
        <v>0</v>
      </c>
      <c r="O87" s="875">
        <f>'BP1'!O79+'BP2'!O79+'BP3'!O79+'BP4'!O79+'BP5'!O79</f>
        <v>0</v>
      </c>
      <c r="P87" s="464"/>
      <c r="Q87" s="464"/>
      <c r="R87" s="136" t="s">
        <v>225</v>
      </c>
    </row>
    <row r="88" spans="1:18" ht="15.75" thickBot="1">
      <c r="F88" s="887" t="str">
        <f ca="1">IF(N80&gt;0,"CUMULATIVE PROJECT COSTS","")</f>
        <v/>
      </c>
      <c r="G88" s="887" t="e">
        <f>IF(N78&gt;0,"TOTAL YEAR "&amp;#REF!&amp;"  PROJECT COSTS","")</f>
        <v>#REF!</v>
      </c>
      <c r="H88" s="887"/>
      <c r="I88" s="887"/>
      <c r="J88" s="887"/>
      <c r="K88" s="887"/>
      <c r="L88" s="887"/>
      <c r="M88" s="4"/>
      <c r="N88" s="874">
        <f ca="1">'BP1'!$N$91+'BP2'!$N$91+'BP3'!$N$91+'BP4'!$N$91+'BP5'!$N$91</f>
        <v>0</v>
      </c>
      <c r="O88" s="875">
        <f>'BP1'!O80+'BP2'!O80+'BP3'!O80+'BP4'!O80+'BP5'!O80</f>
        <v>0</v>
      </c>
      <c r="P88" s="464"/>
      <c r="Q88" s="464"/>
      <c r="R88" s="136" t="s">
        <v>225</v>
      </c>
    </row>
    <row r="89" spans="1:18" ht="15.75" thickBot="1">
      <c r="F89" s="887" t="str">
        <f ca="1">IF(N80&gt;0,"CUMULATIVE COST-SHARE AS % OF SPONSOR COSTS","")</f>
        <v/>
      </c>
      <c r="G89" s="887" t="e">
        <f>IF(N78&gt;0,"YEAR "&amp;#REF!&amp;" COST SHARE AS % OF YEAR "&amp;#REF!&amp;" SPONSOR COSTS","")</f>
        <v>#REF!</v>
      </c>
      <c r="H89" s="887"/>
      <c r="I89" s="887"/>
      <c r="J89" s="887"/>
      <c r="K89" s="887"/>
      <c r="L89" s="887"/>
      <c r="M89" s="4"/>
      <c r="N89" s="876">
        <f ca="1">IFERROR($N$86/$N$87,)</f>
        <v>0</v>
      </c>
      <c r="O89" s="877"/>
      <c r="P89" s="465"/>
      <c r="Q89" s="465"/>
      <c r="R89" s="136" t="s">
        <v>225</v>
      </c>
    </row>
    <row r="90" spans="1:18" ht="15.75" thickBot="1">
      <c r="F90" s="887" t="str">
        <f ca="1">IF(N80&gt;0,"CUMULATIVE COST-SHARE AS % OF PROJECT COSTS","")</f>
        <v/>
      </c>
      <c r="G90" s="887"/>
      <c r="H90" s="887"/>
      <c r="I90" s="887"/>
      <c r="J90" s="887"/>
      <c r="K90" s="887"/>
      <c r="L90" s="887"/>
      <c r="M90" s="4"/>
      <c r="N90" s="876">
        <f ca="1">IFERROR($N$86/$N$88,)</f>
        <v>0</v>
      </c>
      <c r="O90" s="877"/>
      <c r="P90" s="465"/>
      <c r="Q90" s="465"/>
      <c r="R90" s="136" t="s">
        <v>225</v>
      </c>
    </row>
  </sheetData>
  <sheetProtection formatCells="0" formatColumns="0" formatRows="0"/>
  <autoFilter ref="R1:R90" xr:uid="{00000000-0009-0000-0000-000007000000}">
    <filterColumn colId="0">
      <filters>
        <filter val="A) Condensed"/>
      </filters>
    </filterColumn>
  </autoFilter>
  <mergeCells count="180">
    <mergeCell ref="K3:L3"/>
    <mergeCell ref="K7:L7"/>
    <mergeCell ref="K49:L49"/>
    <mergeCell ref="N49:O49"/>
    <mergeCell ref="K45:L45"/>
    <mergeCell ref="N45:O45"/>
    <mergeCell ref="B46:F46"/>
    <mergeCell ref="K46:L46"/>
    <mergeCell ref="N46:O46"/>
    <mergeCell ref="B47:F47"/>
    <mergeCell ref="K47:L47"/>
    <mergeCell ref="N47:O47"/>
    <mergeCell ref="B48:F48"/>
    <mergeCell ref="K48:L48"/>
    <mergeCell ref="N48:O48"/>
    <mergeCell ref="H8:J9"/>
    <mergeCell ref="K10:L11"/>
    <mergeCell ref="B22:F22"/>
    <mergeCell ref="B23:F23"/>
    <mergeCell ref="H10:J11"/>
    <mergeCell ref="B21:F21"/>
    <mergeCell ref="K12:L13"/>
    <mergeCell ref="K43:L43"/>
    <mergeCell ref="B20:F20"/>
    <mergeCell ref="E9:G9"/>
    <mergeCell ref="F90:L90"/>
    <mergeCell ref="N90:O90"/>
    <mergeCell ref="F85:L85"/>
    <mergeCell ref="N85:O85"/>
    <mergeCell ref="F86:L86"/>
    <mergeCell ref="N86:O86"/>
    <mergeCell ref="F87:L87"/>
    <mergeCell ref="N87:O87"/>
    <mergeCell ref="F88:L88"/>
    <mergeCell ref="N88:O88"/>
    <mergeCell ref="F89:L89"/>
    <mergeCell ref="N89:O89"/>
    <mergeCell ref="K50:L50"/>
    <mergeCell ref="K51:L51"/>
    <mergeCell ref="K52:L52"/>
    <mergeCell ref="K53:L53"/>
    <mergeCell ref="K55:L55"/>
    <mergeCell ref="K56:L56"/>
    <mergeCell ref="K57:L57"/>
    <mergeCell ref="K58:L58"/>
    <mergeCell ref="K59:L59"/>
    <mergeCell ref="E11:G11"/>
    <mergeCell ref="H12:J12"/>
    <mergeCell ref="H13:J13"/>
    <mergeCell ref="C59:J59"/>
    <mergeCell ref="C55:J55"/>
    <mergeCell ref="C57:J57"/>
    <mergeCell ref="C58:J58"/>
    <mergeCell ref="B27:F27"/>
    <mergeCell ref="B28:F28"/>
    <mergeCell ref="B29:F29"/>
    <mergeCell ref="G12:G14"/>
    <mergeCell ref="C56:J56"/>
    <mergeCell ref="B45:F45"/>
    <mergeCell ref="B49:F49"/>
    <mergeCell ref="H51:J51"/>
    <mergeCell ref="H52:J52"/>
    <mergeCell ref="H53:J53"/>
    <mergeCell ref="N43:O43"/>
    <mergeCell ref="M1:O9"/>
    <mergeCell ref="M10:O11"/>
    <mergeCell ref="N12:O13"/>
    <mergeCell ref="N41:O41"/>
    <mergeCell ref="N42:O42"/>
    <mergeCell ref="A1:J4"/>
    <mergeCell ref="K1:L1"/>
    <mergeCell ref="K4:L4"/>
    <mergeCell ref="A5:J6"/>
    <mergeCell ref="K5:L5"/>
    <mergeCell ref="K6:L6"/>
    <mergeCell ref="K42:L42"/>
    <mergeCell ref="A30:F30"/>
    <mergeCell ref="B18:F18"/>
    <mergeCell ref="B19:F19"/>
    <mergeCell ref="B24:F24"/>
    <mergeCell ref="B25:F25"/>
    <mergeCell ref="B26:F26"/>
    <mergeCell ref="K41:L41"/>
    <mergeCell ref="B16:F16"/>
    <mergeCell ref="B15:F15"/>
    <mergeCell ref="B17:F17"/>
    <mergeCell ref="K8:L9"/>
    <mergeCell ref="N55:O55"/>
    <mergeCell ref="N56:O56"/>
    <mergeCell ref="N57:O57"/>
    <mergeCell ref="N58:O58"/>
    <mergeCell ref="N59:O59"/>
    <mergeCell ref="N50:O50"/>
    <mergeCell ref="N51:O51"/>
    <mergeCell ref="N52:O52"/>
    <mergeCell ref="N53:O53"/>
    <mergeCell ref="K76:L76"/>
    <mergeCell ref="N60:O60"/>
    <mergeCell ref="N61:O61"/>
    <mergeCell ref="N74:O74"/>
    <mergeCell ref="N75:O75"/>
    <mergeCell ref="C60:J60"/>
    <mergeCell ref="C61:J61"/>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C71:D71"/>
    <mergeCell ref="E72:F72"/>
    <mergeCell ref="G72:I72"/>
    <mergeCell ref="C73:D73"/>
    <mergeCell ref="E73:F73"/>
    <mergeCell ref="G73:I73"/>
    <mergeCell ref="C69:D69"/>
    <mergeCell ref="E69:F69"/>
    <mergeCell ref="G69:I69"/>
    <mergeCell ref="N71:O71"/>
    <mergeCell ref="N72:O72"/>
    <mergeCell ref="N73:O73"/>
    <mergeCell ref="E71:F71"/>
    <mergeCell ref="A9:D9"/>
    <mergeCell ref="A11:D11"/>
    <mergeCell ref="C70:D70"/>
    <mergeCell ref="E70:F70"/>
    <mergeCell ref="G70:I70"/>
    <mergeCell ref="C67:D67"/>
    <mergeCell ref="E67:F67"/>
    <mergeCell ref="G67:I67"/>
    <mergeCell ref="C68:D68"/>
    <mergeCell ref="E68:F68"/>
    <mergeCell ref="G68:I68"/>
    <mergeCell ref="C62:D62"/>
    <mergeCell ref="E62:F62"/>
    <mergeCell ref="G62:I62"/>
    <mergeCell ref="C63:D63"/>
    <mergeCell ref="E63:F63"/>
    <mergeCell ref="G63:I63"/>
    <mergeCell ref="C64:D64"/>
    <mergeCell ref="E64:F64"/>
    <mergeCell ref="G64:I64"/>
    <mergeCell ref="C65:D65"/>
    <mergeCell ref="E65:F65"/>
    <mergeCell ref="G65:I65"/>
    <mergeCell ref="C66:D66"/>
    <mergeCell ref="F84:L84"/>
    <mergeCell ref="N84:O84"/>
    <mergeCell ref="N83:O83"/>
    <mergeCell ref="N62:O62"/>
    <mergeCell ref="N63:O63"/>
    <mergeCell ref="N64:O64"/>
    <mergeCell ref="N65:O65"/>
    <mergeCell ref="N66:O66"/>
    <mergeCell ref="N67:O67"/>
    <mergeCell ref="N68:O68"/>
    <mergeCell ref="N69:O69"/>
    <mergeCell ref="N70:O70"/>
    <mergeCell ref="E66:F66"/>
    <mergeCell ref="G66:I66"/>
    <mergeCell ref="N78:O78"/>
    <mergeCell ref="N79:O79"/>
    <mergeCell ref="N80:O80"/>
    <mergeCell ref="A78:F78"/>
    <mergeCell ref="A79:F79"/>
    <mergeCell ref="H79:J79"/>
    <mergeCell ref="K79:L79"/>
    <mergeCell ref="K80:L80"/>
    <mergeCell ref="G71:I71"/>
    <mergeCell ref="C72:D72"/>
  </mergeCells>
  <phoneticPr fontId="10" type="noConversion"/>
  <dataValidations count="2">
    <dataValidation errorStyle="warning" allowBlank="1" showInputMessage="1" sqref="K7" xr:uid="{00000000-0002-0000-0700-000000000000}"/>
    <dataValidation allowBlank="1" showErrorMessage="1" sqref="K2:K3 L2" xr:uid="{00000000-0002-0000-0700-000001000000}"/>
  </dataValidations>
  <printOptions horizontalCentered="1" verticalCentered="1"/>
  <pageMargins left="0.5" right="0.5" top="0.5" bottom="1" header="0.5" footer="0.35"/>
  <pageSetup scale="91" orientation="portrait" horizontalDpi="300" r:id="rId1"/>
  <headerFooter alignWithMargins="0"/>
  <ignoredErrors>
    <ignoredError sqref="E9 E11 K45 N50:O61 N45 N15:O40 N46:O49 O45 G62:I73 B45:F49 K46:L49 A11 O62 N63:O73 N62 N42:O44 O41" unlockedFormula="1"/>
    <ignoredError sqref="G51:G5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5" tint="0.59999389629810485"/>
    <pageSetUpPr fitToPage="1"/>
  </sheetPr>
  <dimension ref="A1:AD153"/>
  <sheetViews>
    <sheetView zoomScaleNormal="100" workbookViewId="0">
      <selection activeCell="A6" sqref="A6:H6"/>
    </sheetView>
  </sheetViews>
  <sheetFormatPr defaultRowHeight="12.75"/>
  <cols>
    <col min="1" max="2" width="9.85546875" customWidth="1"/>
    <col min="3" max="3" width="8.42578125" customWidth="1"/>
    <col min="4" max="4" width="14.5703125" customWidth="1"/>
    <col min="5" max="5" width="8.42578125" customWidth="1"/>
    <col min="6" max="6" width="14.5703125" customWidth="1"/>
    <col min="7" max="7" width="8.42578125" customWidth="1"/>
    <col min="8" max="8" width="14.5703125" customWidth="1"/>
    <col min="9" max="18" width="20.28515625" hidden="1" customWidth="1"/>
    <col min="19" max="19" width="20.28515625" bestFit="1" customWidth="1"/>
    <col min="20" max="20" width="20.28515625" customWidth="1"/>
    <col min="21" max="21" width="50" customWidth="1"/>
    <col min="22" max="22" width="2.140625" customWidth="1"/>
    <col min="24" max="24" width="4.85546875" customWidth="1"/>
  </cols>
  <sheetData>
    <row r="1" spans="1:28" ht="22.5" customHeight="1" thickBot="1">
      <c r="A1" s="1006" t="s">
        <v>287</v>
      </c>
      <c r="B1" s="1006"/>
      <c r="C1" s="1006"/>
      <c r="D1" s="1006"/>
      <c r="E1" s="1006"/>
      <c r="F1" s="1006"/>
      <c r="G1" s="1006"/>
      <c r="H1" s="1006"/>
      <c r="I1" s="264" t="s">
        <v>504</v>
      </c>
      <c r="J1" s="533" t="s">
        <v>505</v>
      </c>
      <c r="K1" s="533" t="s">
        <v>506</v>
      </c>
      <c r="L1" s="533" t="s">
        <v>507</v>
      </c>
      <c r="M1" s="533" t="s">
        <v>508</v>
      </c>
      <c r="N1" s="533" t="s">
        <v>509</v>
      </c>
      <c r="O1" s="533" t="s">
        <v>510</v>
      </c>
      <c r="P1" s="533" t="s">
        <v>511</v>
      </c>
      <c r="Q1" s="533" t="s">
        <v>512</v>
      </c>
      <c r="R1" s="533" t="s">
        <v>513</v>
      </c>
      <c r="S1" s="1008" t="s">
        <v>234</v>
      </c>
      <c r="T1" s="1009"/>
      <c r="U1" s="541" t="s">
        <v>224</v>
      </c>
      <c r="W1" s="994" t="s">
        <v>161</v>
      </c>
      <c r="X1" s="995"/>
      <c r="Y1" s="995"/>
      <c r="Z1" s="995"/>
      <c r="AA1" s="995"/>
      <c r="AB1" s="996"/>
    </row>
    <row r="2" spans="1:28" ht="30" customHeight="1">
      <c r="A2" s="1007" t="str">
        <f>'BP1'!A1</f>
        <v>Title</v>
      </c>
      <c r="B2" s="1007"/>
      <c r="C2" s="1007"/>
      <c r="D2" s="1007"/>
      <c r="E2" s="1007"/>
      <c r="F2" s="1007"/>
      <c r="G2" s="1007"/>
      <c r="H2" s="1007"/>
      <c r="I2" s="261"/>
      <c r="J2" s="261"/>
      <c r="K2" s="261"/>
      <c r="L2" s="261"/>
      <c r="M2" s="261"/>
      <c r="N2" s="530"/>
      <c r="O2" s="530"/>
      <c r="P2" s="530"/>
      <c r="Q2" s="530"/>
      <c r="R2" s="530"/>
      <c r="S2" s="235" t="s">
        <v>501</v>
      </c>
      <c r="T2" s="264" t="s">
        <v>514</v>
      </c>
      <c r="U2" s="691" t="s">
        <v>192</v>
      </c>
      <c r="W2" s="997" t="s">
        <v>288</v>
      </c>
      <c r="X2" s="998"/>
      <c r="Y2" s="998"/>
      <c r="Z2" s="998"/>
      <c r="AA2" s="998"/>
      <c r="AB2" s="999"/>
    </row>
    <row r="3" spans="1:28" ht="15" customHeight="1">
      <c r="A3" s="992" t="str">
        <f ca="1">TEXT('BP1'!K8,"m/d/yyyy")&amp;" to "&amp;TEXT(INDIRECT("BP"&amp;'BP1'!K5&amp;"!K10"),"m/d/yyyy")</f>
        <v>9/1/2019 to 8/31/2020</v>
      </c>
      <c r="B3" s="992"/>
      <c r="C3" s="992"/>
      <c r="D3" s="992"/>
      <c r="E3" s="992"/>
      <c r="F3" s="992"/>
      <c r="G3" s="992"/>
      <c r="H3" s="992"/>
      <c r="I3" s="261"/>
      <c r="J3" s="261"/>
      <c r="K3" s="261"/>
      <c r="L3" s="261"/>
      <c r="M3" s="261"/>
      <c r="N3" s="530"/>
      <c r="O3" s="530"/>
      <c r="P3" s="530"/>
      <c r="Q3" s="530"/>
      <c r="R3" s="530"/>
      <c r="S3" s="236"/>
      <c r="T3" s="236"/>
      <c r="U3" s="691" t="s">
        <v>192</v>
      </c>
      <c r="W3" s="1000"/>
      <c r="X3" s="1001"/>
      <c r="Y3" s="1001"/>
      <c r="Z3" s="1001"/>
      <c r="AA3" s="1001"/>
      <c r="AB3" s="1002"/>
    </row>
    <row r="4" spans="1:28" ht="15" customHeight="1" thickBot="1">
      <c r="A4" s="992" t="str">
        <f>IF(OR('BP1'!E9="National Science Foundation",'BP1'!E9="NSF",'BP1'!E11="National Science Foundation",'BP1'!E11="NSF"),"Northwestern University uses its academic/fiscal year of 9/1 – 8/31 as the definition of “year” for tracking the NSF 2 months limit.","")</f>
        <v/>
      </c>
      <c r="B4" s="992"/>
      <c r="C4" s="992"/>
      <c r="D4" s="992"/>
      <c r="E4" s="992"/>
      <c r="F4" s="992"/>
      <c r="G4" s="992"/>
      <c r="H4" s="992"/>
      <c r="I4" s="261"/>
      <c r="J4" s="261"/>
      <c r="K4" s="261"/>
      <c r="L4" s="261"/>
      <c r="M4" s="261"/>
      <c r="N4" s="530"/>
      <c r="O4" s="530"/>
      <c r="P4" s="530"/>
      <c r="Q4" s="530"/>
      <c r="R4" s="530"/>
      <c r="S4" s="236"/>
      <c r="T4" s="236"/>
      <c r="U4" s="691" t="s">
        <v>192</v>
      </c>
      <c r="W4" s="1003"/>
      <c r="X4" s="1004"/>
      <c r="Y4" s="1004"/>
      <c r="Z4" s="1004"/>
      <c r="AA4" s="1004"/>
      <c r="AB4" s="1005"/>
    </row>
    <row r="5" spans="1:28" ht="15" customHeight="1">
      <c r="A5" s="993" t="str">
        <f ca="1">IF(OR(SUM('Cumulative Budget'!K15:K29)&gt;0,SUM('Cumulative Budget'!N15:N29)&gt;0),"Senior Personnel:","")</f>
        <v/>
      </c>
      <c r="B5" s="993"/>
      <c r="C5" s="993"/>
      <c r="D5" s="993"/>
      <c r="E5" s="993"/>
      <c r="F5" s="993"/>
      <c r="G5" s="993"/>
      <c r="H5" s="993"/>
      <c r="I5" s="262"/>
      <c r="J5" s="262"/>
      <c r="K5" s="262"/>
      <c r="L5" s="262"/>
      <c r="M5" s="262"/>
      <c r="N5" s="531"/>
      <c r="O5" s="531"/>
      <c r="P5" s="531"/>
      <c r="Q5" s="531"/>
      <c r="R5" s="531"/>
      <c r="S5" s="236"/>
      <c r="T5" s="236"/>
      <c r="U5" s="691" t="str">
        <f t="shared" ref="U5:U20" ca="1" si="0">IF(A5="","Blank","Populate")</f>
        <v>Blank</v>
      </c>
    </row>
    <row r="6" spans="1:28" ht="60" customHeight="1">
      <c r="A6" s="991" t="str">
        <f>IF('Cumulative Budget'!H15+'Cumulative Budget'!I15+'Cumulative Budget'!J15&gt;0,IF(S6="Note: Effort changes in the outyears!",IF(I6&lt;&gt;"",I6&amp;" in Budget Period 1","")&amp;IF(AND(I6&lt;&gt;"",J6&lt;&gt;""),"; ","")&amp;IF(J6&lt;&gt;"",J6&amp;" in Budget Period 2","")&amp;IF(AND(OR(I6&lt;&gt;"",J6&lt;&gt;""),K6&lt;&gt;""),"; ","")&amp;IF(K6&lt;&gt;"",K6&amp;" in Budget Period 3","")&amp;IF(AND(OR(I6&lt;&gt;"",J6&lt;&gt;"",K6&lt;&gt;""),L6&lt;&gt;""),"; ","")&amp;IF(L6&lt;&gt;"",L6&amp;" in Budget Period 4","")&amp;IF(AND(OR(I6&lt;&gt;"",J6&lt;&gt;"",K6&lt;&gt;"",L6&lt;&gt;""),M6&lt;&gt;""),"; ","")&amp;IF(M6&lt;&gt;"",M6&amp;" in Budget Period 5","")&amp;" of "&amp;'BP1'!B15&amp;"'s salary is requested. ",I6&amp;" of "&amp;'BP1'!B15&amp;"'s salary is requested"&amp;IF('BP1'!$K$5&gt;1," each budget period for "&amp;'BP1'!$K$5&amp;" budget periods. ",". ")),"")&amp;IF('Cumulative Budget'!M15&gt;0,IF(T6="Note: Effort changes in the outyears!",IF(N6&lt;&gt;"",N6&amp;" in Budget Period 1","")&amp;IF(AND(N6&lt;&gt;"",O6&lt;&gt;""),"; ","")&amp;IF(O6&lt;&gt;"",O6&amp;" in Budget Period 2","")&amp;IF(AND(OR(N6&lt;&gt;"",O6&lt;&gt;""),P6&lt;&gt;""),"; ","")&amp;IF(P6&lt;&gt;"",P6&amp;" in Budget Period 3","")&amp;IF(AND(OR(N6&lt;&gt;"",O6&lt;&gt;"",P6&lt;&gt;""),Q6&lt;&gt;""),"; ","")&amp;IF(Q6&lt;&gt;"",Q6&amp;" in Budget Period 4","")&amp;IF(AND(OR(N6&lt;&gt;"",O6&lt;&gt;"",P6&lt;&gt;"",Q6&lt;&gt;""),R6&lt;&gt;""),"; ","")&amp;IF(R6&lt;&gt;"",R6&amp;" in Budget Period 5","")&amp;" of "&amp;'BP1'!B15&amp;"'s salary is requested. ",N6&amp;" of "&amp;'BP1'!B15&amp;"'s salary is requested"&amp;IF('BP1'!$K$5&gt;1," each budget period for "&amp;'BP1'!$K$5&amp;" budget periods. ",". ")),"")&amp;IF(OR('BP1'!G15=10,'BP1'!G15=11),'BP1'!B15&amp;" currently has a"&amp;IF('BP1'!G15=11,"n "," ")&amp;'BP1'!G15&amp;"-month appointment. ","")&amp;IF(AND('BP1'!$K$5&gt;1,'BP1'!$K$7&gt;0,OR('Cumulative Budget'!H15+'Cumulative Budget'!I15+'Cumulative Budget'!J15+'Cumulative Budget'!M15&gt;0)),"Salary is inflated by "&amp;('BP1'!$K$7*100)&amp;"% annually each September. ","")&amp;IF(ISBLANK('BP1'!Q15),"",'BP1'!Q15)</f>
        <v/>
      </c>
      <c r="B6" s="991"/>
      <c r="C6" s="991"/>
      <c r="D6" s="991"/>
      <c r="E6" s="991"/>
      <c r="F6" s="991"/>
      <c r="G6" s="991"/>
      <c r="H6" s="991"/>
      <c r="I6" s="260" t="str">
        <f>IF(SUM('Cumulative Budget'!H15:J15)&gt;0,(IF('BP1'!$K$5&gt;0,((IF('BP1'!H15&gt;0,CONCATENATE(IF('BP1'!H15&gt;0,TEXT('BP1'!H15,"0.00")&amp;" calendar month"&amp;IF('BP1'!H15&gt;1,"s",)&amp;" (or "&amp;TEXT('BP1'!H15/'BP1'!G15,"0%")&amp;" calendar effort)",)),CONCATENATE(IF('BP1'!I15&gt;0,TEXT('BP1'!I15,"0.00")&amp;" academic month"&amp;IF('BP1'!I15&gt;1,"s",)&amp;" (or "&amp;TEXT('BP1'!I15/9,"0%")&amp;" academic effort)",),IF(AND('BP1'!I15&gt;0,'BP1'!J15&gt;0)," and ",),IF('BP1'!J15&gt;0,TEXT('BP1'!J15,"0.00")&amp;" summer month"&amp;IF('BP1'!J15&gt;1,"s",)&amp;" (or "&amp;TEXT('BP1'!J15/3,"0%")&amp;" summer effort)",))))),"")),"")</f>
        <v/>
      </c>
      <c r="J6" s="260" t="str">
        <f>IF(SUM('Cumulative Budget'!H15:J15)&gt;0,(IF('BP1'!$K$5&gt;1,((IF('BP2'!H15&gt;0,CONCATENATE(IF('BP2'!H15&gt;0,TEXT('BP2'!H15,"0.00")&amp;" calendar month"&amp;IF('BP2'!H15&gt;1,"s",)&amp;" (or "&amp;TEXT('BP2'!H15/'BP2'!G15,"0%")&amp;" calendar effort)",)),CONCATENATE(IF('BP2'!I15&gt;0,TEXT('BP2'!I15,"0.00")&amp;" academic month"&amp;IF('BP2'!I15&gt;1,"s",)&amp;" (or "&amp;TEXT('BP2'!I15/9,"0%")&amp;" academic effort)",),IF(AND('BP2'!I15&gt;0,'BP2'!J15&gt;0)," and ",),IF('BP2'!J15&gt;0,TEXT('BP2'!J15,"0.00")&amp;" summer month"&amp;IF('BP2'!J15&gt;1,"s",)&amp;" (or "&amp;TEXT('BP2'!J15/3,"0%")&amp;" summer effort)",))))),"")),"")</f>
        <v/>
      </c>
      <c r="K6" s="260" t="str">
        <f>IF(SUM('Cumulative Budget'!H15:J15)&gt;0,(IF('BP1'!$K$5&gt;2,((IF('BP3'!H15&gt;0,CONCATENATE(IF('BP3'!H15&gt;0,TEXT('BP3'!H15,"0.00")&amp;" calendar month"&amp;IF('BP3'!H15&gt;1,"s",)&amp;" (or "&amp;TEXT('BP3'!H15/'BP3'!G15,"0%")&amp;" calendar effort)",)),CONCATENATE(IF('BP3'!I15&gt;0,TEXT('BP3'!I15,"0.00")&amp;" academic month"&amp;IF('BP3'!I15&gt;1,"s",)&amp;" (or "&amp;TEXT('BP3'!I15/9,"0%")&amp;" academic effort)",),IF(AND('BP3'!I15&gt;0,'BP3'!J15&gt;0)," and ",),IF('BP3'!J15&gt;0,TEXT('BP3'!J15,"0.00")&amp;" summer month"&amp;IF('BP3'!J15&gt;1,"s",)&amp;" (or "&amp;TEXT('BP3'!J15/3,"0%")&amp;" summer effort)",))))),"")),"")</f>
        <v/>
      </c>
      <c r="L6" s="260" t="str">
        <f>IF(SUM('Cumulative Budget'!H15:J15)&gt;0,(IF('BP1'!$K$5&gt;3,((IF('BP4'!H15&gt;0,CONCATENATE(IF('BP4'!H15&gt;0,TEXT('BP4'!H15,"0.00")&amp;" calendar month"&amp;IF('BP4'!H15&gt;1,"s",)&amp;" (or "&amp;TEXT('BP4'!H15/'BP4'!G15,"0%")&amp;" calendar effort)",)),CONCATENATE(IF('BP4'!I15&gt;0,TEXT('BP4'!I15,"0.00")&amp;" academic month"&amp;IF('BP4'!I15&gt;1,"s",)&amp;" (or "&amp;TEXT('BP4'!I15/9,"0%")&amp;" academic effort)",),IF(AND('BP4'!I15&gt;0,'BP4'!J15&gt;0)," and ",),IF('BP4'!J15&gt;0,TEXT('BP4'!J15,"0.00")&amp;" summer month"&amp;IF('BP4'!J15&gt;1,"s",)&amp;" (or "&amp;TEXT('BP4'!J15/3,"0%")&amp;" summer effort)",))))),"")),"")</f>
        <v/>
      </c>
      <c r="M6" s="260" t="str">
        <f>IF(SUM('Cumulative Budget'!H15:J15)&gt;0,(IF('BP1'!$K$5&gt;4,((IF('BP5'!H15&gt;0,CONCATENATE(IF('BP5'!H15&gt;0,TEXT('BP5'!H15,"0.00")&amp;" calendar month"&amp;IF('BP5'!H15&gt;1,"s",)&amp;" (or "&amp;TEXT('BP5'!H15/'BP5'!G15,"0%")&amp;" calendar effort)",)),CONCATENATE(IF('BP5'!I15&gt;0,TEXT('BP5'!I15,"0.00")&amp;" academic month"&amp;IF('BP5'!I15&gt;1,"s",)&amp;" (or "&amp;TEXT('BP5'!I15/9,"0%")&amp;" academic effort)",),IF(AND('BP5'!I15&gt;0,'BP5'!J15&gt;0)," and ",),IF('BP5'!J15&gt;0,TEXT('BP5'!J15,"0.00")&amp;" summer month"&amp;IF('BP5'!J15&gt;1,"s",)&amp;" (or "&amp;TEXT('BP5'!J15/3,"0%")&amp;" summer effort)",))))),"")),"")</f>
        <v/>
      </c>
      <c r="N6" s="529" t="str">
        <f>IF(AND('BP1'!M15&gt;0,'BP1'!$A$5&gt;0),TEXT('BP1'!M15,"0.00")&amp;" cost-shared month"&amp;IF('BP1'!M15&gt;1,"s",)&amp;" (or "&amp;TEXT('BP1'!M15/'BP1'!G15,"0%")&amp;" cost-shared effort)","")</f>
        <v/>
      </c>
      <c r="O6" s="529" t="str">
        <f>IF(AND('BP2'!M15&gt;0,'BP2'!$A$5&gt;0),TEXT('BP2'!M15,"0.00")&amp;" cost-shared month"&amp;IF('BP2'!M15&gt;1,"s",)&amp;" (or "&amp;TEXT('BP2'!M15/'BP2'!G15,"0%")&amp;" cost-shared effort)","")</f>
        <v/>
      </c>
      <c r="P6" s="529" t="str">
        <f>IF(AND('BP3'!M15&gt;0,'BP3'!$A$5&gt;0),TEXT('BP3'!M15,"0.00")&amp;" cost-shared month"&amp;IF('BP3'!M15&gt;1,"s",)&amp;" (or "&amp;TEXT('BP3'!M15/'BP3'!G15,"0%")&amp;" cost-shared effort)","")</f>
        <v/>
      </c>
      <c r="Q6" s="529" t="str">
        <f>IF(AND('BP4'!M15&gt;0,'BP4'!$A$5&gt;0),TEXT('BP4'!M15,"0.00")&amp;" cost-shared month"&amp;IF('BP4'!M15&gt;1,"s",)&amp;" (or "&amp;TEXT('BP4'!M15/'BP4'!G15,"0%")&amp;" cost-shared effort)","")</f>
        <v/>
      </c>
      <c r="R6" s="529" t="str">
        <f>IF(AND('BP5'!M15&gt;0,'BP5'!$A$5&gt;0),TEXT('BP5'!M15,"0.00")&amp;" cost-shared month"&amp;IF('BP5'!M15&gt;1,"s",)&amp;" (or "&amp;TEXT('BP5'!M15/'BP5'!G15,"0%")&amp;" cost-shared effort)","")</f>
        <v/>
      </c>
      <c r="S6" s="236" t="str">
        <f>IF(AND('BP1'!$K$5=2,I6&lt;&gt;J6),"Note: Effort changes in the outyears!","")&amp;IF(AND('BP1'!$K$5=3,OR(I6&lt;&gt;J6,I6&lt;&gt;K6,J6&lt;&gt;K6)),"Note: Effort changes in the outyears!","")&amp;IF(AND('BP1'!$K$5=4,OR(I6&lt;&gt;J6,I6&lt;&gt;K6,I6&lt;&gt;L6,J6&lt;&gt;K6,J6&lt;&gt;L6,K6&lt;&gt;L6)),"Note: Effort changes in the outyears!","")&amp;IF(AND('BP1'!$K$5=5,OR(I6&lt;&gt;J6,I6&lt;&gt;K6,I6&lt;&gt;L6,I6&lt;&gt;M6,J6&lt;&gt;K6,J6&lt;&gt;L6,J6&lt;&gt;M6,K6&lt;&gt;L6,K6&lt;&gt;M6,L6&lt;&gt;M6)),"Note: Effort changes in the outyears!","")</f>
        <v/>
      </c>
      <c r="T6" s="236" t="str">
        <f>IF(AND('BP1'!$K$5=2,N6&lt;&gt;O6),"Note: Effort changes in the outyears!","")&amp;IF(AND('BP1'!$K$5=3,OR(N6&lt;&gt;O6,N6&lt;&gt;P6,O6&lt;&gt;P6)),"Note: Effort changes in the outyears!","")&amp;IF(AND('BP1'!$K$5=4,OR(N6&lt;&gt;O6,N6&lt;&gt;P6,N6&lt;&gt;Q6,O6&lt;&gt;P6,O6&lt;&gt;Q6,P6&lt;&gt;Q6)),"Note: Effort changes in the outyears!","")&amp;IF(AND('BP1'!$K$5=5,OR(N6&lt;&gt;O6,N6&lt;&gt;P6,N6&lt;&gt;Q6,N6&lt;&gt;R6,O6&lt;&gt;P6,O6&lt;&gt;Q6,O6&lt;&gt;R6,P6&lt;&gt;Q6,P6&lt;&gt;R6,Q6&lt;&gt;R6)),"Note: Effort changes in the outyears!","")</f>
        <v/>
      </c>
      <c r="U6" s="691" t="str">
        <f t="shared" si="0"/>
        <v>Blank</v>
      </c>
    </row>
    <row r="7" spans="1:28" ht="60" customHeight="1">
      <c r="A7" s="991" t="str">
        <f>IF('Cumulative Budget'!H16+'Cumulative Budget'!I16+'Cumulative Budget'!J16&gt;0,IF(S7="Note: Effort changes in the outyears!",IF(I7&lt;&gt;"",I7&amp;" in Budget Period 1","")&amp;IF(AND(I7&lt;&gt;"",J7&lt;&gt;""),"; ","")&amp;IF(J7&lt;&gt;"",J7&amp;" in Budget Period 2","")&amp;IF(AND(OR(I7&lt;&gt;"",J7&lt;&gt;""),K7&lt;&gt;""),"; ","")&amp;IF(K7&lt;&gt;"",K7&amp;" in Budget Period 3","")&amp;IF(AND(OR(I7&lt;&gt;"",J7&lt;&gt;"",K7&lt;&gt;""),L7&lt;&gt;""),"; ","")&amp;IF(L7&lt;&gt;"",L7&amp;" in Budget Period 4","")&amp;IF(AND(OR(I7&lt;&gt;"",J7&lt;&gt;"",K7&lt;&gt;"",L7&lt;&gt;""),M7&lt;&gt;""),"; ","")&amp;IF(M7&lt;&gt;"",M7&amp;" in Budget Period 5","")&amp;" of "&amp;'BP1'!B16&amp;"'s salary is requested. ",I7&amp;" of "&amp;'BP1'!B16&amp;"'s salary is requested"&amp;IF('BP1'!$K$5&gt;1," each budget period for "&amp;'BP1'!$K$5&amp;" budget periods. ",". ")),"")&amp;IF('Cumulative Budget'!M16&gt;0,IF(T7="Note: Effort changes in the outyears!",IF(N7&lt;&gt;"",N7&amp;" in Budget Period 1","")&amp;IF(AND(N7&lt;&gt;"",O7&lt;&gt;""),"; ","")&amp;IF(O7&lt;&gt;"",O7&amp;" in Budget Period 2","")&amp;IF(AND(OR(N7&lt;&gt;"",O7&lt;&gt;""),P7&lt;&gt;""),"; ","")&amp;IF(P7&lt;&gt;"",P7&amp;" in Budget Period 3","")&amp;IF(AND(OR(N7&lt;&gt;"",O7&lt;&gt;"",P7&lt;&gt;""),Q7&lt;&gt;""),"; ","")&amp;IF(Q7&lt;&gt;"",Q7&amp;" in Budget Period 4","")&amp;IF(AND(OR(N7&lt;&gt;"",O7&lt;&gt;"",P7&lt;&gt;"",Q7&lt;&gt;""),R7&lt;&gt;""),"; ","")&amp;IF(R7&lt;&gt;"",R7&amp;" in Budget Period 5","")&amp;" of "&amp;'BP1'!B16&amp;"'s salary is requested. ",N7&amp;" of "&amp;'BP1'!B16&amp;"'s salary is requested"&amp;IF('BP1'!$K$5&gt;1," each budget period for "&amp;'BP1'!$K$5&amp;" budget periods. ",". ")),"")&amp;IF(OR('BP1'!G16=10,'BP1'!G16=11),'BP1'!B16&amp;" currently has a"&amp;IF('BP1'!G16=11,"n "," ")&amp;'BP1'!G16&amp;"-month appointment. ","")&amp;IF(AND('BP1'!$K$5&gt;1,'BP1'!$K$7&gt;0,OR('Cumulative Budget'!H16+'Cumulative Budget'!I16+'Cumulative Budget'!J16+'Cumulative Budget'!M16&gt;0)),"Salary is inflated by "&amp;('BP1'!$K$7*100)&amp;"% annually each September. ","")&amp;IF(ISBLANK('BP1'!Q16),"",'BP1'!Q16)</f>
        <v/>
      </c>
      <c r="B7" s="991"/>
      <c r="C7" s="991"/>
      <c r="D7" s="991"/>
      <c r="E7" s="991"/>
      <c r="F7" s="991"/>
      <c r="G7" s="991"/>
      <c r="H7" s="991"/>
      <c r="I7" s="267" t="str">
        <f>IF(SUM('Cumulative Budget'!H16:J16)&gt;0,(IF('BP1'!$K$5&gt;0,((IF('BP1'!H16&gt;0,CONCATENATE(IF('BP1'!H16&gt;0,TEXT('BP1'!H16,"0.00")&amp;" calendar month"&amp;IF('BP1'!H16&gt;1,"s",)&amp;" (or "&amp;TEXT('BP1'!H16/'BP1'!G16,"0%")&amp;" calendar effort)",)),CONCATENATE(IF('BP1'!I16&gt;0,TEXT('BP1'!I16,"0.00")&amp;" academic month"&amp;IF('BP1'!I16&gt;1,"s",)&amp;" (or "&amp;TEXT('BP1'!I16/9,"0%")&amp;" academic effort)",),IF(AND('BP1'!I16&gt;0,'BP1'!J16&gt;0)," and ",),IF('BP1'!J16&gt;0,TEXT('BP1'!J16,"0.00")&amp;" summer month"&amp;IF('BP1'!J16&gt;1,"s",)&amp;" (or "&amp;TEXT('BP1'!J16/3,"0%")&amp;" summer effort)",))))),"")),"")</f>
        <v/>
      </c>
      <c r="J7" s="267" t="str">
        <f>IF(SUM('Cumulative Budget'!H16:J16)&gt;0,(IF('BP1'!$K$5&gt;1,((IF('BP2'!H16&gt;0,CONCATENATE(IF('BP2'!H16&gt;0,TEXT('BP2'!H16,"0.00")&amp;" calendar month"&amp;IF('BP2'!H16&gt;1,"s",)&amp;" (or "&amp;TEXT('BP2'!H16/'BP2'!G16,"0%")&amp;" calendar effort)",)),CONCATENATE(IF('BP2'!I16&gt;0,TEXT('BP2'!I16,"0.00")&amp;" academic month"&amp;IF('BP2'!I16&gt;1,"s",)&amp;" (or "&amp;TEXT('BP2'!I16/9,"0%")&amp;" academic effort)",),IF(AND('BP2'!I16&gt;0,'BP2'!J16&gt;0)," and ",),IF('BP2'!J16&gt;0,TEXT('BP2'!J16,"0.00")&amp;" summer month"&amp;IF('BP2'!J16&gt;1,"s",)&amp;" (or "&amp;TEXT('BP2'!J16/3,"0%")&amp;" summer effort)",))))),"")),"")</f>
        <v/>
      </c>
      <c r="K7" s="267" t="str">
        <f>IF(SUM('Cumulative Budget'!H16:J16)&gt;0,(IF('BP1'!$K$5&gt;2,((IF('BP3'!H16&gt;0,CONCATENATE(IF('BP3'!H16&gt;0,TEXT('BP3'!H16,"0.00")&amp;" calendar month"&amp;IF('BP3'!H16&gt;1,"s",)&amp;" (or "&amp;TEXT('BP3'!H16/'BP3'!G16,"0%")&amp;" calendar effort)",)),CONCATENATE(IF('BP3'!I16&gt;0,TEXT('BP3'!I16,"0.00")&amp;" academic month"&amp;IF('BP3'!I16&gt;1,"s",)&amp;" (or "&amp;TEXT('BP3'!I16/9,"0%")&amp;" academic effort)",),IF(AND('BP3'!I16&gt;0,'BP3'!J16&gt;0)," and ",),IF('BP3'!J16&gt;0,TEXT('BP3'!J16,"0.00")&amp;" summer month"&amp;IF('BP3'!J16&gt;1,"s",)&amp;" (or "&amp;TEXT('BP3'!J16/3,"0%")&amp;" summer effort)",))))),"")),"")</f>
        <v/>
      </c>
      <c r="L7" s="267" t="str">
        <f>IF(SUM('Cumulative Budget'!H16:J16)&gt;0,(IF('BP1'!$K$5&gt;3,((IF('BP4'!H16&gt;0,CONCATENATE(IF('BP4'!H16&gt;0,TEXT('BP4'!H16,"0.00")&amp;" calendar month"&amp;IF('BP4'!H16&gt;1,"s",)&amp;" (or "&amp;TEXT('BP4'!H16/'BP4'!G16,"0%")&amp;" calendar effort)",)),CONCATENATE(IF('BP4'!I16&gt;0,TEXT('BP4'!I16,"0.00")&amp;" academic month"&amp;IF('BP4'!I16&gt;1,"s",)&amp;" (or "&amp;TEXT('BP4'!I16/9,"0%")&amp;" academic effort)",),IF(AND('BP4'!I16&gt;0,'BP4'!J16&gt;0)," and ",),IF('BP4'!J16&gt;0,TEXT('BP4'!J16,"0.00")&amp;" summer month"&amp;IF('BP4'!J16&gt;1,"s",)&amp;" (or "&amp;TEXT('BP4'!J16/3,"0%")&amp;" summer effort)",))))),"")),"")</f>
        <v/>
      </c>
      <c r="M7" s="267" t="str">
        <f>IF(SUM('Cumulative Budget'!H16:J16)&gt;0,(IF('BP1'!$K$5&gt;4,((IF('BP5'!H16&gt;0,CONCATENATE(IF('BP5'!H16&gt;0,TEXT('BP5'!H16,"0.00")&amp;" calendar month"&amp;IF('BP5'!H16&gt;1,"s",)&amp;" (or "&amp;TEXT('BP5'!H16/'BP5'!G16,"0%")&amp;" calendar effort)",)),CONCATENATE(IF('BP5'!I16&gt;0,TEXT('BP5'!I16,"0.00")&amp;" academic month"&amp;IF('BP5'!I16&gt;1,"s",)&amp;" (or "&amp;TEXT('BP5'!I16/9,"0%")&amp;" academic effort)",),IF(AND('BP5'!I16&gt;0,'BP5'!J16&gt;0)," and ",),IF('BP5'!J16&gt;0,TEXT('BP5'!J16,"0.00")&amp;" summer month"&amp;IF('BP5'!J16&gt;1,"s",)&amp;" (or "&amp;TEXT('BP5'!J16/3,"0%")&amp;" summer effort)",))))),"")),"")</f>
        <v/>
      </c>
      <c r="N7" s="532" t="str">
        <f>IF(AND('BP1'!M16&gt;0,'BP1'!$A$5&gt;0),TEXT('BP1'!M16,"0.00")&amp;" cost-shared month"&amp;IF('BP1'!M16&gt;1,"s",)&amp;" (or "&amp;TEXT('BP1'!M16/'BP1'!G16,"0%")&amp;" cost-shared effort)","")</f>
        <v/>
      </c>
      <c r="O7" s="532" t="str">
        <f>IF(AND('BP2'!M16&gt;0,'BP2'!$A$5&gt;0),TEXT('BP2'!M16,"0.00")&amp;" cost-shared month"&amp;IF('BP2'!M16&gt;1,"s",)&amp;" (or "&amp;TEXT('BP2'!M16/'BP2'!G16,"0%")&amp;" cost-shared effort)","")</f>
        <v/>
      </c>
      <c r="P7" s="532" t="str">
        <f>IF(AND('BP3'!M16&gt;0,'BP3'!$A$5&gt;0),TEXT('BP3'!M16,"0.00")&amp;" cost-shared month"&amp;IF('BP3'!M16&gt;1,"s",)&amp;" (or "&amp;TEXT('BP3'!M16/'BP3'!G16,"0%")&amp;" cost-shared effort)","")</f>
        <v/>
      </c>
      <c r="Q7" s="532" t="str">
        <f>IF(AND('BP4'!M16&gt;0,'BP4'!$A$5&gt;0),TEXT('BP4'!M16,"0.00")&amp;" cost-shared month"&amp;IF('BP4'!M16&gt;1,"s",)&amp;" (or "&amp;TEXT('BP4'!M16/'BP4'!G16,"0%")&amp;" cost-shared effort)","")</f>
        <v/>
      </c>
      <c r="R7" s="532" t="str">
        <f>IF(AND('BP5'!M16&gt;0,'BP5'!$A$5&gt;0),TEXT('BP5'!M16,"0.00")&amp;" cost-shared month"&amp;IF('BP5'!M16&gt;1,"s",)&amp;" (or "&amp;TEXT('BP5'!M16/'BP5'!G16,"0%")&amp;" cost-shared effort)","")</f>
        <v/>
      </c>
      <c r="S7" s="236" t="str">
        <f>IF(AND('BP1'!$K$5=2,I7&lt;&gt;J7),"Note: Effort changes in the outyears!","")&amp;IF(AND('BP1'!$K$5=3,OR(I7&lt;&gt;J7,I7&lt;&gt;K7,J7&lt;&gt;K7)),"Note: Effort changes in the outyears!","")&amp;IF(AND('BP1'!$K$5=4,OR(I7&lt;&gt;J7,I7&lt;&gt;K7,I7&lt;&gt;L7,J7&lt;&gt;K7,J7&lt;&gt;L7,K7&lt;&gt;L7)),"Note: Effort changes in the outyears!","")&amp;IF(AND('BP1'!$K$5=5,OR(I7&lt;&gt;J7,I7&lt;&gt;K7,I7&lt;&gt;L7,I7&lt;&gt;M7,J7&lt;&gt;K7,J7&lt;&gt;L7,J7&lt;&gt;M7,K7&lt;&gt;L7,K7&lt;&gt;M7,L7&lt;&gt;M7)),"Note: Effort changes in the outyears!","")</f>
        <v/>
      </c>
      <c r="T7" s="236" t="str">
        <f>IF(AND('BP1'!$K$5=2,N7&lt;&gt;O7),"Note: Effort changes in the outyears!","")&amp;IF(AND('BP1'!$K$5=3,OR(N7&lt;&gt;O7,N7&lt;&gt;P7,O7&lt;&gt;P7)),"Note: Effort changes in the outyears!","")&amp;IF(AND('BP1'!$K$5=4,OR(N7&lt;&gt;O7,N7&lt;&gt;P7,N7&lt;&gt;Q7,O7&lt;&gt;P7,O7&lt;&gt;Q7,P7&lt;&gt;Q7)),"Note: Effort changes in the outyears!","")&amp;IF(AND('BP1'!$K$5=5,OR(N7&lt;&gt;O7,N7&lt;&gt;P7,N7&lt;&gt;Q7,N7&lt;&gt;R7,O7&lt;&gt;P7,O7&lt;&gt;Q7,O7&lt;&gt;R7,P7&lt;&gt;Q7,P7&lt;&gt;R7,Q7&lt;&gt;R7)),"Note: Effort changes in the outyears!","")</f>
        <v/>
      </c>
      <c r="U7" s="691" t="str">
        <f t="shared" si="0"/>
        <v>Blank</v>
      </c>
    </row>
    <row r="8" spans="1:28" ht="60" customHeight="1">
      <c r="A8" s="991" t="str">
        <f>IF('Cumulative Budget'!H17+'Cumulative Budget'!I17+'Cumulative Budget'!J17&gt;0,IF(S8="Note: Effort changes in the outyears!",IF(I8&lt;&gt;"",I8&amp;" in Budget Period 1","")&amp;IF(AND(I8&lt;&gt;"",J8&lt;&gt;""),"; ","")&amp;IF(J8&lt;&gt;"",J8&amp;" in Budget Period 2","")&amp;IF(AND(OR(I8&lt;&gt;"",J8&lt;&gt;""),K8&lt;&gt;""),"; ","")&amp;IF(K8&lt;&gt;"",K8&amp;" in Budget Period 3","")&amp;IF(AND(OR(I8&lt;&gt;"",J8&lt;&gt;"",K8&lt;&gt;""),L8&lt;&gt;""),"; ","")&amp;IF(L8&lt;&gt;"",L8&amp;" in Budget Period 4","")&amp;IF(AND(OR(I8&lt;&gt;"",J8&lt;&gt;"",K8&lt;&gt;"",L8&lt;&gt;""),M8&lt;&gt;""),"; ","")&amp;IF(M8&lt;&gt;"",M8&amp;" in Budget Period 5","")&amp;" of "&amp;'BP1'!B17&amp;"'s salary is requested. ",I8&amp;" of "&amp;'BP1'!B17&amp;"'s salary is requested"&amp;IF('BP1'!$K$5&gt;1," each budget period for "&amp;'BP1'!$K$5&amp;" budget periods. ",". ")),"")&amp;IF('Cumulative Budget'!M17&gt;0,IF(T8="Note: Effort changes in the outyears!",IF(N8&lt;&gt;"",N8&amp;" in Budget Period 1","")&amp;IF(AND(N8&lt;&gt;"",O8&lt;&gt;""),"; ","")&amp;IF(O8&lt;&gt;"",O8&amp;" in Budget Period 2","")&amp;IF(AND(OR(N8&lt;&gt;"",O8&lt;&gt;""),P8&lt;&gt;""),"; ","")&amp;IF(P8&lt;&gt;"",P8&amp;" in Budget Period 3","")&amp;IF(AND(OR(N8&lt;&gt;"",O8&lt;&gt;"",P8&lt;&gt;""),Q8&lt;&gt;""),"; ","")&amp;IF(Q8&lt;&gt;"",Q8&amp;" in Budget Period 4","")&amp;IF(AND(OR(N8&lt;&gt;"",O8&lt;&gt;"",P8&lt;&gt;"",Q8&lt;&gt;""),R8&lt;&gt;""),"; ","")&amp;IF(R8&lt;&gt;"",R8&amp;" in Budget Period 5","")&amp;" of "&amp;'BP1'!B17&amp;"'s salary is requested. ",N8&amp;" of "&amp;'BP1'!B17&amp;"'s salary is requested"&amp;IF('BP1'!$K$5&gt;1," each budget period for "&amp;'BP1'!$K$5&amp;" budget periods. ",". ")),"")&amp;IF(OR('BP1'!G17=10,'BP1'!G17=11),'BP1'!B17&amp;" currently has a"&amp;IF('BP1'!G17=11,"n "," ")&amp;'BP1'!G17&amp;"-month appointment. ","")&amp;IF(AND('BP1'!$K$5&gt;1,'BP1'!$K$7&gt;0,OR('Cumulative Budget'!H17+'Cumulative Budget'!I17+'Cumulative Budget'!J17+'Cumulative Budget'!M17&gt;0)),"Salary is inflated by "&amp;('BP1'!$K$7*100)&amp;"% annually each September. ","")&amp;IF(ISBLANK('BP1'!Q17),"",'BP1'!Q17)</f>
        <v/>
      </c>
      <c r="B8" s="991"/>
      <c r="C8" s="991"/>
      <c r="D8" s="991"/>
      <c r="E8" s="991"/>
      <c r="F8" s="991"/>
      <c r="G8" s="991"/>
      <c r="H8" s="991"/>
      <c r="I8" s="267" t="str">
        <f>IF(SUM('Cumulative Budget'!H17:J17)&gt;0,(IF('BP1'!$K$5&gt;0,((IF('BP1'!H17&gt;0,CONCATENATE(IF('BP1'!H17&gt;0,TEXT('BP1'!H17,"0.00")&amp;" calendar month"&amp;IF('BP1'!H17&gt;1,"s",)&amp;" (or "&amp;TEXT('BP1'!H17/'BP1'!G17,"0%")&amp;" calendar effort)",)),CONCATENATE(IF('BP1'!I17&gt;0,TEXT('BP1'!I17,"0.00")&amp;" academic month"&amp;IF('BP1'!I17&gt;1,"s",)&amp;" (or "&amp;TEXT('BP1'!I17/9,"0%")&amp;" academic effort)",),IF(AND('BP1'!I17&gt;0,'BP1'!J17&gt;0)," and ",),IF('BP1'!J17&gt;0,TEXT('BP1'!J17,"0.00")&amp;" summer month"&amp;IF('BP1'!J17&gt;1,"s",)&amp;" (or "&amp;TEXT('BP1'!J17/3,"0%")&amp;" summer effort)",))))),"")),"")</f>
        <v/>
      </c>
      <c r="J8" s="267" t="str">
        <f>IF(SUM('Cumulative Budget'!H17:J17)&gt;0,(IF('BP1'!$K$5&gt;1,((IF('BP2'!H17&gt;0,CONCATENATE(IF('BP2'!H17&gt;0,TEXT('BP2'!H17,"0.00")&amp;" calendar month"&amp;IF('BP2'!H17&gt;1,"s",)&amp;" (or "&amp;TEXT('BP2'!H17/'BP2'!G17,"0%")&amp;" calendar effort)",)),CONCATENATE(IF('BP2'!I17&gt;0,TEXT('BP2'!I17,"0.00")&amp;" academic month"&amp;IF('BP2'!I17&gt;1,"s",)&amp;" (or "&amp;TEXT('BP2'!I17/9,"0%")&amp;" academic effort)",),IF(AND('BP2'!I17&gt;0,'BP2'!J17&gt;0)," and ",),IF('BP2'!J17&gt;0,TEXT('BP2'!J17,"0.00")&amp;" summer month"&amp;IF('BP2'!J17&gt;1,"s",)&amp;" (or "&amp;TEXT('BP2'!J17/3,"0%")&amp;" summer effort)",))))),"")),"")</f>
        <v/>
      </c>
      <c r="K8" s="267" t="str">
        <f>IF(SUM('Cumulative Budget'!H17:J17)&gt;0,(IF('BP1'!$K$5&gt;2,((IF('BP3'!H17&gt;0,CONCATENATE(IF('BP3'!H17&gt;0,TEXT('BP3'!H17,"0.00")&amp;" calendar month"&amp;IF('BP3'!H17&gt;1,"s",)&amp;" (or "&amp;TEXT('BP3'!H17/'BP3'!G17,"0%")&amp;" calendar effort)",)),CONCATENATE(IF('BP3'!I17&gt;0,TEXT('BP3'!I17,"0.00")&amp;" academic month"&amp;IF('BP3'!I17&gt;1,"s",)&amp;" (or "&amp;TEXT('BP3'!I17/9,"0%")&amp;" academic effort)",),IF(AND('BP3'!I17&gt;0,'BP3'!J17&gt;0)," and ",),IF('BP3'!J17&gt;0,TEXT('BP3'!J17,"0.00")&amp;" summer month"&amp;IF('BP3'!J17&gt;1,"s",)&amp;" (or "&amp;TEXT('BP3'!J17/3,"0%")&amp;" summer effort)",))))),"")),"")</f>
        <v/>
      </c>
      <c r="L8" s="267" t="str">
        <f>IF(SUM('Cumulative Budget'!H17:J17)&gt;0,(IF('BP1'!$K$5&gt;3,((IF('BP4'!H17&gt;0,CONCATENATE(IF('BP4'!H17&gt;0,TEXT('BP4'!H17,"0.00")&amp;" calendar month"&amp;IF('BP4'!H17&gt;1,"s",)&amp;" (or "&amp;TEXT('BP4'!H17/'BP4'!G17,"0%")&amp;" calendar effort)",)),CONCATENATE(IF('BP4'!I17&gt;0,TEXT('BP4'!I17,"0.00")&amp;" academic month"&amp;IF('BP4'!I17&gt;1,"s",)&amp;" (or "&amp;TEXT('BP4'!I17/9,"0%")&amp;" academic effort)",),IF(AND('BP4'!I17&gt;0,'BP4'!J17&gt;0)," and ",),IF('BP4'!J17&gt;0,TEXT('BP4'!J17,"0.00")&amp;" summer month"&amp;IF('BP4'!J17&gt;1,"s",)&amp;" (or "&amp;TEXT('BP4'!J17/3,"0%")&amp;" summer effort)",))))),"")),"")</f>
        <v/>
      </c>
      <c r="M8" s="267" t="str">
        <f>IF(SUM('Cumulative Budget'!H17:J17)&gt;0,(IF('BP1'!$K$5&gt;4,((IF('BP5'!H17&gt;0,CONCATENATE(IF('BP5'!H17&gt;0,TEXT('BP5'!H17,"0.00")&amp;" calendar month"&amp;IF('BP5'!H17&gt;1,"s",)&amp;" (or "&amp;TEXT('BP5'!H17/'BP5'!G17,"0%")&amp;" calendar effort)",)),CONCATENATE(IF('BP5'!I17&gt;0,TEXT('BP5'!I17,"0.00")&amp;" academic month"&amp;IF('BP5'!I17&gt;1,"s",)&amp;" (or "&amp;TEXT('BP5'!I17/9,"0%")&amp;" academic effort)",),IF(AND('BP5'!I17&gt;0,'BP5'!J17&gt;0)," and ",),IF('BP5'!J17&gt;0,TEXT('BP5'!J17,"0.00")&amp;" summer month"&amp;IF('BP5'!J17&gt;1,"s",)&amp;" (or "&amp;TEXT('BP5'!J17/3,"0%")&amp;" summer effort)",))))),"")),"")</f>
        <v/>
      </c>
      <c r="N8" s="532" t="str">
        <f>IF(AND('BP1'!M17&gt;0,'BP1'!$A$5&gt;0),TEXT('BP1'!M17,"0.00")&amp;" cost-shared month"&amp;IF('BP1'!M17&gt;1,"s",)&amp;" (or "&amp;TEXT('BP1'!M17/'BP1'!G17,"0%")&amp;" cost-shared effort)","")</f>
        <v/>
      </c>
      <c r="O8" s="532" t="str">
        <f>IF(AND('BP2'!M17&gt;0,'BP2'!$A$5&gt;0),TEXT('BP2'!M17,"0.00")&amp;" cost-shared month"&amp;IF('BP2'!M17&gt;1,"s",)&amp;" (or "&amp;TEXT('BP2'!M17/'BP2'!G17,"0%")&amp;" cost-shared effort)","")</f>
        <v/>
      </c>
      <c r="P8" s="532" t="str">
        <f>IF(AND('BP3'!M17&gt;0,'BP3'!$A$5&gt;0),TEXT('BP3'!M17,"0.00")&amp;" cost-shared month"&amp;IF('BP3'!M17&gt;1,"s",)&amp;" (or "&amp;TEXT('BP3'!M17/'BP3'!G17,"0%")&amp;" cost-shared effort)","")</f>
        <v/>
      </c>
      <c r="Q8" s="532" t="str">
        <f>IF(AND('BP4'!M17&gt;0,'BP4'!$A$5&gt;0),TEXT('BP4'!M17,"0.00")&amp;" cost-shared month"&amp;IF('BP4'!M17&gt;1,"s",)&amp;" (or "&amp;TEXT('BP4'!M17/'BP4'!G17,"0%")&amp;" cost-shared effort)","")</f>
        <v/>
      </c>
      <c r="R8" s="532" t="str">
        <f>IF(AND('BP5'!M17&gt;0,'BP5'!$A$5&gt;0),TEXT('BP5'!M17,"0.00")&amp;" cost-shared month"&amp;IF('BP5'!M17&gt;1,"s",)&amp;" (or "&amp;TEXT('BP5'!M17/'BP5'!G17,"0%")&amp;" cost-shared effort)","")</f>
        <v/>
      </c>
      <c r="S8" s="236" t="str">
        <f>IF(AND('BP1'!$K$5=2,I8&lt;&gt;J8),"Note: Effort changes in the outyears!","")&amp;IF(AND('BP1'!$K$5=3,OR(I8&lt;&gt;J8,I8&lt;&gt;K8,J8&lt;&gt;K8)),"Note: Effort changes in the outyears!","")&amp;IF(AND('BP1'!$K$5=4,OR(I8&lt;&gt;J8,I8&lt;&gt;K8,I8&lt;&gt;L8,J8&lt;&gt;K8,J8&lt;&gt;L8,K8&lt;&gt;L8)),"Note: Effort changes in the outyears!","")&amp;IF(AND('BP1'!$K$5=5,OR(I8&lt;&gt;J8,I8&lt;&gt;K8,I8&lt;&gt;L8,I8&lt;&gt;M8,J8&lt;&gt;K8,J8&lt;&gt;L8,J8&lt;&gt;M8,K8&lt;&gt;L8,K8&lt;&gt;M8,L8&lt;&gt;M8)),"Note: Effort changes in the outyears!","")</f>
        <v/>
      </c>
      <c r="T8" s="236" t="str">
        <f>IF(AND('BP1'!$K$5=2,N8&lt;&gt;O8),"Note: Effort changes in the outyears!","")&amp;IF(AND('BP1'!$K$5=3,OR(N8&lt;&gt;O8,N8&lt;&gt;P8,O8&lt;&gt;P8)),"Note: Effort changes in the outyears!","")&amp;IF(AND('BP1'!$K$5=4,OR(N8&lt;&gt;O8,N8&lt;&gt;P8,N8&lt;&gt;Q8,O8&lt;&gt;P8,O8&lt;&gt;Q8,P8&lt;&gt;Q8)),"Note: Effort changes in the outyears!","")&amp;IF(AND('BP1'!$K$5=5,OR(N8&lt;&gt;O8,N8&lt;&gt;P8,N8&lt;&gt;Q8,N8&lt;&gt;R8,O8&lt;&gt;P8,O8&lt;&gt;Q8,O8&lt;&gt;R8,P8&lt;&gt;Q8,P8&lt;&gt;R8,Q8&lt;&gt;R8)),"Note: Effort changes in the outyears!","")</f>
        <v/>
      </c>
      <c r="U8" s="691" t="str">
        <f t="shared" si="0"/>
        <v>Blank</v>
      </c>
    </row>
    <row r="9" spans="1:28" ht="60" customHeight="1">
      <c r="A9" s="991" t="str">
        <f>IF('Cumulative Budget'!H18+'Cumulative Budget'!I18+'Cumulative Budget'!J18&gt;0,IF(S9="Note: Effort changes in the outyears!",IF(I9&lt;&gt;"",I9&amp;" in Budget Period 1","")&amp;IF(AND(I9&lt;&gt;"",J9&lt;&gt;""),"; ","")&amp;IF(J9&lt;&gt;"",J9&amp;" in Budget Period 2","")&amp;IF(AND(OR(I9&lt;&gt;"",J9&lt;&gt;""),K9&lt;&gt;""),"; ","")&amp;IF(K9&lt;&gt;"",K9&amp;" in Budget Period 3","")&amp;IF(AND(OR(I9&lt;&gt;"",J9&lt;&gt;"",K9&lt;&gt;""),L9&lt;&gt;""),"; ","")&amp;IF(L9&lt;&gt;"",L9&amp;" in Budget Period 4","")&amp;IF(AND(OR(I9&lt;&gt;"",J9&lt;&gt;"",K9&lt;&gt;"",L9&lt;&gt;""),M9&lt;&gt;""),"; ","")&amp;IF(M9&lt;&gt;"",M9&amp;" in Budget Period 5","")&amp;" of "&amp;'BP1'!B18&amp;"'s salary is requested. ",I9&amp;" of "&amp;'BP1'!B18&amp;"'s salary is requested"&amp;IF('BP1'!$K$5&gt;1," each budget period for "&amp;'BP1'!$K$5&amp;" budget periods. ",". ")),"")&amp;IF('Cumulative Budget'!M18&gt;0,IF(T9="Note: Effort changes in the outyears!",IF(N9&lt;&gt;"",N9&amp;" in Budget Period 1","")&amp;IF(AND(N9&lt;&gt;"",O9&lt;&gt;""),"; ","")&amp;IF(O9&lt;&gt;"",O9&amp;" in Budget Period 2","")&amp;IF(AND(OR(N9&lt;&gt;"",O9&lt;&gt;""),P9&lt;&gt;""),"; ","")&amp;IF(P9&lt;&gt;"",P9&amp;" in Budget Period 3","")&amp;IF(AND(OR(N9&lt;&gt;"",O9&lt;&gt;"",P9&lt;&gt;""),Q9&lt;&gt;""),"; ","")&amp;IF(Q9&lt;&gt;"",Q9&amp;" in Budget Period 4","")&amp;IF(AND(OR(N9&lt;&gt;"",O9&lt;&gt;"",P9&lt;&gt;"",Q9&lt;&gt;""),R9&lt;&gt;""),"; ","")&amp;IF(R9&lt;&gt;"",R9&amp;" in Budget Period 5","")&amp;" of "&amp;'BP1'!B18&amp;"'s salary is requested. ",N9&amp;" of "&amp;'BP1'!B18&amp;"'s salary is requested"&amp;IF('BP1'!$K$5&gt;1," each budget period for "&amp;'BP1'!$K$5&amp;" budget periods. ",". ")),"")&amp;IF(OR('BP1'!G18=10,'BP1'!G18=11),'BP1'!B18&amp;" currently has a"&amp;IF('BP1'!G18=11,"n "," ")&amp;'BP1'!G18&amp;"-month appointment. ","")&amp;IF(AND('BP1'!$K$5&gt;1,'BP1'!$K$7&gt;0,OR('Cumulative Budget'!H18+'Cumulative Budget'!I18+'Cumulative Budget'!J18+'Cumulative Budget'!M18&gt;0)),"Salary is inflated by "&amp;('BP1'!$K$7*100)&amp;"% annually each September. ","")&amp;IF(ISBLANK('BP1'!Q18),"",'BP1'!Q18)</f>
        <v/>
      </c>
      <c r="B9" s="991"/>
      <c r="C9" s="991"/>
      <c r="D9" s="991"/>
      <c r="E9" s="991"/>
      <c r="F9" s="991"/>
      <c r="G9" s="991"/>
      <c r="H9" s="991"/>
      <c r="I9" s="267" t="str">
        <f>IF(SUM('Cumulative Budget'!H18:J18)&gt;0,(IF('BP1'!$K$5&gt;0,((IF('BP1'!H18&gt;0,CONCATENATE(IF('BP1'!H18&gt;0,TEXT('BP1'!H18,"0.00")&amp;" calendar month"&amp;IF('BP1'!H18&gt;1,"s",)&amp;" (or "&amp;TEXT('BP1'!H18/'BP1'!G18,"0%")&amp;" calendar effort)",)),CONCATENATE(IF('BP1'!I18&gt;0,TEXT('BP1'!I18,"0.00")&amp;" academic month"&amp;IF('BP1'!I18&gt;1,"s",)&amp;" (or "&amp;TEXT('BP1'!I18/9,"0%")&amp;" academic effort)",),IF(AND('BP1'!I18&gt;0,'BP1'!J18&gt;0)," and ",),IF('BP1'!J18&gt;0,TEXT('BP1'!J18,"0.00")&amp;" summer month"&amp;IF('BP1'!J18&gt;1,"s",)&amp;" (or "&amp;TEXT('BP1'!J18/3,"0%")&amp;" summer effort)",))))),"")),"")</f>
        <v/>
      </c>
      <c r="J9" s="267" t="str">
        <f>IF(SUM('Cumulative Budget'!H18:J18)&gt;0,(IF('BP1'!$K$5&gt;1,((IF('BP2'!H18&gt;0,CONCATENATE(IF('BP2'!H18&gt;0,TEXT('BP2'!H18,"0.00")&amp;" calendar month"&amp;IF('BP2'!H18&gt;1,"s",)&amp;" (or "&amp;TEXT('BP2'!H18/'BP2'!G18,"0%")&amp;" calendar effort)",)),CONCATENATE(IF('BP2'!I18&gt;0,TEXT('BP2'!I18,"0.00")&amp;" academic month"&amp;IF('BP2'!I18&gt;1,"s",)&amp;" (or "&amp;TEXT('BP2'!I18/9,"0%")&amp;" academic effort)",),IF(AND('BP2'!I18&gt;0,'BP2'!J18&gt;0)," and ",),IF('BP2'!J18&gt;0,TEXT('BP2'!J18,"0.00")&amp;" summer month"&amp;IF('BP2'!J18&gt;1,"s",)&amp;" (or "&amp;TEXT('BP2'!J18/3,"0%")&amp;" summer effort)",))))),"")),"")</f>
        <v/>
      </c>
      <c r="K9" s="267" t="str">
        <f>IF(SUM('Cumulative Budget'!H18:J18)&gt;0,(IF('BP1'!$K$5&gt;2,((IF('BP3'!H18&gt;0,CONCATENATE(IF('BP3'!H18&gt;0,TEXT('BP3'!H18,"0.00")&amp;" calendar month"&amp;IF('BP3'!H18&gt;1,"s",)&amp;" (or "&amp;TEXT('BP3'!H18/'BP3'!G18,"0%")&amp;" calendar effort)",)),CONCATENATE(IF('BP3'!I18&gt;0,TEXT('BP3'!I18,"0.00")&amp;" academic month"&amp;IF('BP3'!I18&gt;1,"s",)&amp;" (or "&amp;TEXT('BP3'!I18/9,"0%")&amp;" academic effort)",),IF(AND('BP3'!I18&gt;0,'BP3'!J18&gt;0)," and ",),IF('BP3'!J18&gt;0,TEXT('BP3'!J18,"0.00")&amp;" summer month"&amp;IF('BP3'!J18&gt;1,"s",)&amp;" (or "&amp;TEXT('BP3'!J18/3,"0%")&amp;" summer effort)",))))),"")),"")</f>
        <v/>
      </c>
      <c r="L9" s="267" t="str">
        <f>IF(SUM('Cumulative Budget'!H18:J18)&gt;0,(IF('BP1'!$K$5&gt;3,((IF('BP4'!H18&gt;0,CONCATENATE(IF('BP4'!H18&gt;0,TEXT('BP4'!H18,"0.00")&amp;" calendar month"&amp;IF('BP4'!H18&gt;1,"s",)&amp;" (or "&amp;TEXT('BP4'!H18/'BP4'!G18,"0%")&amp;" calendar effort)",)),CONCATENATE(IF('BP4'!I18&gt;0,TEXT('BP4'!I18,"0.00")&amp;" academic month"&amp;IF('BP4'!I18&gt;1,"s",)&amp;" (or "&amp;TEXT('BP4'!I18/9,"0%")&amp;" academic effort)",),IF(AND('BP4'!I18&gt;0,'BP4'!J18&gt;0)," and ",),IF('BP4'!J18&gt;0,TEXT('BP4'!J18,"0.00")&amp;" summer month"&amp;IF('BP4'!J18&gt;1,"s",)&amp;" (or "&amp;TEXT('BP4'!J18/3,"0%")&amp;" summer effort)",))))),"")),"")</f>
        <v/>
      </c>
      <c r="M9" s="267" t="str">
        <f>IF(SUM('Cumulative Budget'!H18:J18)&gt;0,(IF('BP1'!$K$5&gt;4,((IF('BP5'!H18&gt;0,CONCATENATE(IF('BP5'!H18&gt;0,TEXT('BP5'!H18,"0.00")&amp;" calendar month"&amp;IF('BP5'!H18&gt;1,"s",)&amp;" (or "&amp;TEXT('BP5'!H18/'BP5'!G18,"0%")&amp;" calendar effort)",)),CONCATENATE(IF('BP5'!I18&gt;0,TEXT('BP5'!I18,"0.00")&amp;" academic month"&amp;IF('BP5'!I18&gt;1,"s",)&amp;" (or "&amp;TEXT('BP5'!I18/9,"0%")&amp;" academic effort)",),IF(AND('BP5'!I18&gt;0,'BP5'!J18&gt;0)," and ",),IF('BP5'!J18&gt;0,TEXT('BP5'!J18,"0.00")&amp;" summer month"&amp;IF('BP5'!J18&gt;1,"s",)&amp;" (or "&amp;TEXT('BP5'!J18/3,"0%")&amp;" summer effort)",))))),"")),"")</f>
        <v/>
      </c>
      <c r="N9" s="532" t="str">
        <f>IF(AND('BP1'!M18&gt;0,'BP1'!$A$5&gt;0),TEXT('BP1'!M18,"0.00")&amp;" cost-shared month"&amp;IF('BP1'!M18&gt;1,"s",)&amp;" (or "&amp;TEXT('BP1'!M18/'BP1'!G18,"0%")&amp;" cost-shared effort)","")</f>
        <v/>
      </c>
      <c r="O9" s="532" t="str">
        <f>IF(AND('BP2'!M18&gt;0,'BP2'!$A$5&gt;0),TEXT('BP2'!M18,"0.00")&amp;" cost-shared month"&amp;IF('BP2'!M18&gt;1,"s",)&amp;" (or "&amp;TEXT('BP2'!M18/'BP2'!G18,"0%")&amp;" cost-shared effort)","")</f>
        <v/>
      </c>
      <c r="P9" s="532" t="str">
        <f>IF(AND('BP3'!M18&gt;0,'BP3'!$A$5&gt;0),TEXT('BP3'!M18,"0.00")&amp;" cost-shared month"&amp;IF('BP3'!M18&gt;1,"s",)&amp;" (or "&amp;TEXT('BP3'!M18/'BP3'!G18,"0%")&amp;" cost-shared effort)","")</f>
        <v/>
      </c>
      <c r="Q9" s="532" t="str">
        <f>IF(AND('BP4'!M18&gt;0,'BP4'!$A$5&gt;0),TEXT('BP4'!M18,"0.00")&amp;" cost-shared month"&amp;IF('BP4'!M18&gt;1,"s",)&amp;" (or "&amp;TEXT('BP4'!M18/'BP4'!G18,"0%")&amp;" cost-shared effort)","")</f>
        <v/>
      </c>
      <c r="R9" s="532" t="str">
        <f>IF(AND('BP5'!M18&gt;0,'BP5'!$A$5&gt;0),TEXT('BP5'!M18,"0.00")&amp;" cost-shared month"&amp;IF('BP5'!M18&gt;1,"s",)&amp;" (or "&amp;TEXT('BP5'!M18/'BP5'!G18,"0%")&amp;" cost-shared effort)","")</f>
        <v/>
      </c>
      <c r="S9" s="236" t="str">
        <f>IF(AND('BP1'!$K$5=2,I9&lt;&gt;J9),"Note: Effort changes in the outyears!","")&amp;IF(AND('BP1'!$K$5=3,OR(I9&lt;&gt;J9,I9&lt;&gt;K9,J9&lt;&gt;K9)),"Note: Effort changes in the outyears!","")&amp;IF(AND('BP1'!$K$5=4,OR(I9&lt;&gt;J9,I9&lt;&gt;K9,I9&lt;&gt;L9,J9&lt;&gt;K9,J9&lt;&gt;L9,K9&lt;&gt;L9)),"Note: Effort changes in the outyears!","")&amp;IF(AND('BP1'!$K$5=5,OR(I9&lt;&gt;J9,I9&lt;&gt;K9,I9&lt;&gt;L9,I9&lt;&gt;M9,J9&lt;&gt;K9,J9&lt;&gt;L9,J9&lt;&gt;M9,K9&lt;&gt;L9,K9&lt;&gt;M9,L9&lt;&gt;M9)),"Note: Effort changes in the outyears!","")</f>
        <v/>
      </c>
      <c r="T9" s="236" t="str">
        <f>IF(AND('BP1'!$K$5=2,N9&lt;&gt;O9),"Note: Effort changes in the outyears!","")&amp;IF(AND('BP1'!$K$5=3,OR(N9&lt;&gt;O9,N9&lt;&gt;P9,O9&lt;&gt;P9)),"Note: Effort changes in the outyears!","")&amp;IF(AND('BP1'!$K$5=4,OR(N9&lt;&gt;O9,N9&lt;&gt;P9,N9&lt;&gt;Q9,O9&lt;&gt;P9,O9&lt;&gt;Q9,P9&lt;&gt;Q9)),"Note: Effort changes in the outyears!","")&amp;IF(AND('BP1'!$K$5=5,OR(N9&lt;&gt;O9,N9&lt;&gt;P9,N9&lt;&gt;Q9,N9&lt;&gt;R9,O9&lt;&gt;P9,O9&lt;&gt;Q9,O9&lt;&gt;R9,P9&lt;&gt;Q9,P9&lt;&gt;R9,Q9&lt;&gt;R9)),"Note: Effort changes in the outyears!","")</f>
        <v/>
      </c>
      <c r="U9" s="691" t="str">
        <f t="shared" si="0"/>
        <v>Blank</v>
      </c>
    </row>
    <row r="10" spans="1:28" ht="60" customHeight="1">
      <c r="A10" s="991" t="str">
        <f>IF('Cumulative Budget'!H19+'Cumulative Budget'!I19+'Cumulative Budget'!J19&gt;0,IF(S10="Note: Effort changes in the outyears!",IF(I10&lt;&gt;"",I10&amp;" in Budget Period 1","")&amp;IF(AND(I10&lt;&gt;"",J10&lt;&gt;""),"; ","")&amp;IF(J10&lt;&gt;"",J10&amp;" in Budget Period 2","")&amp;IF(AND(OR(I10&lt;&gt;"",J10&lt;&gt;""),K10&lt;&gt;""),"; ","")&amp;IF(K10&lt;&gt;"",K10&amp;" in Budget Period 3","")&amp;IF(AND(OR(I10&lt;&gt;"",J10&lt;&gt;"",K10&lt;&gt;""),L10&lt;&gt;""),"; ","")&amp;IF(L10&lt;&gt;"",L10&amp;" in Budget Period 4","")&amp;IF(AND(OR(I10&lt;&gt;"",J10&lt;&gt;"",K10&lt;&gt;"",L10&lt;&gt;""),M10&lt;&gt;""),"; ","")&amp;IF(M10&lt;&gt;"",M10&amp;" in Budget Period 5","")&amp;" of "&amp;'BP1'!B19&amp;"'s salary is requested. ",I10&amp;" of "&amp;'BP1'!B19&amp;"'s salary is requested"&amp;IF('BP1'!$K$5&gt;1," each budget period for "&amp;'BP1'!$K$5&amp;" budget periods. ",". ")),"")&amp;IF('Cumulative Budget'!M19&gt;0,IF(T10="Note: Effort changes in the outyears!",IF(N10&lt;&gt;"",N10&amp;" in Budget Period 1","")&amp;IF(AND(N10&lt;&gt;"",O10&lt;&gt;""),"; ","")&amp;IF(O10&lt;&gt;"",O10&amp;" in Budget Period 2","")&amp;IF(AND(OR(N10&lt;&gt;"",O10&lt;&gt;""),P10&lt;&gt;""),"; ","")&amp;IF(P10&lt;&gt;"",P10&amp;" in Budget Period 3","")&amp;IF(AND(OR(N10&lt;&gt;"",O10&lt;&gt;"",P10&lt;&gt;""),Q10&lt;&gt;""),"; ","")&amp;IF(Q10&lt;&gt;"",Q10&amp;" in Budget Period 4","")&amp;IF(AND(OR(N10&lt;&gt;"",O10&lt;&gt;"",P10&lt;&gt;"",Q10&lt;&gt;""),R10&lt;&gt;""),"; ","")&amp;IF(R10&lt;&gt;"",R10&amp;" in Budget Period 5","")&amp;" of "&amp;'BP1'!B19&amp;"'s salary is requested. ",N10&amp;" of "&amp;'BP1'!B19&amp;"'s salary is requested"&amp;IF('BP1'!$K$5&gt;1," each budget period for "&amp;'BP1'!$K$5&amp;" budget periods. ",". ")),"")&amp;IF(OR('BP1'!G19=10,'BP1'!G19=11),'BP1'!B19&amp;" currently has a"&amp;IF('BP1'!G19=11,"n "," ")&amp;'BP1'!G19&amp;"-month appointment. ","")&amp;IF(AND('BP1'!$K$5&gt;1,'BP1'!$K$7&gt;0,OR('Cumulative Budget'!H19+'Cumulative Budget'!I19+'Cumulative Budget'!J19+'Cumulative Budget'!M19&gt;0)),"Salary is inflated by "&amp;('BP1'!$K$7*100)&amp;"% annually each September. ","")&amp;IF(ISBLANK('BP1'!Q19),"",'BP1'!Q19)</f>
        <v/>
      </c>
      <c r="B10" s="991"/>
      <c r="C10" s="991"/>
      <c r="D10" s="991"/>
      <c r="E10" s="991"/>
      <c r="F10" s="991"/>
      <c r="G10" s="991"/>
      <c r="H10" s="991"/>
      <c r="I10" s="267" t="str">
        <f>IF(SUM('Cumulative Budget'!H19:J19)&gt;0,(IF('BP1'!$K$5&gt;0,((IF('BP1'!H19&gt;0,CONCATENATE(IF('BP1'!H19&gt;0,TEXT('BP1'!H19,"0.00")&amp;" calendar month"&amp;IF('BP1'!H19&gt;1,"s",)&amp;" (or "&amp;TEXT('BP1'!H19/'BP1'!G19,"0%")&amp;" calendar effort)",)),CONCATENATE(IF('BP1'!I19&gt;0,TEXT('BP1'!I19,"0.00")&amp;" academic month"&amp;IF('BP1'!I19&gt;1,"s",)&amp;" (or "&amp;TEXT('BP1'!I19/9,"0%")&amp;" academic effort)",),IF(AND('BP1'!I19&gt;0,'BP1'!J19&gt;0)," and ",),IF('BP1'!J19&gt;0,TEXT('BP1'!J19,"0.00")&amp;" summer month"&amp;IF('BP1'!J19&gt;1,"s",)&amp;" (or "&amp;TEXT('BP1'!J19/3,"0%")&amp;" summer effort)",))))),"")),"")</f>
        <v/>
      </c>
      <c r="J10" s="267" t="str">
        <f>IF(SUM('Cumulative Budget'!H19:J19)&gt;0,(IF('BP1'!$K$5&gt;1,((IF('BP2'!H19&gt;0,CONCATENATE(IF('BP2'!H19&gt;0,TEXT('BP2'!H19,"0.00")&amp;" calendar month"&amp;IF('BP2'!H19&gt;1,"s",)&amp;" (or "&amp;TEXT('BP2'!H19/'BP2'!G19,"0%")&amp;" calendar effort)",)),CONCATENATE(IF('BP2'!I19&gt;0,TEXT('BP2'!I19,"0.00")&amp;" academic month"&amp;IF('BP2'!I19&gt;1,"s",)&amp;" (or "&amp;TEXT('BP2'!I19/9,"0%")&amp;" academic effort)",),IF(AND('BP2'!I19&gt;0,'BP2'!J19&gt;0)," and ",),IF('BP2'!J19&gt;0,TEXT('BP2'!J19,"0.00")&amp;" summer month"&amp;IF('BP2'!J19&gt;1,"s",)&amp;" (or "&amp;TEXT('BP2'!J19/3,"0%")&amp;" summer effort)",))))),"")),"")</f>
        <v/>
      </c>
      <c r="K10" s="267" t="str">
        <f>IF(SUM('Cumulative Budget'!H19:J19)&gt;0,(IF('BP1'!$K$5&gt;2,((IF('BP3'!H19&gt;0,CONCATENATE(IF('BP3'!H19&gt;0,TEXT('BP3'!H19,"0.00")&amp;" calendar month"&amp;IF('BP3'!H19&gt;1,"s",)&amp;" (or "&amp;TEXT('BP3'!H19/'BP3'!G19,"0%")&amp;" calendar effort)",)),CONCATENATE(IF('BP3'!I19&gt;0,TEXT('BP3'!I19,"0.00")&amp;" academic month"&amp;IF('BP3'!I19&gt;1,"s",)&amp;" (or "&amp;TEXT('BP3'!I19/9,"0%")&amp;" academic effort)",),IF(AND('BP3'!I19&gt;0,'BP3'!J19&gt;0)," and ",),IF('BP3'!J19&gt;0,TEXT('BP3'!J19,"0.00")&amp;" summer month"&amp;IF('BP3'!J19&gt;1,"s",)&amp;" (or "&amp;TEXT('BP3'!J19/3,"0%")&amp;" summer effort)",))))),"")),"")</f>
        <v/>
      </c>
      <c r="L10" s="267" t="str">
        <f>IF(SUM('Cumulative Budget'!H19:J19)&gt;0,(IF('BP1'!$K$5&gt;3,((IF('BP4'!H19&gt;0,CONCATENATE(IF('BP4'!H19&gt;0,TEXT('BP4'!H19,"0.00")&amp;" calendar month"&amp;IF('BP4'!H19&gt;1,"s",)&amp;" (or "&amp;TEXT('BP4'!H19/'BP4'!G19,"0%")&amp;" calendar effort)",)),CONCATENATE(IF('BP4'!I19&gt;0,TEXT('BP4'!I19,"0.00")&amp;" academic month"&amp;IF('BP4'!I19&gt;1,"s",)&amp;" (or "&amp;TEXT('BP4'!I19/9,"0%")&amp;" academic effort)",),IF(AND('BP4'!I19&gt;0,'BP4'!J19&gt;0)," and ",),IF('BP4'!J19&gt;0,TEXT('BP4'!J19,"0.00")&amp;" summer month"&amp;IF('BP4'!J19&gt;1,"s",)&amp;" (or "&amp;TEXT('BP4'!J19/3,"0%")&amp;" summer effort)",))))),"")),"")</f>
        <v/>
      </c>
      <c r="M10" s="267" t="str">
        <f>IF(SUM('Cumulative Budget'!H19:J19)&gt;0,(IF('BP1'!$K$5&gt;4,((IF('BP5'!H19&gt;0,CONCATENATE(IF('BP5'!H19&gt;0,TEXT('BP5'!H19,"0.00")&amp;" calendar month"&amp;IF('BP5'!H19&gt;1,"s",)&amp;" (or "&amp;TEXT('BP5'!H19/'BP5'!G19,"0%")&amp;" calendar effort)",)),CONCATENATE(IF('BP5'!I19&gt;0,TEXT('BP5'!I19,"0.00")&amp;" academic month"&amp;IF('BP5'!I19&gt;1,"s",)&amp;" (or "&amp;TEXT('BP5'!I19/9,"0%")&amp;" academic effort)",),IF(AND('BP5'!I19&gt;0,'BP5'!J19&gt;0)," and ",),IF('BP5'!J19&gt;0,TEXT('BP5'!J19,"0.00")&amp;" summer month"&amp;IF('BP5'!J19&gt;1,"s",)&amp;" (or "&amp;TEXT('BP5'!J19/3,"0%")&amp;" summer effort)",))))),"")),"")</f>
        <v/>
      </c>
      <c r="N10" s="532" t="str">
        <f>IF(AND('BP1'!M19&gt;0,'BP1'!$A$5&gt;0),TEXT('BP1'!M19,"0.00")&amp;" cost-shared month"&amp;IF('BP1'!M19&gt;1,"s",)&amp;" (or "&amp;TEXT('BP1'!M19/'BP1'!G19,"0%")&amp;" cost-shared effort)","")</f>
        <v/>
      </c>
      <c r="O10" s="532" t="str">
        <f>IF(AND('BP2'!M19&gt;0,'BP2'!$A$5&gt;0),TEXT('BP2'!M19,"0.00")&amp;" cost-shared month"&amp;IF('BP2'!M19&gt;1,"s",)&amp;" (or "&amp;TEXT('BP2'!M19/'BP2'!G19,"0%")&amp;" cost-shared effort)","")</f>
        <v/>
      </c>
      <c r="P10" s="532" t="str">
        <f>IF(AND('BP3'!M19&gt;0,'BP3'!$A$5&gt;0),TEXT('BP3'!M19,"0.00")&amp;" cost-shared month"&amp;IF('BP3'!M19&gt;1,"s",)&amp;" (or "&amp;TEXT('BP3'!M19/'BP3'!G19,"0%")&amp;" cost-shared effort)","")</f>
        <v/>
      </c>
      <c r="Q10" s="532" t="str">
        <f>IF(AND('BP4'!M19&gt;0,'BP4'!$A$5&gt;0),TEXT('BP4'!M19,"0.00")&amp;" cost-shared month"&amp;IF('BP4'!M19&gt;1,"s",)&amp;" (or "&amp;TEXT('BP4'!M19/'BP4'!G19,"0%")&amp;" cost-shared effort)","")</f>
        <v/>
      </c>
      <c r="R10" s="532" t="str">
        <f>IF(AND('BP5'!M19&gt;0,'BP5'!$A$5&gt;0),TEXT('BP5'!M19,"0.00")&amp;" cost-shared month"&amp;IF('BP5'!M19&gt;1,"s",)&amp;" (or "&amp;TEXT('BP5'!M19/'BP5'!G19,"0%")&amp;" cost-shared effort)","")</f>
        <v/>
      </c>
      <c r="S10" s="236" t="str">
        <f>IF(AND('BP1'!$K$5=2,I10&lt;&gt;J10),"Note: Effort changes in the outyears!","")&amp;IF(AND('BP1'!$K$5=3,OR(I10&lt;&gt;J10,I10&lt;&gt;K10,J10&lt;&gt;K10)),"Note: Effort changes in the outyears!","")&amp;IF(AND('BP1'!$K$5=4,OR(I10&lt;&gt;J10,I10&lt;&gt;K10,I10&lt;&gt;L10,J10&lt;&gt;K10,J10&lt;&gt;L10,K10&lt;&gt;L10)),"Note: Effort changes in the outyears!","")&amp;IF(AND('BP1'!$K$5=5,OR(I10&lt;&gt;J10,I10&lt;&gt;K10,I10&lt;&gt;L10,I10&lt;&gt;M10,J10&lt;&gt;K10,J10&lt;&gt;L10,J10&lt;&gt;M10,K10&lt;&gt;L10,K10&lt;&gt;M10,L10&lt;&gt;M10)),"Note: Effort changes in the outyears!","")</f>
        <v/>
      </c>
      <c r="T10" s="236" t="str">
        <f>IF(AND('BP1'!$K$5=2,N10&lt;&gt;O10),"Note: Effort changes in the outyears!","")&amp;IF(AND('BP1'!$K$5=3,OR(N10&lt;&gt;O10,N10&lt;&gt;P10,O10&lt;&gt;P10)),"Note: Effort changes in the outyears!","")&amp;IF(AND('BP1'!$K$5=4,OR(N10&lt;&gt;O10,N10&lt;&gt;P10,N10&lt;&gt;Q10,O10&lt;&gt;P10,O10&lt;&gt;Q10,P10&lt;&gt;Q10)),"Note: Effort changes in the outyears!","")&amp;IF(AND('BP1'!$K$5=5,OR(N10&lt;&gt;O10,N10&lt;&gt;P10,N10&lt;&gt;Q10,N10&lt;&gt;R10,O10&lt;&gt;P10,O10&lt;&gt;Q10,O10&lt;&gt;R10,P10&lt;&gt;Q10,P10&lt;&gt;R10,Q10&lt;&gt;R10)),"Note: Effort changes in the outyears!","")</f>
        <v/>
      </c>
      <c r="U10" s="691" t="str">
        <f t="shared" si="0"/>
        <v>Blank</v>
      </c>
    </row>
    <row r="11" spans="1:28" ht="60" customHeight="1">
      <c r="A11" s="991" t="str">
        <f>IF('Cumulative Budget'!H20+'Cumulative Budget'!I20+'Cumulative Budget'!J20&gt;0,IF(S11="Note: Effort changes in the outyears!",IF(I11&lt;&gt;"",I11&amp;" in Budget Period 1","")&amp;IF(AND(I11&lt;&gt;"",J11&lt;&gt;""),"; ","")&amp;IF(J11&lt;&gt;"",J11&amp;" in Budget Period 2","")&amp;IF(AND(OR(I11&lt;&gt;"",J11&lt;&gt;""),K11&lt;&gt;""),"; ","")&amp;IF(K11&lt;&gt;"",K11&amp;" in Budget Period 3","")&amp;IF(AND(OR(I11&lt;&gt;"",J11&lt;&gt;"",K11&lt;&gt;""),L11&lt;&gt;""),"; ","")&amp;IF(L11&lt;&gt;"",L11&amp;" in Budget Period 4","")&amp;IF(AND(OR(I11&lt;&gt;"",J11&lt;&gt;"",K11&lt;&gt;"",L11&lt;&gt;""),M11&lt;&gt;""),"; ","")&amp;IF(M11&lt;&gt;"",M11&amp;" in Budget Period 5","")&amp;" of "&amp;'BP1'!B20&amp;"'s salary is requested. ",I11&amp;" of "&amp;'BP1'!B20&amp;"'s salary is requested"&amp;IF('BP1'!$K$5&gt;1," each budget period for "&amp;'BP1'!$K$5&amp;" budget periods. ",". ")),"")&amp;IF('Cumulative Budget'!M20&gt;0,IF(T11="Note: Effort changes in the outyears!",IF(N11&lt;&gt;"",N11&amp;" in Budget Period 1","")&amp;IF(AND(N11&lt;&gt;"",O11&lt;&gt;""),"; ","")&amp;IF(O11&lt;&gt;"",O11&amp;" in Budget Period 2","")&amp;IF(AND(OR(N11&lt;&gt;"",O11&lt;&gt;""),P11&lt;&gt;""),"; ","")&amp;IF(P11&lt;&gt;"",P11&amp;" in Budget Period 3","")&amp;IF(AND(OR(N11&lt;&gt;"",O11&lt;&gt;"",P11&lt;&gt;""),Q11&lt;&gt;""),"; ","")&amp;IF(Q11&lt;&gt;"",Q11&amp;" in Budget Period 4","")&amp;IF(AND(OR(N11&lt;&gt;"",O11&lt;&gt;"",P11&lt;&gt;"",Q11&lt;&gt;""),R11&lt;&gt;""),"; ","")&amp;IF(R11&lt;&gt;"",R11&amp;" in Budget Period 5","")&amp;" of "&amp;'BP1'!B20&amp;"'s salary is requested. ",N11&amp;" of "&amp;'BP1'!B20&amp;"'s salary is requested"&amp;IF('BP1'!$K$5&gt;1," each budget period for "&amp;'BP1'!$K$5&amp;" budget periods. ",". ")),"")&amp;IF(OR('BP1'!G20=10,'BP1'!G20=11),'BP1'!B20&amp;" currently has a"&amp;IF('BP1'!G20=11,"n "," ")&amp;'BP1'!G20&amp;"-month appointment. ","")&amp;IF(AND('BP1'!$K$5&gt;1,'BP1'!$K$7&gt;0,OR('Cumulative Budget'!H20+'Cumulative Budget'!I20+'Cumulative Budget'!J20+'Cumulative Budget'!M20&gt;0)),"Salary is inflated by "&amp;('BP1'!$K$7*100)&amp;"% annually each September. ","")&amp;IF(ISBLANK('BP1'!Q20),"",'BP1'!Q20)</f>
        <v/>
      </c>
      <c r="B11" s="991"/>
      <c r="C11" s="991"/>
      <c r="D11" s="991"/>
      <c r="E11" s="991"/>
      <c r="F11" s="991"/>
      <c r="G11" s="991"/>
      <c r="H11" s="991"/>
      <c r="I11" s="267" t="str">
        <f>IF(SUM('Cumulative Budget'!H20:J20)&gt;0,(IF('BP1'!$K$5&gt;0,((IF('BP1'!H20&gt;0,CONCATENATE(IF('BP1'!H20&gt;0,TEXT('BP1'!H20,"0.00")&amp;" calendar month"&amp;IF('BP1'!H20&gt;1,"s",)&amp;" (or "&amp;TEXT('BP1'!H20/'BP1'!G20,"0%")&amp;" calendar effort)",)),CONCATENATE(IF('BP1'!I20&gt;0,TEXT('BP1'!I20,"0.00")&amp;" academic month"&amp;IF('BP1'!I20&gt;1,"s",)&amp;" (or "&amp;TEXT('BP1'!I20/9,"0%")&amp;" academic effort)",),IF(AND('BP1'!I20&gt;0,'BP1'!J20&gt;0)," and ",),IF('BP1'!J20&gt;0,TEXT('BP1'!J20,"0.00")&amp;" summer month"&amp;IF('BP1'!J20&gt;1,"s",)&amp;" (or "&amp;TEXT('BP1'!J20/3,"0%")&amp;" summer effort)",))))),"")),"")</f>
        <v/>
      </c>
      <c r="J11" s="267" t="str">
        <f>IF(SUM('Cumulative Budget'!H20:J20)&gt;0,(IF('BP1'!$K$5&gt;1,((IF('BP2'!H20&gt;0,CONCATENATE(IF('BP2'!H20&gt;0,TEXT('BP2'!H20,"0.00")&amp;" calendar month"&amp;IF('BP2'!H20&gt;1,"s",)&amp;" (or "&amp;TEXT('BP2'!H20/'BP2'!G20,"0%")&amp;" calendar effort)",)),CONCATENATE(IF('BP2'!I20&gt;0,TEXT('BP2'!I20,"0.00")&amp;" academic month"&amp;IF('BP2'!I20&gt;1,"s",)&amp;" (or "&amp;TEXT('BP2'!I20/9,"0%")&amp;" academic effort)",),IF(AND('BP2'!I20&gt;0,'BP2'!J20&gt;0)," and ",),IF('BP2'!J20&gt;0,TEXT('BP2'!J20,"0.00")&amp;" summer month"&amp;IF('BP2'!J20&gt;1,"s",)&amp;" (or "&amp;TEXT('BP2'!J20/3,"0%")&amp;" summer effort)",))))),"")),"")</f>
        <v/>
      </c>
      <c r="K11" s="267" t="str">
        <f>IF(SUM('Cumulative Budget'!H20:J20)&gt;0,(IF('BP1'!$K$5&gt;2,((IF('BP3'!H20&gt;0,CONCATENATE(IF('BP3'!H20&gt;0,TEXT('BP3'!H20,"0.00")&amp;" calendar month"&amp;IF('BP3'!H20&gt;1,"s",)&amp;" (or "&amp;TEXT('BP3'!H20/'BP3'!G20,"0%")&amp;" calendar effort)",)),CONCATENATE(IF('BP3'!I20&gt;0,TEXT('BP3'!I20,"0.00")&amp;" academic month"&amp;IF('BP3'!I20&gt;1,"s",)&amp;" (or "&amp;TEXT('BP3'!I20/9,"0%")&amp;" academic effort)",),IF(AND('BP3'!I20&gt;0,'BP3'!J20&gt;0)," and ",),IF('BP3'!J20&gt;0,TEXT('BP3'!J20,"0.00")&amp;" summer month"&amp;IF('BP3'!J20&gt;1,"s",)&amp;" (or "&amp;TEXT('BP3'!J20/3,"0%")&amp;" summer effort)",))))),"")),"")</f>
        <v/>
      </c>
      <c r="L11" s="267" t="str">
        <f>IF(SUM('Cumulative Budget'!H20:J20)&gt;0,(IF('BP1'!$K$5&gt;3,((IF('BP4'!H20&gt;0,CONCATENATE(IF('BP4'!H20&gt;0,TEXT('BP4'!H20,"0.00")&amp;" calendar month"&amp;IF('BP4'!H20&gt;1,"s",)&amp;" (or "&amp;TEXT('BP4'!H20/'BP4'!G20,"0%")&amp;" calendar effort)",)),CONCATENATE(IF('BP4'!I20&gt;0,TEXT('BP4'!I20,"0.00")&amp;" academic month"&amp;IF('BP4'!I20&gt;1,"s",)&amp;" (or "&amp;TEXT('BP4'!I20/9,"0%")&amp;" academic effort)",),IF(AND('BP4'!I20&gt;0,'BP4'!J20&gt;0)," and ",),IF('BP4'!J20&gt;0,TEXT('BP4'!J20,"0.00")&amp;" summer month"&amp;IF('BP4'!J20&gt;1,"s",)&amp;" (or "&amp;TEXT('BP4'!J20/3,"0%")&amp;" summer effort)",))))),"")),"")</f>
        <v/>
      </c>
      <c r="M11" s="267" t="str">
        <f>IF(SUM('Cumulative Budget'!H20:J20)&gt;0,(IF('BP1'!$K$5&gt;4,((IF('BP5'!H20&gt;0,CONCATENATE(IF('BP5'!H20&gt;0,TEXT('BP5'!H20,"0.00")&amp;" calendar month"&amp;IF('BP5'!H20&gt;1,"s",)&amp;" (or "&amp;TEXT('BP5'!H20/'BP5'!G20,"0%")&amp;" calendar effort)",)),CONCATENATE(IF('BP5'!I20&gt;0,TEXT('BP5'!I20,"0.00")&amp;" academic month"&amp;IF('BP5'!I20&gt;1,"s",)&amp;" (or "&amp;TEXT('BP5'!I20/9,"0%")&amp;" academic effort)",),IF(AND('BP5'!I20&gt;0,'BP5'!J20&gt;0)," and ",),IF('BP5'!J20&gt;0,TEXT('BP5'!J20,"0.00")&amp;" summer month"&amp;IF('BP5'!J20&gt;1,"s",)&amp;" (or "&amp;TEXT('BP5'!J20/3,"0%")&amp;" summer effort)",))))),"")),"")</f>
        <v/>
      </c>
      <c r="N11" s="532" t="str">
        <f>IF(AND('BP1'!M20&gt;0,'BP1'!$A$5&gt;0),TEXT('BP1'!M20,"0.00")&amp;" cost-shared month"&amp;IF('BP1'!M20&gt;1,"s",)&amp;" (or "&amp;TEXT('BP1'!M20/'BP1'!G20,"0%")&amp;" cost-shared effort)","")</f>
        <v/>
      </c>
      <c r="O11" s="532" t="str">
        <f>IF(AND('BP2'!M20&gt;0,'BP2'!$A$5&gt;0),TEXT('BP2'!M20,"0.00")&amp;" cost-shared month"&amp;IF('BP2'!M20&gt;1,"s",)&amp;" (or "&amp;TEXT('BP2'!M20/'BP2'!G20,"0%")&amp;" cost-shared effort)","")</f>
        <v/>
      </c>
      <c r="P11" s="532" t="str">
        <f>IF(AND('BP3'!M20&gt;0,'BP3'!$A$5&gt;0),TEXT('BP3'!M20,"0.00")&amp;" cost-shared month"&amp;IF('BP3'!M20&gt;1,"s",)&amp;" (or "&amp;TEXT('BP3'!M20/'BP3'!G20,"0%")&amp;" cost-shared effort)","")</f>
        <v/>
      </c>
      <c r="Q11" s="532" t="str">
        <f>IF(AND('BP4'!M20&gt;0,'BP4'!$A$5&gt;0),TEXT('BP4'!M20,"0.00")&amp;" cost-shared month"&amp;IF('BP4'!M20&gt;1,"s",)&amp;" (or "&amp;TEXT('BP4'!M20/'BP4'!G20,"0%")&amp;" cost-shared effort)","")</f>
        <v/>
      </c>
      <c r="R11" s="532" t="str">
        <f>IF(AND('BP5'!M20&gt;0,'BP5'!$A$5&gt;0),TEXT('BP5'!M20,"0.00")&amp;" cost-shared month"&amp;IF('BP5'!M20&gt;1,"s",)&amp;" (or "&amp;TEXT('BP5'!M20/'BP5'!G20,"0%")&amp;" cost-shared effort)","")</f>
        <v/>
      </c>
      <c r="S11" s="236" t="str">
        <f>IF(AND('BP1'!$K$5=2,I11&lt;&gt;J11),"Note: Effort changes in the outyears!","")&amp;IF(AND('BP1'!$K$5=3,OR(I11&lt;&gt;J11,I11&lt;&gt;K11,J11&lt;&gt;K11)),"Note: Effort changes in the outyears!","")&amp;IF(AND('BP1'!$K$5=4,OR(I11&lt;&gt;J11,I11&lt;&gt;K11,I11&lt;&gt;L11,J11&lt;&gt;K11,J11&lt;&gt;L11,K11&lt;&gt;L11)),"Note: Effort changes in the outyears!","")&amp;IF(AND('BP1'!$K$5=5,OR(I11&lt;&gt;J11,I11&lt;&gt;K11,I11&lt;&gt;L11,I11&lt;&gt;M11,J11&lt;&gt;K11,J11&lt;&gt;L11,J11&lt;&gt;M11,K11&lt;&gt;L11,K11&lt;&gt;M11,L11&lt;&gt;M11)),"Note: Effort changes in the outyears!","")</f>
        <v/>
      </c>
      <c r="T11" s="236" t="str">
        <f>IF(AND('BP1'!$K$5=2,N11&lt;&gt;O11),"Note: Effort changes in the outyears!","")&amp;IF(AND('BP1'!$K$5=3,OR(N11&lt;&gt;O11,N11&lt;&gt;P11,O11&lt;&gt;P11)),"Note: Effort changes in the outyears!","")&amp;IF(AND('BP1'!$K$5=4,OR(N11&lt;&gt;O11,N11&lt;&gt;P11,N11&lt;&gt;Q11,O11&lt;&gt;P11,O11&lt;&gt;Q11,P11&lt;&gt;Q11)),"Note: Effort changes in the outyears!","")&amp;IF(AND('BP1'!$K$5=5,OR(N11&lt;&gt;O11,N11&lt;&gt;P11,N11&lt;&gt;Q11,N11&lt;&gt;R11,O11&lt;&gt;P11,O11&lt;&gt;Q11,O11&lt;&gt;R11,P11&lt;&gt;Q11,P11&lt;&gt;R11,Q11&lt;&gt;R11)),"Note: Effort changes in the outyears!","")</f>
        <v/>
      </c>
      <c r="U11" s="691" t="str">
        <f t="shared" si="0"/>
        <v>Blank</v>
      </c>
    </row>
    <row r="12" spans="1:28" ht="60" customHeight="1">
      <c r="A12" s="991" t="str">
        <f>IF('Cumulative Budget'!H21+'Cumulative Budget'!I21+'Cumulative Budget'!J21&gt;0,IF(S12="Note: Effort changes in the outyears!",IF(I12&lt;&gt;"",I12&amp;" in Budget Period 1","")&amp;IF(AND(I12&lt;&gt;"",J12&lt;&gt;""),"; ","")&amp;IF(J12&lt;&gt;"",J12&amp;" in Budget Period 2","")&amp;IF(AND(OR(I12&lt;&gt;"",J12&lt;&gt;""),K12&lt;&gt;""),"; ","")&amp;IF(K12&lt;&gt;"",K12&amp;" in Budget Period 3","")&amp;IF(AND(OR(I12&lt;&gt;"",J12&lt;&gt;"",K12&lt;&gt;""),L12&lt;&gt;""),"; ","")&amp;IF(L12&lt;&gt;"",L12&amp;" in Budget Period 4","")&amp;IF(AND(OR(I12&lt;&gt;"",J12&lt;&gt;"",K12&lt;&gt;"",L12&lt;&gt;""),M12&lt;&gt;""),"; ","")&amp;IF(M12&lt;&gt;"",M12&amp;" in Budget Period 5","")&amp;" of "&amp;'BP1'!B21&amp;"'s salary is requested. ",I12&amp;" of "&amp;'BP1'!B21&amp;"'s salary is requested"&amp;IF('BP1'!$K$5&gt;1," each budget period for "&amp;'BP1'!$K$5&amp;" budget periods. ",". ")),"")&amp;IF('Cumulative Budget'!M21&gt;0,IF(T12="Note: Effort changes in the outyears!",IF(N12&lt;&gt;"",N12&amp;" in Budget Period 1","")&amp;IF(AND(N12&lt;&gt;"",O12&lt;&gt;""),"; ","")&amp;IF(O12&lt;&gt;"",O12&amp;" in Budget Period 2","")&amp;IF(AND(OR(N12&lt;&gt;"",O12&lt;&gt;""),P12&lt;&gt;""),"; ","")&amp;IF(P12&lt;&gt;"",P12&amp;" in Budget Period 3","")&amp;IF(AND(OR(N12&lt;&gt;"",O12&lt;&gt;"",P12&lt;&gt;""),Q12&lt;&gt;""),"; ","")&amp;IF(Q12&lt;&gt;"",Q12&amp;" in Budget Period 4","")&amp;IF(AND(OR(N12&lt;&gt;"",O12&lt;&gt;"",P12&lt;&gt;"",Q12&lt;&gt;""),R12&lt;&gt;""),"; ","")&amp;IF(R12&lt;&gt;"",R12&amp;" in Budget Period 5","")&amp;" of "&amp;'BP1'!B21&amp;"'s salary is requested. ",N12&amp;" of "&amp;'BP1'!B21&amp;"'s salary is requested"&amp;IF('BP1'!$K$5&gt;1," each budget period for "&amp;'BP1'!$K$5&amp;" budget periods. ",". ")),"")&amp;IF(OR('BP1'!G21=10,'BP1'!G21=11),'BP1'!B21&amp;" currently has a"&amp;IF('BP1'!G21=11,"n "," ")&amp;'BP1'!G21&amp;"-month appointment. ","")&amp;IF(AND('BP1'!$K$5&gt;1,'BP1'!$K$7&gt;0,OR('Cumulative Budget'!H21+'Cumulative Budget'!I21+'Cumulative Budget'!J21+'Cumulative Budget'!M21&gt;0)),"Salary is inflated by "&amp;('BP1'!$K$7*100)&amp;"% annually each September. ","")&amp;IF(ISBLANK('BP1'!Q21),"",'BP1'!Q21)</f>
        <v/>
      </c>
      <c r="B12" s="991"/>
      <c r="C12" s="991"/>
      <c r="D12" s="991"/>
      <c r="E12" s="991"/>
      <c r="F12" s="991"/>
      <c r="G12" s="991"/>
      <c r="H12" s="991"/>
      <c r="I12" s="267" t="str">
        <f>IF(SUM('Cumulative Budget'!H21:J21)&gt;0,(IF('BP1'!$K$5&gt;0,((IF('BP1'!H21&gt;0,CONCATENATE(IF('BP1'!H21&gt;0,TEXT('BP1'!H21,"0.00")&amp;" calendar month"&amp;IF('BP1'!H21&gt;1,"s",)&amp;" (or "&amp;TEXT('BP1'!H21/'BP1'!G21,"0%")&amp;" calendar effort)",)),CONCATENATE(IF('BP1'!I21&gt;0,TEXT('BP1'!I21,"0.00")&amp;" academic month"&amp;IF('BP1'!I21&gt;1,"s",)&amp;" (or "&amp;TEXT('BP1'!I21/9,"0%")&amp;" academic effort)",),IF(AND('BP1'!I21&gt;0,'BP1'!J21&gt;0)," and ",),IF('BP1'!J21&gt;0,TEXT('BP1'!J21,"0.00")&amp;" summer month"&amp;IF('BP1'!J21&gt;1,"s",)&amp;" (or "&amp;TEXT('BP1'!J21/3,"0%")&amp;" summer effort)",))))),"")),"")</f>
        <v/>
      </c>
      <c r="J12" s="267" t="str">
        <f>IF(SUM('Cumulative Budget'!H21:J21)&gt;0,(IF('BP1'!$K$5&gt;1,((IF('BP2'!H21&gt;0,CONCATENATE(IF('BP2'!H21&gt;0,TEXT('BP2'!H21,"0.00")&amp;" calendar month"&amp;IF('BP2'!H21&gt;1,"s",)&amp;" (or "&amp;TEXT('BP2'!H21/'BP2'!G21,"0%")&amp;" calendar effort)",)),CONCATENATE(IF('BP2'!I21&gt;0,TEXT('BP2'!I21,"0.00")&amp;" academic month"&amp;IF('BP2'!I21&gt;1,"s",)&amp;" (or "&amp;TEXT('BP2'!I21/9,"0%")&amp;" academic effort)",),IF(AND('BP2'!I21&gt;0,'BP2'!J21&gt;0)," and ",),IF('BP2'!J21&gt;0,TEXT('BP2'!J21,"0.00")&amp;" summer month"&amp;IF('BP2'!J21&gt;1,"s",)&amp;" (or "&amp;TEXT('BP2'!J21/3,"0%")&amp;" summer effort)",))))),"")),"")</f>
        <v/>
      </c>
      <c r="K12" s="267" t="str">
        <f>IF(SUM('Cumulative Budget'!H21:J21)&gt;0,(IF('BP1'!$K$5&gt;2,((IF('BP3'!H21&gt;0,CONCATENATE(IF('BP3'!H21&gt;0,TEXT('BP3'!H21,"0.00")&amp;" calendar month"&amp;IF('BP3'!H21&gt;1,"s",)&amp;" (or "&amp;TEXT('BP3'!H21/'BP3'!G21,"0%")&amp;" calendar effort)",)),CONCATENATE(IF('BP3'!I21&gt;0,TEXT('BP3'!I21,"0.00")&amp;" academic month"&amp;IF('BP3'!I21&gt;1,"s",)&amp;" (or "&amp;TEXT('BP3'!I21/9,"0%")&amp;" academic effort)",),IF(AND('BP3'!I21&gt;0,'BP3'!J21&gt;0)," and ",),IF('BP3'!J21&gt;0,TEXT('BP3'!J21,"0.00")&amp;" summer month"&amp;IF('BP3'!J21&gt;1,"s",)&amp;" (or "&amp;TEXT('BP3'!J21/3,"0%")&amp;" summer effort)",))))),"")),"")</f>
        <v/>
      </c>
      <c r="L12" s="267" t="str">
        <f>IF(SUM('Cumulative Budget'!H21:J21)&gt;0,(IF('BP1'!$K$5&gt;3,((IF('BP4'!H21&gt;0,CONCATENATE(IF('BP4'!H21&gt;0,TEXT('BP4'!H21,"0.00")&amp;" calendar month"&amp;IF('BP4'!H21&gt;1,"s",)&amp;" (or "&amp;TEXT('BP4'!H21/'BP4'!G21,"0%")&amp;" calendar effort)",)),CONCATENATE(IF('BP4'!I21&gt;0,TEXT('BP4'!I21,"0.00")&amp;" academic month"&amp;IF('BP4'!I21&gt;1,"s",)&amp;" (or "&amp;TEXT('BP4'!I21/9,"0%")&amp;" academic effort)",),IF(AND('BP4'!I21&gt;0,'BP4'!J21&gt;0)," and ",),IF('BP4'!J21&gt;0,TEXT('BP4'!J21,"0.00")&amp;" summer month"&amp;IF('BP4'!J21&gt;1,"s",)&amp;" (or "&amp;TEXT('BP4'!J21/3,"0%")&amp;" summer effort)",))))),"")),"")</f>
        <v/>
      </c>
      <c r="M12" s="267" t="str">
        <f>IF(SUM('Cumulative Budget'!H21:J21)&gt;0,(IF('BP1'!$K$5&gt;4,((IF('BP5'!H21&gt;0,CONCATENATE(IF('BP5'!H21&gt;0,TEXT('BP5'!H21,"0.00")&amp;" calendar month"&amp;IF('BP5'!H21&gt;1,"s",)&amp;" (or "&amp;TEXT('BP5'!H21/'BP5'!G21,"0%")&amp;" calendar effort)",)),CONCATENATE(IF('BP5'!I21&gt;0,TEXT('BP5'!I21,"0.00")&amp;" academic month"&amp;IF('BP5'!I21&gt;1,"s",)&amp;" (or "&amp;TEXT('BP5'!I21/9,"0%")&amp;" academic effort)",),IF(AND('BP5'!I21&gt;0,'BP5'!J21&gt;0)," and ",),IF('BP5'!J21&gt;0,TEXT('BP5'!J21,"0.00")&amp;" summer month"&amp;IF('BP5'!J21&gt;1,"s",)&amp;" (or "&amp;TEXT('BP5'!J21/3,"0%")&amp;" summer effort)",))))),"")),"")</f>
        <v/>
      </c>
      <c r="N12" s="532" t="str">
        <f>IF(AND('BP1'!M21&gt;0,'BP1'!$A$5&gt;0),TEXT('BP1'!M21,"0.00")&amp;" cost-shared month"&amp;IF('BP1'!M21&gt;1,"s",)&amp;" (or "&amp;TEXT('BP1'!M21/'BP1'!G21,"0%")&amp;" cost-shared effort)","")</f>
        <v/>
      </c>
      <c r="O12" s="532" t="str">
        <f>IF(AND('BP2'!M21&gt;0,'BP2'!$A$5&gt;0),TEXT('BP2'!M21,"0.00")&amp;" cost-shared month"&amp;IF('BP2'!M21&gt;1,"s",)&amp;" (or "&amp;TEXT('BP2'!M21/'BP2'!G21,"0%")&amp;" cost-shared effort)","")</f>
        <v/>
      </c>
      <c r="P12" s="532" t="str">
        <f>IF(AND('BP3'!M21&gt;0,'BP3'!$A$5&gt;0),TEXT('BP3'!M21,"0.00")&amp;" cost-shared month"&amp;IF('BP3'!M21&gt;1,"s",)&amp;" (or "&amp;TEXT('BP3'!M21/'BP3'!G21,"0%")&amp;" cost-shared effort)","")</f>
        <v/>
      </c>
      <c r="Q12" s="532" t="str">
        <f>IF(AND('BP4'!M21&gt;0,'BP4'!$A$5&gt;0),TEXT('BP4'!M21,"0.00")&amp;" cost-shared month"&amp;IF('BP4'!M21&gt;1,"s",)&amp;" (or "&amp;TEXT('BP4'!M21/'BP4'!G21,"0%")&amp;" cost-shared effort)","")</f>
        <v/>
      </c>
      <c r="R12" s="532" t="str">
        <f>IF(AND('BP5'!M21&gt;0,'BP5'!$A$5&gt;0),TEXT('BP5'!M21,"0.00")&amp;" cost-shared month"&amp;IF('BP5'!M21&gt;1,"s",)&amp;" (or "&amp;TEXT('BP5'!M21/'BP5'!G21,"0%")&amp;" cost-shared effort)","")</f>
        <v/>
      </c>
      <c r="S12" s="236" t="str">
        <f>IF(AND('BP1'!$K$5=2,I12&lt;&gt;J12),"Note: Effort changes in the outyears!","")&amp;IF(AND('BP1'!$K$5=3,OR(I12&lt;&gt;J12,I12&lt;&gt;K12,J12&lt;&gt;K12)),"Note: Effort changes in the outyears!","")&amp;IF(AND('BP1'!$K$5=4,OR(I12&lt;&gt;J12,I12&lt;&gt;K12,I12&lt;&gt;L12,J12&lt;&gt;K12,J12&lt;&gt;L12,K12&lt;&gt;L12)),"Note: Effort changes in the outyears!","")&amp;IF(AND('BP1'!$K$5=5,OR(I12&lt;&gt;J12,I12&lt;&gt;K12,I12&lt;&gt;L12,I12&lt;&gt;M12,J12&lt;&gt;K12,J12&lt;&gt;L12,J12&lt;&gt;M12,K12&lt;&gt;L12,K12&lt;&gt;M12,L12&lt;&gt;M12)),"Note: Effort changes in the outyears!","")</f>
        <v/>
      </c>
      <c r="T12" s="236" t="str">
        <f>IF(AND('BP1'!$K$5=2,N12&lt;&gt;O12),"Note: Effort changes in the outyears!","")&amp;IF(AND('BP1'!$K$5=3,OR(N12&lt;&gt;O12,N12&lt;&gt;P12,O12&lt;&gt;P12)),"Note: Effort changes in the outyears!","")&amp;IF(AND('BP1'!$K$5=4,OR(N12&lt;&gt;O12,N12&lt;&gt;P12,N12&lt;&gt;Q12,O12&lt;&gt;P12,O12&lt;&gt;Q12,P12&lt;&gt;Q12)),"Note: Effort changes in the outyears!","")&amp;IF(AND('BP1'!$K$5=5,OR(N12&lt;&gt;O12,N12&lt;&gt;P12,N12&lt;&gt;Q12,N12&lt;&gt;R12,O12&lt;&gt;P12,O12&lt;&gt;Q12,O12&lt;&gt;R12,P12&lt;&gt;Q12,P12&lt;&gt;R12,Q12&lt;&gt;R12)),"Note: Effort changes in the outyears!","")</f>
        <v/>
      </c>
      <c r="U12" s="691" t="str">
        <f t="shared" si="0"/>
        <v>Blank</v>
      </c>
    </row>
    <row r="13" spans="1:28" ht="60" customHeight="1">
      <c r="A13" s="991" t="str">
        <f>IF('Cumulative Budget'!H22+'Cumulative Budget'!I22+'Cumulative Budget'!J22&gt;0,IF(S13="Note: Effort changes in the outyears!",IF(I13&lt;&gt;"",I13&amp;" in Budget Period 1","")&amp;IF(AND(I13&lt;&gt;"",J13&lt;&gt;""),"; ","")&amp;IF(J13&lt;&gt;"",J13&amp;" in Budget Period 2","")&amp;IF(AND(OR(I13&lt;&gt;"",J13&lt;&gt;""),K13&lt;&gt;""),"; ","")&amp;IF(K13&lt;&gt;"",K13&amp;" in Budget Period 3","")&amp;IF(AND(OR(I13&lt;&gt;"",J13&lt;&gt;"",K13&lt;&gt;""),L13&lt;&gt;""),"; ","")&amp;IF(L13&lt;&gt;"",L13&amp;" in Budget Period 4","")&amp;IF(AND(OR(I13&lt;&gt;"",J13&lt;&gt;"",K13&lt;&gt;"",L13&lt;&gt;""),M13&lt;&gt;""),"; ","")&amp;IF(M13&lt;&gt;"",M13&amp;" in Budget Period 5","")&amp;" of "&amp;'BP1'!B22&amp;"'s salary is requested. ",I13&amp;" of "&amp;'BP1'!B22&amp;"'s salary is requested"&amp;IF('BP1'!$K$5&gt;1," each budget period for "&amp;'BP1'!$K$5&amp;" budget periods. ",". ")),"")&amp;IF('Cumulative Budget'!M22&gt;0,IF(T13="Note: Effort changes in the outyears!",IF(N13&lt;&gt;"",N13&amp;" in Budget Period 1","")&amp;IF(AND(N13&lt;&gt;"",O13&lt;&gt;""),"; ","")&amp;IF(O13&lt;&gt;"",O13&amp;" in Budget Period 2","")&amp;IF(AND(OR(N13&lt;&gt;"",O13&lt;&gt;""),P13&lt;&gt;""),"; ","")&amp;IF(P13&lt;&gt;"",P13&amp;" in Budget Period 3","")&amp;IF(AND(OR(N13&lt;&gt;"",O13&lt;&gt;"",P13&lt;&gt;""),Q13&lt;&gt;""),"; ","")&amp;IF(Q13&lt;&gt;"",Q13&amp;" in Budget Period 4","")&amp;IF(AND(OR(N13&lt;&gt;"",O13&lt;&gt;"",P13&lt;&gt;"",Q13&lt;&gt;""),R13&lt;&gt;""),"; ","")&amp;IF(R13&lt;&gt;"",R13&amp;" in Budget Period 5","")&amp;" of "&amp;'BP1'!B22&amp;"'s salary is requested. ",N13&amp;" of "&amp;'BP1'!B22&amp;"'s salary is requested"&amp;IF('BP1'!$K$5&gt;1," each budget period for "&amp;'BP1'!$K$5&amp;" budget periods. ",". ")),"")&amp;IF(OR('BP1'!G22=10,'BP1'!G22=11),'BP1'!B22&amp;" currently has a"&amp;IF('BP1'!G22=11,"n "," ")&amp;'BP1'!G22&amp;"-month appointment. ","")&amp;IF(AND('BP1'!$K$5&gt;1,'BP1'!$K$7&gt;0,OR('Cumulative Budget'!H22+'Cumulative Budget'!I22+'Cumulative Budget'!J22+'Cumulative Budget'!M22&gt;0)),"Salary is inflated by "&amp;('BP1'!$K$7*100)&amp;"% annually each September. ","")&amp;IF(ISBLANK('BP1'!Q22),"",'BP1'!Q22)</f>
        <v/>
      </c>
      <c r="B13" s="991"/>
      <c r="C13" s="991"/>
      <c r="D13" s="991"/>
      <c r="E13" s="991"/>
      <c r="F13" s="991"/>
      <c r="G13" s="991"/>
      <c r="H13" s="991"/>
      <c r="I13" s="267" t="str">
        <f>IF(SUM('Cumulative Budget'!H22:J22)&gt;0,(IF('BP1'!$K$5&gt;0,((IF('BP1'!H22&gt;0,CONCATENATE(IF('BP1'!H22&gt;0,TEXT('BP1'!H22,"0.00")&amp;" calendar month"&amp;IF('BP1'!H22&gt;1,"s",)&amp;" (or "&amp;TEXT('BP1'!H22/'BP1'!G22,"0%")&amp;" calendar effort)",)),CONCATENATE(IF('BP1'!I22&gt;0,TEXT('BP1'!I22,"0.00")&amp;" academic month"&amp;IF('BP1'!I22&gt;1,"s",)&amp;" (or "&amp;TEXT('BP1'!I22/9,"0%")&amp;" academic effort)",),IF(AND('BP1'!I22&gt;0,'BP1'!J22&gt;0)," and ",),IF('BP1'!J22&gt;0,TEXT('BP1'!J22,"0.00")&amp;" summer month"&amp;IF('BP1'!J22&gt;1,"s",)&amp;" (or "&amp;TEXT('BP1'!J22/3,"0%")&amp;" summer effort)",))))),"")),"")</f>
        <v/>
      </c>
      <c r="J13" s="267" t="str">
        <f>IF(SUM('Cumulative Budget'!H22:J22)&gt;0,(IF('BP1'!$K$5&gt;1,((IF('BP2'!H22&gt;0,CONCATENATE(IF('BP2'!H22&gt;0,TEXT('BP2'!H22,"0.00")&amp;" calendar month"&amp;IF('BP2'!H22&gt;1,"s",)&amp;" (or "&amp;TEXT('BP2'!H22/'BP2'!G22,"0%")&amp;" calendar effort)",)),CONCATENATE(IF('BP2'!I22&gt;0,TEXT('BP2'!I22,"0.00")&amp;" academic month"&amp;IF('BP2'!I22&gt;1,"s",)&amp;" (or "&amp;TEXT('BP2'!I22/9,"0%")&amp;" academic effort)",),IF(AND('BP2'!I22&gt;0,'BP2'!J22&gt;0)," and ",),IF('BP2'!J22&gt;0,TEXT('BP2'!J22,"0.00")&amp;" summer month"&amp;IF('BP2'!J22&gt;1,"s",)&amp;" (or "&amp;TEXT('BP2'!J22/3,"0%")&amp;" summer effort)",))))),"")),"")</f>
        <v/>
      </c>
      <c r="K13" s="267" t="str">
        <f>IF(SUM('Cumulative Budget'!H22:J22)&gt;0,(IF('BP1'!$K$5&gt;2,((IF('BP3'!H22&gt;0,CONCATENATE(IF('BP3'!H22&gt;0,TEXT('BP3'!H22,"0.00")&amp;" calendar month"&amp;IF('BP3'!H22&gt;1,"s",)&amp;" (or "&amp;TEXT('BP3'!H22/'BP3'!G22,"0%")&amp;" calendar effort)",)),CONCATENATE(IF('BP3'!I22&gt;0,TEXT('BP3'!I22,"0.00")&amp;" academic month"&amp;IF('BP3'!I22&gt;1,"s",)&amp;" (or "&amp;TEXT('BP3'!I22/9,"0%")&amp;" academic effort)",),IF(AND('BP3'!I22&gt;0,'BP3'!J22&gt;0)," and ",),IF('BP3'!J22&gt;0,TEXT('BP3'!J22,"0.00")&amp;" summer month"&amp;IF('BP3'!J22&gt;1,"s",)&amp;" (or "&amp;TEXT('BP3'!J22/3,"0%")&amp;" summer effort)",))))),"")),"")</f>
        <v/>
      </c>
      <c r="L13" s="267" t="str">
        <f>IF(SUM('Cumulative Budget'!H22:J22)&gt;0,(IF('BP1'!$K$5&gt;3,((IF('BP4'!H22&gt;0,CONCATENATE(IF('BP4'!H22&gt;0,TEXT('BP4'!H22,"0.00")&amp;" calendar month"&amp;IF('BP4'!H22&gt;1,"s",)&amp;" (or "&amp;TEXT('BP4'!H22/'BP4'!G22,"0%")&amp;" calendar effort)",)),CONCATENATE(IF('BP4'!I22&gt;0,TEXT('BP4'!I22,"0.00")&amp;" academic month"&amp;IF('BP4'!I22&gt;1,"s",)&amp;" (or "&amp;TEXT('BP4'!I22/9,"0%")&amp;" academic effort)",),IF(AND('BP4'!I22&gt;0,'BP4'!J22&gt;0)," and ",),IF('BP4'!J22&gt;0,TEXT('BP4'!J22,"0.00")&amp;" summer month"&amp;IF('BP4'!J22&gt;1,"s",)&amp;" (or "&amp;TEXT('BP4'!J22/3,"0%")&amp;" summer effort)",))))),"")),"")</f>
        <v/>
      </c>
      <c r="M13" s="267" t="str">
        <f>IF(SUM('Cumulative Budget'!H22:J22)&gt;0,(IF('BP1'!$K$5&gt;4,((IF('BP5'!H22&gt;0,CONCATENATE(IF('BP5'!H22&gt;0,TEXT('BP5'!H22,"0.00")&amp;" calendar month"&amp;IF('BP5'!H22&gt;1,"s",)&amp;" (or "&amp;TEXT('BP5'!H22/'BP5'!G22,"0%")&amp;" calendar effort)",)),CONCATENATE(IF('BP5'!I22&gt;0,TEXT('BP5'!I22,"0.00")&amp;" academic month"&amp;IF('BP5'!I22&gt;1,"s",)&amp;" (or "&amp;TEXT('BP5'!I22/9,"0%")&amp;" academic effort)",),IF(AND('BP5'!I22&gt;0,'BP5'!J22&gt;0)," and ",),IF('BP5'!J22&gt;0,TEXT('BP5'!J22,"0.00")&amp;" summer month"&amp;IF('BP5'!J22&gt;1,"s",)&amp;" (or "&amp;TEXT('BP5'!J22/3,"0%")&amp;" summer effort)",))))),"")),"")</f>
        <v/>
      </c>
      <c r="N13" s="532" t="str">
        <f>IF(AND('BP1'!M22&gt;0,'BP1'!$A$5&gt;0),TEXT('BP1'!M22,"0.00")&amp;" cost-shared month"&amp;IF('BP1'!M22&gt;1,"s",)&amp;" (or "&amp;TEXT('BP1'!M22/'BP1'!G22,"0%")&amp;" cost-shared effort)","")</f>
        <v/>
      </c>
      <c r="O13" s="532" t="str">
        <f>IF(AND('BP2'!M22&gt;0,'BP2'!$A$5&gt;0),TEXT('BP2'!M22,"0.00")&amp;" cost-shared month"&amp;IF('BP2'!M22&gt;1,"s",)&amp;" (or "&amp;TEXT('BP2'!M22/'BP2'!G22,"0%")&amp;" cost-shared effort)","")</f>
        <v/>
      </c>
      <c r="P13" s="532" t="str">
        <f>IF(AND('BP3'!M22&gt;0,'BP3'!$A$5&gt;0),TEXT('BP3'!M22,"0.00")&amp;" cost-shared month"&amp;IF('BP3'!M22&gt;1,"s",)&amp;" (or "&amp;TEXT('BP3'!M22/'BP3'!G22,"0%")&amp;" cost-shared effort)","")</f>
        <v/>
      </c>
      <c r="Q13" s="532" t="str">
        <f>IF(AND('BP4'!M22&gt;0,'BP4'!$A$5&gt;0),TEXT('BP4'!M22,"0.00")&amp;" cost-shared month"&amp;IF('BP4'!M22&gt;1,"s",)&amp;" (or "&amp;TEXT('BP4'!M22/'BP4'!G22,"0%")&amp;" cost-shared effort)","")</f>
        <v/>
      </c>
      <c r="R13" s="532" t="str">
        <f>IF(AND('BP5'!M22&gt;0,'BP5'!$A$5&gt;0),TEXT('BP5'!M22,"0.00")&amp;" cost-shared month"&amp;IF('BP5'!M22&gt;1,"s",)&amp;" (or "&amp;TEXT('BP5'!M22/'BP5'!G22,"0%")&amp;" cost-shared effort)","")</f>
        <v/>
      </c>
      <c r="S13" s="236" t="str">
        <f>IF(AND('BP1'!$K$5=2,I13&lt;&gt;J13),"Note: Effort changes in the outyears!","")&amp;IF(AND('BP1'!$K$5=3,OR(I13&lt;&gt;J13,I13&lt;&gt;K13,J13&lt;&gt;K13)),"Note: Effort changes in the outyears!","")&amp;IF(AND('BP1'!$K$5=4,OR(I13&lt;&gt;J13,I13&lt;&gt;K13,I13&lt;&gt;L13,J13&lt;&gt;K13,J13&lt;&gt;L13,K13&lt;&gt;L13)),"Note: Effort changes in the outyears!","")&amp;IF(AND('BP1'!$K$5=5,OR(I13&lt;&gt;J13,I13&lt;&gt;K13,I13&lt;&gt;L13,I13&lt;&gt;M13,J13&lt;&gt;K13,J13&lt;&gt;L13,J13&lt;&gt;M13,K13&lt;&gt;L13,K13&lt;&gt;M13,L13&lt;&gt;M13)),"Note: Effort changes in the outyears!","")</f>
        <v/>
      </c>
      <c r="T13" s="236" t="str">
        <f>IF(AND('BP1'!$K$5=2,N13&lt;&gt;O13),"Note: Effort changes in the outyears!","")&amp;IF(AND('BP1'!$K$5=3,OR(N13&lt;&gt;O13,N13&lt;&gt;P13,O13&lt;&gt;P13)),"Note: Effort changes in the outyears!","")&amp;IF(AND('BP1'!$K$5=4,OR(N13&lt;&gt;O13,N13&lt;&gt;P13,N13&lt;&gt;Q13,O13&lt;&gt;P13,O13&lt;&gt;Q13,P13&lt;&gt;Q13)),"Note: Effort changes in the outyears!","")&amp;IF(AND('BP1'!$K$5=5,OR(N13&lt;&gt;O13,N13&lt;&gt;P13,N13&lt;&gt;Q13,N13&lt;&gt;R13,O13&lt;&gt;P13,O13&lt;&gt;Q13,O13&lt;&gt;R13,P13&lt;&gt;Q13,P13&lt;&gt;R13,Q13&lt;&gt;R13)),"Note: Effort changes in the outyears!","")</f>
        <v/>
      </c>
      <c r="U13" s="691" t="str">
        <f t="shared" si="0"/>
        <v>Blank</v>
      </c>
    </row>
    <row r="14" spans="1:28" ht="60" customHeight="1">
      <c r="A14" s="991" t="str">
        <f>IF('Cumulative Budget'!H23+'Cumulative Budget'!I23+'Cumulative Budget'!J23&gt;0,IF(S14="Note: Effort changes in the outyears!",IF(I14&lt;&gt;"",I14&amp;" in Budget Period 1","")&amp;IF(AND(I14&lt;&gt;"",J14&lt;&gt;""),"; ","")&amp;IF(J14&lt;&gt;"",J14&amp;" in Budget Period 2","")&amp;IF(AND(OR(I14&lt;&gt;"",J14&lt;&gt;""),K14&lt;&gt;""),"; ","")&amp;IF(K14&lt;&gt;"",K14&amp;" in Budget Period 3","")&amp;IF(AND(OR(I14&lt;&gt;"",J14&lt;&gt;"",K14&lt;&gt;""),L14&lt;&gt;""),"; ","")&amp;IF(L14&lt;&gt;"",L14&amp;" in Budget Period 4","")&amp;IF(AND(OR(I14&lt;&gt;"",J14&lt;&gt;"",K14&lt;&gt;"",L14&lt;&gt;""),M14&lt;&gt;""),"; ","")&amp;IF(M14&lt;&gt;"",M14&amp;" in Budget Period 5","")&amp;" of "&amp;'BP1'!B23&amp;"'s salary is requested. ",I14&amp;" of "&amp;'BP1'!B23&amp;"'s salary is requested"&amp;IF('BP1'!$K$5&gt;1," each budget period for "&amp;'BP1'!$K$5&amp;" budget periods. ",". ")),"")&amp;IF('Cumulative Budget'!M23&gt;0,IF(T14="Note: Effort changes in the outyears!",IF(N14&lt;&gt;"",N14&amp;" in Budget Period 1","")&amp;IF(AND(N14&lt;&gt;"",O14&lt;&gt;""),"; ","")&amp;IF(O14&lt;&gt;"",O14&amp;" in Budget Period 2","")&amp;IF(AND(OR(N14&lt;&gt;"",O14&lt;&gt;""),P14&lt;&gt;""),"; ","")&amp;IF(P14&lt;&gt;"",P14&amp;" in Budget Period 3","")&amp;IF(AND(OR(N14&lt;&gt;"",O14&lt;&gt;"",P14&lt;&gt;""),Q14&lt;&gt;""),"; ","")&amp;IF(Q14&lt;&gt;"",Q14&amp;" in Budget Period 4","")&amp;IF(AND(OR(N14&lt;&gt;"",O14&lt;&gt;"",P14&lt;&gt;"",Q14&lt;&gt;""),R14&lt;&gt;""),"; ","")&amp;IF(R14&lt;&gt;"",R14&amp;" in Budget Period 5","")&amp;" of "&amp;'BP1'!B23&amp;"'s salary is requested. ",N14&amp;" of "&amp;'BP1'!B23&amp;"'s salary is requested"&amp;IF('BP1'!$K$5&gt;1," each budget period for "&amp;'BP1'!$K$5&amp;" budget periods. ",". ")),"")&amp;IF(OR('BP1'!G23=10,'BP1'!G23=11),'BP1'!B23&amp;" currently has a"&amp;IF('BP1'!G23=11,"n "," ")&amp;'BP1'!G23&amp;"-month appointment. ","")&amp;IF(AND('BP1'!$K$5&gt;1,'BP1'!$K$7&gt;0,OR('Cumulative Budget'!H23+'Cumulative Budget'!I23+'Cumulative Budget'!J23+'Cumulative Budget'!M23&gt;0)),"Salary is inflated by "&amp;('BP1'!$K$7*100)&amp;"% annually each September. ","")&amp;IF(ISBLANK('BP1'!Q23),"",'BP1'!Q23)</f>
        <v/>
      </c>
      <c r="B14" s="991"/>
      <c r="C14" s="991"/>
      <c r="D14" s="991"/>
      <c r="E14" s="991"/>
      <c r="F14" s="991"/>
      <c r="G14" s="991"/>
      <c r="H14" s="991"/>
      <c r="I14" s="267" t="str">
        <f>IF(SUM('Cumulative Budget'!H23:J23)&gt;0,(IF('BP1'!$K$5&gt;0,((IF('BP1'!H23&gt;0,CONCATENATE(IF('BP1'!H23&gt;0,TEXT('BP1'!H23,"0.00")&amp;" calendar month"&amp;IF('BP1'!H23&gt;1,"s",)&amp;" (or "&amp;TEXT('BP1'!H23/'BP1'!G23,"0%")&amp;" calendar effort)",)),CONCATENATE(IF('BP1'!I23&gt;0,TEXT('BP1'!I23,"0.00")&amp;" academic month"&amp;IF('BP1'!I23&gt;1,"s",)&amp;" (or "&amp;TEXT('BP1'!I23/9,"0%")&amp;" academic effort)",),IF(AND('BP1'!I23&gt;0,'BP1'!J23&gt;0)," and ",),IF('BP1'!J23&gt;0,TEXT('BP1'!J23,"0.00")&amp;" summer month"&amp;IF('BP1'!J23&gt;1,"s",)&amp;" (or "&amp;TEXT('BP1'!J23/3,"0%")&amp;" summer effort)",))))),"")),"")</f>
        <v/>
      </c>
      <c r="J14" s="267" t="str">
        <f>IF(SUM('Cumulative Budget'!H23:J23)&gt;0,(IF('BP1'!$K$5&gt;1,((IF('BP2'!H23&gt;0,CONCATENATE(IF('BP2'!H23&gt;0,TEXT('BP2'!H23,"0.00")&amp;" calendar month"&amp;IF('BP2'!H23&gt;1,"s",)&amp;" (or "&amp;TEXT('BP2'!H23/'BP2'!G23,"0%")&amp;" calendar effort)",)),CONCATENATE(IF('BP2'!I23&gt;0,TEXT('BP2'!I23,"0.00")&amp;" academic month"&amp;IF('BP2'!I23&gt;1,"s",)&amp;" (or "&amp;TEXT('BP2'!I23/9,"0%")&amp;" academic effort)",),IF(AND('BP2'!I23&gt;0,'BP2'!J23&gt;0)," and ",),IF('BP2'!J23&gt;0,TEXT('BP2'!J23,"0.00")&amp;" summer month"&amp;IF('BP2'!J23&gt;1,"s",)&amp;" (or "&amp;TEXT('BP2'!J23/3,"0%")&amp;" summer effort)",))))),"")),"")</f>
        <v/>
      </c>
      <c r="K14" s="267" t="str">
        <f>IF(SUM('Cumulative Budget'!H23:J23)&gt;0,(IF('BP1'!$K$5&gt;2,((IF('BP3'!H23&gt;0,CONCATENATE(IF('BP3'!H23&gt;0,TEXT('BP3'!H23,"0.00")&amp;" calendar month"&amp;IF('BP3'!H23&gt;1,"s",)&amp;" (or "&amp;TEXT('BP3'!H23/'BP3'!G23,"0%")&amp;" calendar effort)",)),CONCATENATE(IF('BP3'!I23&gt;0,TEXT('BP3'!I23,"0.00")&amp;" academic month"&amp;IF('BP3'!I23&gt;1,"s",)&amp;" (or "&amp;TEXT('BP3'!I23/9,"0%")&amp;" academic effort)",),IF(AND('BP3'!I23&gt;0,'BP3'!J23&gt;0)," and ",),IF('BP3'!J23&gt;0,TEXT('BP3'!J23,"0.00")&amp;" summer month"&amp;IF('BP3'!J23&gt;1,"s",)&amp;" (or "&amp;TEXT('BP3'!J23/3,"0%")&amp;" summer effort)",))))),"")),"")</f>
        <v/>
      </c>
      <c r="L14" s="267" t="str">
        <f>IF(SUM('Cumulative Budget'!H23:J23)&gt;0,(IF('BP1'!$K$5&gt;3,((IF('BP4'!H23&gt;0,CONCATENATE(IF('BP4'!H23&gt;0,TEXT('BP4'!H23,"0.00")&amp;" calendar month"&amp;IF('BP4'!H23&gt;1,"s",)&amp;" (or "&amp;TEXT('BP4'!H23/'BP4'!G23,"0%")&amp;" calendar effort)",)),CONCATENATE(IF('BP4'!I23&gt;0,TEXT('BP4'!I23,"0.00")&amp;" academic month"&amp;IF('BP4'!I23&gt;1,"s",)&amp;" (or "&amp;TEXT('BP4'!I23/9,"0%")&amp;" academic effort)",),IF(AND('BP4'!I23&gt;0,'BP4'!J23&gt;0)," and ",),IF('BP4'!J23&gt;0,TEXT('BP4'!J23,"0.00")&amp;" summer month"&amp;IF('BP4'!J23&gt;1,"s",)&amp;" (or "&amp;TEXT('BP4'!J23/3,"0%")&amp;" summer effort)",))))),"")),"")</f>
        <v/>
      </c>
      <c r="M14" s="267" t="str">
        <f>IF(SUM('Cumulative Budget'!H23:J23)&gt;0,(IF('BP1'!$K$5&gt;4,((IF('BP5'!H23&gt;0,CONCATENATE(IF('BP5'!H23&gt;0,TEXT('BP5'!H23,"0.00")&amp;" calendar month"&amp;IF('BP5'!H23&gt;1,"s",)&amp;" (or "&amp;TEXT('BP5'!H23/'BP5'!G23,"0%")&amp;" calendar effort)",)),CONCATENATE(IF('BP5'!I23&gt;0,TEXT('BP5'!I23,"0.00")&amp;" academic month"&amp;IF('BP5'!I23&gt;1,"s",)&amp;" (or "&amp;TEXT('BP5'!I23/9,"0%")&amp;" academic effort)",),IF(AND('BP5'!I23&gt;0,'BP5'!J23&gt;0)," and ",),IF('BP5'!J23&gt;0,TEXT('BP5'!J23,"0.00")&amp;" summer month"&amp;IF('BP5'!J23&gt;1,"s",)&amp;" (or "&amp;TEXT('BP5'!J23/3,"0%")&amp;" summer effort)",))))),"")),"")</f>
        <v/>
      </c>
      <c r="N14" s="532" t="str">
        <f>IF(AND('BP1'!M23&gt;0,'BP1'!$A$5&gt;0),TEXT('BP1'!M23,"0.00")&amp;" cost-shared month"&amp;IF('BP1'!M23&gt;1,"s",)&amp;" (or "&amp;TEXT('BP1'!M23/'BP1'!G23,"0%")&amp;" cost-shared effort)","")</f>
        <v/>
      </c>
      <c r="O14" s="532" t="str">
        <f>IF(AND('BP2'!M23&gt;0,'BP2'!$A$5&gt;0),TEXT('BP2'!M23,"0.00")&amp;" cost-shared month"&amp;IF('BP2'!M23&gt;1,"s",)&amp;" (or "&amp;TEXT('BP2'!M23/'BP2'!G23,"0%")&amp;" cost-shared effort)","")</f>
        <v/>
      </c>
      <c r="P14" s="532" t="str">
        <f>IF(AND('BP3'!M23&gt;0,'BP3'!$A$5&gt;0),TEXT('BP3'!M23,"0.00")&amp;" cost-shared month"&amp;IF('BP3'!M23&gt;1,"s",)&amp;" (or "&amp;TEXT('BP3'!M23/'BP3'!G23,"0%")&amp;" cost-shared effort)","")</f>
        <v/>
      </c>
      <c r="Q14" s="532" t="str">
        <f>IF(AND('BP4'!M23&gt;0,'BP4'!$A$5&gt;0),TEXT('BP4'!M23,"0.00")&amp;" cost-shared month"&amp;IF('BP4'!M23&gt;1,"s",)&amp;" (or "&amp;TEXT('BP4'!M23/'BP4'!G23,"0%")&amp;" cost-shared effort)","")</f>
        <v/>
      </c>
      <c r="R14" s="532" t="str">
        <f>IF(AND('BP5'!M23&gt;0,'BP5'!$A$5&gt;0),TEXT('BP5'!M23,"0.00")&amp;" cost-shared month"&amp;IF('BP5'!M23&gt;1,"s",)&amp;" (or "&amp;TEXT('BP5'!M23/'BP5'!G23,"0%")&amp;" cost-shared effort)","")</f>
        <v/>
      </c>
      <c r="S14" s="236" t="str">
        <f>IF(AND('BP1'!$K$5=2,I14&lt;&gt;J14),"Note: Effort changes in the outyears!","")&amp;IF(AND('BP1'!$K$5=3,OR(I14&lt;&gt;J14,I14&lt;&gt;K14,J14&lt;&gt;K14)),"Note: Effort changes in the outyears!","")&amp;IF(AND('BP1'!$K$5=4,OR(I14&lt;&gt;J14,I14&lt;&gt;K14,I14&lt;&gt;L14,J14&lt;&gt;K14,J14&lt;&gt;L14,K14&lt;&gt;L14)),"Note: Effort changes in the outyears!","")&amp;IF(AND('BP1'!$K$5=5,OR(I14&lt;&gt;J14,I14&lt;&gt;K14,I14&lt;&gt;L14,I14&lt;&gt;M14,J14&lt;&gt;K14,J14&lt;&gt;L14,J14&lt;&gt;M14,K14&lt;&gt;L14,K14&lt;&gt;M14,L14&lt;&gt;M14)),"Note: Effort changes in the outyears!","")</f>
        <v/>
      </c>
      <c r="T14" s="236" t="str">
        <f>IF(AND('BP1'!$K$5=2,N14&lt;&gt;O14),"Note: Effort changes in the outyears!","")&amp;IF(AND('BP1'!$K$5=3,OR(N14&lt;&gt;O14,N14&lt;&gt;P14,O14&lt;&gt;P14)),"Note: Effort changes in the outyears!","")&amp;IF(AND('BP1'!$K$5=4,OR(N14&lt;&gt;O14,N14&lt;&gt;P14,N14&lt;&gt;Q14,O14&lt;&gt;P14,O14&lt;&gt;Q14,P14&lt;&gt;Q14)),"Note: Effort changes in the outyears!","")&amp;IF(AND('BP1'!$K$5=5,OR(N14&lt;&gt;O14,N14&lt;&gt;P14,N14&lt;&gt;Q14,N14&lt;&gt;R14,O14&lt;&gt;P14,O14&lt;&gt;Q14,O14&lt;&gt;R14,P14&lt;&gt;Q14,P14&lt;&gt;R14,Q14&lt;&gt;R14)),"Note: Effort changes in the outyears!","")</f>
        <v/>
      </c>
      <c r="U14" s="691" t="str">
        <f t="shared" si="0"/>
        <v>Blank</v>
      </c>
    </row>
    <row r="15" spans="1:28" ht="60" customHeight="1">
      <c r="A15" s="991" t="str">
        <f>IF('Cumulative Budget'!H24+'Cumulative Budget'!I24+'Cumulative Budget'!J24&gt;0,IF(S15="Note: Effort changes in the outyears!",IF(I15&lt;&gt;"",I15&amp;" in Budget Period 1","")&amp;IF(AND(I15&lt;&gt;"",J15&lt;&gt;""),"; ","")&amp;IF(J15&lt;&gt;"",J15&amp;" in Budget Period 2","")&amp;IF(AND(OR(I15&lt;&gt;"",J15&lt;&gt;""),K15&lt;&gt;""),"; ","")&amp;IF(K15&lt;&gt;"",K15&amp;" in Budget Period 3","")&amp;IF(AND(OR(I15&lt;&gt;"",J15&lt;&gt;"",K15&lt;&gt;""),L15&lt;&gt;""),"; ","")&amp;IF(L15&lt;&gt;"",L15&amp;" in Budget Period 4","")&amp;IF(AND(OR(I15&lt;&gt;"",J15&lt;&gt;"",K15&lt;&gt;"",L15&lt;&gt;""),M15&lt;&gt;""),"; ","")&amp;IF(M15&lt;&gt;"",M15&amp;" in Budget Period 5","")&amp;" of "&amp;'BP1'!B24&amp;"'s salary is requested. ",I15&amp;" of "&amp;'BP1'!B24&amp;"'s salary is requested"&amp;IF('BP1'!$K$5&gt;1," each budget period for "&amp;'BP1'!$K$5&amp;" budget periods. ",". ")),"")&amp;IF('Cumulative Budget'!M24&gt;0,IF(T15="Note: Effort changes in the outyears!",IF(N15&lt;&gt;"",N15&amp;" in Budget Period 1","")&amp;IF(AND(N15&lt;&gt;"",O15&lt;&gt;""),"; ","")&amp;IF(O15&lt;&gt;"",O15&amp;" in Budget Period 2","")&amp;IF(AND(OR(N15&lt;&gt;"",O15&lt;&gt;""),P15&lt;&gt;""),"; ","")&amp;IF(P15&lt;&gt;"",P15&amp;" in Budget Period 3","")&amp;IF(AND(OR(N15&lt;&gt;"",O15&lt;&gt;"",P15&lt;&gt;""),Q15&lt;&gt;""),"; ","")&amp;IF(Q15&lt;&gt;"",Q15&amp;" in Budget Period 4","")&amp;IF(AND(OR(N15&lt;&gt;"",O15&lt;&gt;"",P15&lt;&gt;"",Q15&lt;&gt;""),R15&lt;&gt;""),"; ","")&amp;IF(R15&lt;&gt;"",R15&amp;" in Budget Period 5","")&amp;" of "&amp;'BP1'!B24&amp;"'s salary is requested. ",N15&amp;" of "&amp;'BP1'!B24&amp;"'s salary is requested"&amp;IF('BP1'!$K$5&gt;1," each budget period for "&amp;'BP1'!$K$5&amp;" budget periods. ",". ")),"")&amp;IF(OR('BP1'!G24=10,'BP1'!G24=11),'BP1'!B24&amp;" currently has a"&amp;IF('BP1'!G24=11,"n "," ")&amp;'BP1'!G24&amp;"-month appointment. ","")&amp;IF(AND('BP1'!$K$5&gt;1,'BP1'!$K$7&gt;0,OR('Cumulative Budget'!H24+'Cumulative Budget'!I24+'Cumulative Budget'!J24+'Cumulative Budget'!M24&gt;0)),"Salary is inflated by "&amp;('BP1'!$K$7*100)&amp;"% annually each September. ","")&amp;IF(ISBLANK('BP1'!Q24),"",'BP1'!Q24)</f>
        <v/>
      </c>
      <c r="B15" s="991"/>
      <c r="C15" s="991"/>
      <c r="D15" s="991"/>
      <c r="E15" s="991"/>
      <c r="F15" s="991"/>
      <c r="G15" s="991"/>
      <c r="H15" s="991"/>
      <c r="I15" s="267" t="str">
        <f>IF(SUM('Cumulative Budget'!H24:J24)&gt;0,(IF('BP1'!$K$5&gt;0,((IF('BP1'!H24&gt;0,CONCATENATE(IF('BP1'!H24&gt;0,TEXT('BP1'!H24,"0.00")&amp;" calendar month"&amp;IF('BP1'!H24&gt;1,"s",)&amp;" (or "&amp;TEXT('BP1'!H24/'BP1'!G24,"0%")&amp;" calendar effort)",)),CONCATENATE(IF('BP1'!I24&gt;0,TEXT('BP1'!I24,"0.00")&amp;" academic month"&amp;IF('BP1'!I24&gt;1,"s",)&amp;" (or "&amp;TEXT('BP1'!I24/9,"0%")&amp;" academic effort)",),IF(AND('BP1'!I24&gt;0,'BP1'!J24&gt;0)," and ",),IF('BP1'!J24&gt;0,TEXT('BP1'!J24,"0.00")&amp;" summer month"&amp;IF('BP1'!J24&gt;1,"s",)&amp;" (or "&amp;TEXT('BP1'!J24/3,"0%")&amp;" summer effort)",))))),"")),"")</f>
        <v/>
      </c>
      <c r="J15" s="267" t="str">
        <f>IF(SUM('Cumulative Budget'!H24:J24)&gt;0,(IF('BP1'!$K$5&gt;1,((IF('BP2'!H24&gt;0,CONCATENATE(IF('BP2'!H24&gt;0,TEXT('BP2'!H24,"0.00")&amp;" calendar month"&amp;IF('BP2'!H24&gt;1,"s",)&amp;" (or "&amp;TEXT('BP2'!H24/'BP2'!G24,"0%")&amp;" calendar effort)",)),CONCATENATE(IF('BP2'!I24&gt;0,TEXT('BP2'!I24,"0.00")&amp;" academic month"&amp;IF('BP2'!I24&gt;1,"s",)&amp;" (or "&amp;TEXT('BP2'!I24/9,"0%")&amp;" academic effort)",),IF(AND('BP2'!I24&gt;0,'BP2'!J24&gt;0)," and ",),IF('BP2'!J24&gt;0,TEXT('BP2'!J24,"0.00")&amp;" summer month"&amp;IF('BP2'!J24&gt;1,"s",)&amp;" (or "&amp;TEXT('BP2'!J24/3,"0%")&amp;" summer effort)",))))),"")),"")</f>
        <v/>
      </c>
      <c r="K15" s="267" t="str">
        <f>IF(SUM('Cumulative Budget'!H24:J24)&gt;0,(IF('BP1'!$K$5&gt;2,((IF('BP3'!H24&gt;0,CONCATENATE(IF('BP3'!H24&gt;0,TEXT('BP3'!H24,"0.00")&amp;" calendar month"&amp;IF('BP3'!H24&gt;1,"s",)&amp;" (or "&amp;TEXT('BP3'!H24/'BP3'!G24,"0%")&amp;" calendar effort)",)),CONCATENATE(IF('BP3'!I24&gt;0,TEXT('BP3'!I24,"0.00")&amp;" academic month"&amp;IF('BP3'!I24&gt;1,"s",)&amp;" (or "&amp;TEXT('BP3'!I24/9,"0%")&amp;" academic effort)",),IF(AND('BP3'!I24&gt;0,'BP3'!J24&gt;0)," and ",),IF('BP3'!J24&gt;0,TEXT('BP3'!J24,"0.00")&amp;" summer month"&amp;IF('BP3'!J24&gt;1,"s",)&amp;" (or "&amp;TEXT('BP3'!J24/3,"0%")&amp;" summer effort)",))))),"")),"")</f>
        <v/>
      </c>
      <c r="L15" s="267" t="str">
        <f>IF(SUM('Cumulative Budget'!H24:J24)&gt;0,(IF('BP1'!$K$5&gt;3,((IF('BP4'!H24&gt;0,CONCATENATE(IF('BP4'!H24&gt;0,TEXT('BP4'!H24,"0.00")&amp;" calendar month"&amp;IF('BP4'!H24&gt;1,"s",)&amp;" (or "&amp;TEXT('BP4'!H24/'BP4'!G24,"0%")&amp;" calendar effort)",)),CONCATENATE(IF('BP4'!I24&gt;0,TEXT('BP4'!I24,"0.00")&amp;" academic month"&amp;IF('BP4'!I24&gt;1,"s",)&amp;" (or "&amp;TEXT('BP4'!I24/9,"0%")&amp;" academic effort)",),IF(AND('BP4'!I24&gt;0,'BP4'!J24&gt;0)," and ",),IF('BP4'!J24&gt;0,TEXT('BP4'!J24,"0.00")&amp;" summer month"&amp;IF('BP4'!J24&gt;1,"s",)&amp;" (or "&amp;TEXT('BP4'!J24/3,"0%")&amp;" summer effort)",))))),"")),"")</f>
        <v/>
      </c>
      <c r="M15" s="267" t="str">
        <f>IF(SUM('Cumulative Budget'!H24:J24)&gt;0,(IF('BP1'!$K$5&gt;4,((IF('BP5'!H24&gt;0,CONCATENATE(IF('BP5'!H24&gt;0,TEXT('BP5'!H24,"0.00")&amp;" calendar month"&amp;IF('BP5'!H24&gt;1,"s",)&amp;" (or "&amp;TEXT('BP5'!H24/'BP5'!G24,"0%")&amp;" calendar effort)",)),CONCATENATE(IF('BP5'!I24&gt;0,TEXT('BP5'!I24,"0.00")&amp;" academic month"&amp;IF('BP5'!I24&gt;1,"s",)&amp;" (or "&amp;TEXT('BP5'!I24/9,"0%")&amp;" academic effort)",),IF(AND('BP5'!I24&gt;0,'BP5'!J24&gt;0)," and ",),IF('BP5'!J24&gt;0,TEXT('BP5'!J24,"0.00")&amp;" summer month"&amp;IF('BP5'!J24&gt;1,"s",)&amp;" (or "&amp;TEXT('BP5'!J24/3,"0%")&amp;" summer effort)",))))),"")),"")</f>
        <v/>
      </c>
      <c r="N15" s="532" t="str">
        <f>IF(AND('BP1'!M24&gt;0,'BP1'!$A$5&gt;0),TEXT('BP1'!M24,"0.00")&amp;" cost-shared month"&amp;IF('BP1'!M24&gt;1,"s",)&amp;" (or "&amp;TEXT('BP1'!M24/'BP1'!G24,"0%")&amp;" cost-shared effort)","")</f>
        <v/>
      </c>
      <c r="O15" s="532" t="str">
        <f>IF(AND('BP2'!M24&gt;0,'BP2'!$A$5&gt;0),TEXT('BP2'!M24,"0.00")&amp;" cost-shared month"&amp;IF('BP2'!M24&gt;1,"s",)&amp;" (or "&amp;TEXT('BP2'!M24/'BP2'!G24,"0%")&amp;" cost-shared effort)","")</f>
        <v/>
      </c>
      <c r="P15" s="532" t="str">
        <f>IF(AND('BP3'!M24&gt;0,'BP3'!$A$5&gt;0),TEXT('BP3'!M24,"0.00")&amp;" cost-shared month"&amp;IF('BP3'!M24&gt;1,"s",)&amp;" (or "&amp;TEXT('BP3'!M24/'BP3'!G24,"0%")&amp;" cost-shared effort)","")</f>
        <v/>
      </c>
      <c r="Q15" s="532" t="str">
        <f>IF(AND('BP4'!M24&gt;0,'BP4'!$A$5&gt;0),TEXT('BP4'!M24,"0.00")&amp;" cost-shared month"&amp;IF('BP4'!M24&gt;1,"s",)&amp;" (or "&amp;TEXT('BP4'!M24/'BP4'!G24,"0%")&amp;" cost-shared effort)","")</f>
        <v/>
      </c>
      <c r="R15" s="532" t="str">
        <f>IF(AND('BP5'!M24&gt;0,'BP5'!$A$5&gt;0),TEXT('BP5'!M24,"0.00")&amp;" cost-shared month"&amp;IF('BP5'!M24&gt;1,"s",)&amp;" (or "&amp;TEXT('BP5'!M24/'BP5'!G24,"0%")&amp;" cost-shared effort)","")</f>
        <v/>
      </c>
      <c r="S15" s="236" t="str">
        <f>IF(AND('BP1'!$K$5=2,I15&lt;&gt;J15),"Note: Effort changes in the outyears!","")&amp;IF(AND('BP1'!$K$5=3,OR(I15&lt;&gt;J15,I15&lt;&gt;K15,J15&lt;&gt;K15)),"Note: Effort changes in the outyears!","")&amp;IF(AND('BP1'!$K$5=4,OR(I15&lt;&gt;J15,I15&lt;&gt;K15,I15&lt;&gt;L15,J15&lt;&gt;K15,J15&lt;&gt;L15,K15&lt;&gt;L15)),"Note: Effort changes in the outyears!","")&amp;IF(AND('BP1'!$K$5=5,OR(I15&lt;&gt;J15,I15&lt;&gt;K15,I15&lt;&gt;L15,I15&lt;&gt;M15,J15&lt;&gt;K15,J15&lt;&gt;L15,J15&lt;&gt;M15,K15&lt;&gt;L15,K15&lt;&gt;M15,L15&lt;&gt;M15)),"Note: Effort changes in the outyears!","")</f>
        <v/>
      </c>
      <c r="T15" s="236" t="str">
        <f>IF(AND('BP1'!$K$5=2,N15&lt;&gt;O15),"Note: Effort changes in the outyears!","")&amp;IF(AND('BP1'!$K$5=3,OR(N15&lt;&gt;O15,N15&lt;&gt;P15,O15&lt;&gt;P15)),"Note: Effort changes in the outyears!","")&amp;IF(AND('BP1'!$K$5=4,OR(N15&lt;&gt;O15,N15&lt;&gt;P15,N15&lt;&gt;Q15,O15&lt;&gt;P15,O15&lt;&gt;Q15,P15&lt;&gt;Q15)),"Note: Effort changes in the outyears!","")&amp;IF(AND('BP1'!$K$5=5,OR(N15&lt;&gt;O15,N15&lt;&gt;P15,N15&lt;&gt;Q15,N15&lt;&gt;R15,O15&lt;&gt;P15,O15&lt;&gt;Q15,O15&lt;&gt;R15,P15&lt;&gt;Q15,P15&lt;&gt;R15,Q15&lt;&gt;R15)),"Note: Effort changes in the outyears!","")</f>
        <v/>
      </c>
      <c r="U15" s="691" t="str">
        <f t="shared" si="0"/>
        <v>Blank</v>
      </c>
    </row>
    <row r="16" spans="1:28" ht="60" customHeight="1">
      <c r="A16" s="991" t="str">
        <f>IF('Cumulative Budget'!H25+'Cumulative Budget'!I25+'Cumulative Budget'!J25&gt;0,IF(S16="Note: Effort changes in the outyears!",IF(I16&lt;&gt;"",I16&amp;" in Budget Period 1","")&amp;IF(AND(I16&lt;&gt;"",J16&lt;&gt;""),"; ","")&amp;IF(J16&lt;&gt;"",J16&amp;" in Budget Period 2","")&amp;IF(AND(OR(I16&lt;&gt;"",J16&lt;&gt;""),K16&lt;&gt;""),"; ","")&amp;IF(K16&lt;&gt;"",K16&amp;" in Budget Period 3","")&amp;IF(AND(OR(I16&lt;&gt;"",J16&lt;&gt;"",K16&lt;&gt;""),L16&lt;&gt;""),"; ","")&amp;IF(L16&lt;&gt;"",L16&amp;" in Budget Period 4","")&amp;IF(AND(OR(I16&lt;&gt;"",J16&lt;&gt;"",K16&lt;&gt;"",L16&lt;&gt;""),M16&lt;&gt;""),"; ","")&amp;IF(M16&lt;&gt;"",M16&amp;" in Budget Period 5","")&amp;" of "&amp;'BP1'!B25&amp;"'s salary is requested. ",I16&amp;" of "&amp;'BP1'!B25&amp;"'s salary is requested"&amp;IF('BP1'!$K$5&gt;1," each budget period for "&amp;'BP1'!$K$5&amp;" budget periods. ",". ")),"")&amp;IF('Cumulative Budget'!M25&gt;0,IF(T16="Note: Effort changes in the outyears!",IF(N16&lt;&gt;"",N16&amp;" in Budget Period 1","")&amp;IF(AND(N16&lt;&gt;"",O16&lt;&gt;""),"; ","")&amp;IF(O16&lt;&gt;"",O16&amp;" in Budget Period 2","")&amp;IF(AND(OR(N16&lt;&gt;"",O16&lt;&gt;""),P16&lt;&gt;""),"; ","")&amp;IF(P16&lt;&gt;"",P16&amp;" in Budget Period 3","")&amp;IF(AND(OR(N16&lt;&gt;"",O16&lt;&gt;"",P16&lt;&gt;""),Q16&lt;&gt;""),"; ","")&amp;IF(Q16&lt;&gt;"",Q16&amp;" in Budget Period 4","")&amp;IF(AND(OR(N16&lt;&gt;"",O16&lt;&gt;"",P16&lt;&gt;"",Q16&lt;&gt;""),R16&lt;&gt;""),"; ","")&amp;IF(R16&lt;&gt;"",R16&amp;" in Budget Period 5","")&amp;" of "&amp;'BP1'!B25&amp;"'s salary is requested. ",N16&amp;" of "&amp;'BP1'!B25&amp;"'s salary is requested"&amp;IF('BP1'!$K$5&gt;1," each budget period for "&amp;'BP1'!$K$5&amp;" budget periods. ",". ")),"")&amp;IF(OR('BP1'!G25=10,'BP1'!G25=11),'BP1'!B25&amp;" currently has a"&amp;IF('BP1'!G25=11,"n "," ")&amp;'BP1'!G25&amp;"-month appointment. ","")&amp;IF(AND('BP1'!$K$5&gt;1,'BP1'!$K$7&gt;0,OR('Cumulative Budget'!H25+'Cumulative Budget'!I25+'Cumulative Budget'!J25+'Cumulative Budget'!M25&gt;0)),"Salary is inflated by "&amp;('BP1'!$K$7*100)&amp;"% annually each September. ","")&amp;IF(ISBLANK('BP1'!Q25),"",'BP1'!Q25)</f>
        <v/>
      </c>
      <c r="B16" s="991"/>
      <c r="C16" s="991"/>
      <c r="D16" s="991"/>
      <c r="E16" s="991"/>
      <c r="F16" s="991"/>
      <c r="G16" s="991"/>
      <c r="H16" s="991"/>
      <c r="I16" s="267" t="str">
        <f>IF(SUM('Cumulative Budget'!H25:J25)&gt;0,(IF('BP1'!$K$5&gt;0,((IF('BP1'!H25&gt;0,CONCATENATE(IF('BP1'!H25&gt;0,TEXT('BP1'!H25,"0.00")&amp;" calendar month"&amp;IF('BP1'!H25&gt;1,"s",)&amp;" (or "&amp;TEXT('BP1'!H25/'BP1'!G25,"0%")&amp;" calendar effort)",)),CONCATENATE(IF('BP1'!I25&gt;0,TEXT('BP1'!I25,"0.00")&amp;" academic month"&amp;IF('BP1'!I25&gt;1,"s",)&amp;" (or "&amp;TEXT('BP1'!I25/9,"0%")&amp;" academic effort)",),IF(AND('BP1'!I25&gt;0,'BP1'!J25&gt;0)," and ",),IF('BP1'!J25&gt;0,TEXT('BP1'!J25,"0.00")&amp;" summer month"&amp;IF('BP1'!J25&gt;1,"s",)&amp;" (or "&amp;TEXT('BP1'!J25/3,"0%")&amp;" summer effort)",))))),"")),"")</f>
        <v/>
      </c>
      <c r="J16" s="267" t="str">
        <f>IF(SUM('Cumulative Budget'!H25:J25)&gt;0,(IF('BP1'!$K$5&gt;1,((IF('BP2'!H25&gt;0,CONCATENATE(IF('BP2'!H25&gt;0,TEXT('BP2'!H25,"0.00")&amp;" calendar month"&amp;IF('BP2'!H25&gt;1,"s",)&amp;" (or "&amp;TEXT('BP2'!H25/'BP2'!G25,"0%")&amp;" calendar effort)",)),CONCATENATE(IF('BP2'!I25&gt;0,TEXT('BP2'!I25,"0.00")&amp;" academic month"&amp;IF('BP2'!I25&gt;1,"s",)&amp;" (or "&amp;TEXT('BP2'!I25/9,"0%")&amp;" academic effort)",),IF(AND('BP2'!I25&gt;0,'BP2'!J25&gt;0)," and ",),IF('BP2'!J25&gt;0,TEXT('BP2'!J25,"0.00")&amp;" summer month"&amp;IF('BP2'!J25&gt;1,"s",)&amp;" (or "&amp;TEXT('BP2'!J25/3,"0%")&amp;" summer effort)",))))),"")),"")</f>
        <v/>
      </c>
      <c r="K16" s="267" t="str">
        <f>IF(SUM('Cumulative Budget'!H25:J25)&gt;0,(IF('BP1'!$K$5&gt;2,((IF('BP3'!H25&gt;0,CONCATENATE(IF('BP3'!H25&gt;0,TEXT('BP3'!H25,"0.00")&amp;" calendar month"&amp;IF('BP3'!H25&gt;1,"s",)&amp;" (or "&amp;TEXT('BP3'!H25/'BP3'!G25,"0%")&amp;" calendar effort)",)),CONCATENATE(IF('BP3'!I25&gt;0,TEXT('BP3'!I25,"0.00")&amp;" academic month"&amp;IF('BP3'!I25&gt;1,"s",)&amp;" (or "&amp;TEXT('BP3'!I25/9,"0%")&amp;" academic effort)",),IF(AND('BP3'!I25&gt;0,'BP3'!J25&gt;0)," and ",),IF('BP3'!J25&gt;0,TEXT('BP3'!J25,"0.00")&amp;" summer month"&amp;IF('BP3'!J25&gt;1,"s",)&amp;" (or "&amp;TEXT('BP3'!J25/3,"0%")&amp;" summer effort)",))))),"")),"")</f>
        <v/>
      </c>
      <c r="L16" s="267" t="str">
        <f>IF(SUM('Cumulative Budget'!H25:J25)&gt;0,(IF('BP1'!$K$5&gt;3,((IF('BP4'!H25&gt;0,CONCATENATE(IF('BP4'!H25&gt;0,TEXT('BP4'!H25,"0.00")&amp;" calendar month"&amp;IF('BP4'!H25&gt;1,"s",)&amp;" (or "&amp;TEXT('BP4'!H25/'BP4'!G25,"0%")&amp;" calendar effort)",)),CONCATENATE(IF('BP4'!I25&gt;0,TEXT('BP4'!I25,"0.00")&amp;" academic month"&amp;IF('BP4'!I25&gt;1,"s",)&amp;" (or "&amp;TEXT('BP4'!I25/9,"0%")&amp;" academic effort)",),IF(AND('BP4'!I25&gt;0,'BP4'!J25&gt;0)," and ",),IF('BP4'!J25&gt;0,TEXT('BP4'!J25,"0.00")&amp;" summer month"&amp;IF('BP4'!J25&gt;1,"s",)&amp;" (or "&amp;TEXT('BP4'!J25/3,"0%")&amp;" summer effort)",))))),"")),"")</f>
        <v/>
      </c>
      <c r="M16" s="267" t="str">
        <f>IF(SUM('Cumulative Budget'!H25:J25)&gt;0,(IF('BP1'!$K$5&gt;4,((IF('BP5'!H25&gt;0,CONCATENATE(IF('BP5'!H25&gt;0,TEXT('BP5'!H25,"0.00")&amp;" calendar month"&amp;IF('BP5'!H25&gt;1,"s",)&amp;" (or "&amp;TEXT('BP5'!H25/'BP5'!G25,"0%")&amp;" calendar effort)",)),CONCATENATE(IF('BP5'!I25&gt;0,TEXT('BP5'!I25,"0.00")&amp;" academic month"&amp;IF('BP5'!I25&gt;1,"s",)&amp;" (or "&amp;TEXT('BP5'!I25/9,"0%")&amp;" academic effort)",),IF(AND('BP5'!I25&gt;0,'BP5'!J25&gt;0)," and ",),IF('BP5'!J25&gt;0,TEXT('BP5'!J25,"0.00")&amp;" summer month"&amp;IF('BP5'!J25&gt;1,"s",)&amp;" (or "&amp;TEXT('BP5'!J25/3,"0%")&amp;" summer effort)",))))),"")),"")</f>
        <v/>
      </c>
      <c r="N16" s="532" t="str">
        <f>IF(AND('BP1'!M25&gt;0,'BP1'!$A$5&gt;0),TEXT('BP1'!M25,"0.00")&amp;" cost-shared month"&amp;IF('BP1'!M25&gt;1,"s",)&amp;" (or "&amp;TEXT('BP1'!M25/'BP1'!G25,"0%")&amp;" cost-shared effort)","")</f>
        <v/>
      </c>
      <c r="O16" s="532" t="str">
        <f>IF(AND('BP2'!M25&gt;0,'BP2'!$A$5&gt;0),TEXT('BP2'!M25,"0.00")&amp;" cost-shared month"&amp;IF('BP2'!M25&gt;1,"s",)&amp;" (or "&amp;TEXT('BP2'!M25/'BP2'!G25,"0%")&amp;" cost-shared effort)","")</f>
        <v/>
      </c>
      <c r="P16" s="532" t="str">
        <f>IF(AND('BP3'!M25&gt;0,'BP3'!$A$5&gt;0),TEXT('BP3'!M25,"0.00")&amp;" cost-shared month"&amp;IF('BP3'!M25&gt;1,"s",)&amp;" (or "&amp;TEXT('BP3'!M25/'BP3'!G25,"0%")&amp;" cost-shared effort)","")</f>
        <v/>
      </c>
      <c r="Q16" s="532" t="str">
        <f>IF(AND('BP4'!M25&gt;0,'BP4'!$A$5&gt;0),TEXT('BP4'!M25,"0.00")&amp;" cost-shared month"&amp;IF('BP4'!M25&gt;1,"s",)&amp;" (or "&amp;TEXT('BP4'!M25/'BP4'!G25,"0%")&amp;" cost-shared effort)","")</f>
        <v/>
      </c>
      <c r="R16" s="532" t="str">
        <f>IF(AND('BP5'!M25&gt;0,'BP5'!$A$5&gt;0),TEXT('BP5'!M25,"0.00")&amp;" cost-shared month"&amp;IF('BP5'!M25&gt;1,"s",)&amp;" (or "&amp;TEXT('BP5'!M25/'BP5'!G25,"0%")&amp;" cost-shared effort)","")</f>
        <v/>
      </c>
      <c r="S16" s="236" t="str">
        <f>IF(AND('BP1'!$K$5=2,I16&lt;&gt;J16),"Note: Effort changes in the outyears!","")&amp;IF(AND('BP1'!$K$5=3,OR(I16&lt;&gt;J16,I16&lt;&gt;K16,J16&lt;&gt;K16)),"Note: Effort changes in the outyears!","")&amp;IF(AND('BP1'!$K$5=4,OR(I16&lt;&gt;J16,I16&lt;&gt;K16,I16&lt;&gt;L16,J16&lt;&gt;K16,J16&lt;&gt;L16,K16&lt;&gt;L16)),"Note: Effort changes in the outyears!","")&amp;IF(AND('BP1'!$K$5=5,OR(I16&lt;&gt;J16,I16&lt;&gt;K16,I16&lt;&gt;L16,I16&lt;&gt;M16,J16&lt;&gt;K16,J16&lt;&gt;L16,J16&lt;&gt;M16,K16&lt;&gt;L16,K16&lt;&gt;M16,L16&lt;&gt;M16)),"Note: Effort changes in the outyears!","")</f>
        <v/>
      </c>
      <c r="T16" s="236" t="str">
        <f>IF(AND('BP1'!$K$5=2,N16&lt;&gt;O16),"Note: Effort changes in the outyears!","")&amp;IF(AND('BP1'!$K$5=3,OR(N16&lt;&gt;O16,N16&lt;&gt;P16,O16&lt;&gt;P16)),"Note: Effort changes in the outyears!","")&amp;IF(AND('BP1'!$K$5=4,OR(N16&lt;&gt;O16,N16&lt;&gt;P16,N16&lt;&gt;Q16,O16&lt;&gt;P16,O16&lt;&gt;Q16,P16&lt;&gt;Q16)),"Note: Effort changes in the outyears!","")&amp;IF(AND('BP1'!$K$5=5,OR(N16&lt;&gt;O16,N16&lt;&gt;P16,N16&lt;&gt;Q16,N16&lt;&gt;R16,O16&lt;&gt;P16,O16&lt;&gt;Q16,O16&lt;&gt;R16,P16&lt;&gt;Q16,P16&lt;&gt;R16,Q16&lt;&gt;R16)),"Note: Effort changes in the outyears!","")</f>
        <v/>
      </c>
      <c r="U16" s="691" t="str">
        <f t="shared" si="0"/>
        <v>Blank</v>
      </c>
    </row>
    <row r="17" spans="1:21" ht="60" customHeight="1">
      <c r="A17" s="991" t="str">
        <f>IF('Cumulative Budget'!H26+'Cumulative Budget'!I26+'Cumulative Budget'!J26&gt;0,IF(S17="Note: Effort changes in the outyears!",IF(I17&lt;&gt;"",I17&amp;" in Budget Period 1","")&amp;IF(AND(I17&lt;&gt;"",J17&lt;&gt;""),"; ","")&amp;IF(J17&lt;&gt;"",J17&amp;" in Budget Period 2","")&amp;IF(AND(OR(I17&lt;&gt;"",J17&lt;&gt;""),K17&lt;&gt;""),"; ","")&amp;IF(K17&lt;&gt;"",K17&amp;" in Budget Period 3","")&amp;IF(AND(OR(I17&lt;&gt;"",J17&lt;&gt;"",K17&lt;&gt;""),L17&lt;&gt;""),"; ","")&amp;IF(L17&lt;&gt;"",L17&amp;" in Budget Period 4","")&amp;IF(AND(OR(I17&lt;&gt;"",J17&lt;&gt;"",K17&lt;&gt;"",L17&lt;&gt;""),M17&lt;&gt;""),"; ","")&amp;IF(M17&lt;&gt;"",M17&amp;" in Budget Period 5","")&amp;" of "&amp;'BP1'!B26&amp;"'s salary is requested. ",I17&amp;" of "&amp;'BP1'!B26&amp;"'s salary is requested"&amp;IF('BP1'!$K$5&gt;1," each budget period for "&amp;'BP1'!$K$5&amp;" budget periods. ",". ")),"")&amp;IF('Cumulative Budget'!M26&gt;0,IF(T17="Note: Effort changes in the outyears!",IF(N17&lt;&gt;"",N17&amp;" in Budget Period 1","")&amp;IF(AND(N17&lt;&gt;"",O17&lt;&gt;""),"; ","")&amp;IF(O17&lt;&gt;"",O17&amp;" in Budget Period 2","")&amp;IF(AND(OR(N17&lt;&gt;"",O17&lt;&gt;""),P17&lt;&gt;""),"; ","")&amp;IF(P17&lt;&gt;"",P17&amp;" in Budget Period 3","")&amp;IF(AND(OR(N17&lt;&gt;"",O17&lt;&gt;"",P17&lt;&gt;""),Q17&lt;&gt;""),"; ","")&amp;IF(Q17&lt;&gt;"",Q17&amp;" in Budget Period 4","")&amp;IF(AND(OR(N17&lt;&gt;"",O17&lt;&gt;"",P17&lt;&gt;"",Q17&lt;&gt;""),R17&lt;&gt;""),"; ","")&amp;IF(R17&lt;&gt;"",R17&amp;" in Budget Period 5","")&amp;" of "&amp;'BP1'!B26&amp;"'s salary is requested. ",N17&amp;" of "&amp;'BP1'!B26&amp;"'s salary is requested"&amp;IF('BP1'!$K$5&gt;1," each budget period for "&amp;'BP1'!$K$5&amp;" budget periods. ",". ")),"")&amp;IF(OR('BP1'!G26=10,'BP1'!G26=11),'BP1'!B26&amp;" currently has a"&amp;IF('BP1'!G26=11,"n "," ")&amp;'BP1'!G26&amp;"-month appointment. ","")&amp;IF(AND('BP1'!$K$5&gt;1,'BP1'!$K$7&gt;0,OR('Cumulative Budget'!H26+'Cumulative Budget'!I26+'Cumulative Budget'!J26+'Cumulative Budget'!M26&gt;0)),"Salary is inflated by "&amp;('BP1'!$K$7*100)&amp;"% annually each September. ","")&amp;IF(ISBLANK('BP1'!Q26),"",'BP1'!Q26)</f>
        <v/>
      </c>
      <c r="B17" s="991"/>
      <c r="C17" s="991"/>
      <c r="D17" s="991"/>
      <c r="E17" s="991"/>
      <c r="F17" s="991"/>
      <c r="G17" s="991"/>
      <c r="H17" s="991"/>
      <c r="I17" s="267" t="str">
        <f>IF(SUM('Cumulative Budget'!H26:J26)&gt;0,(IF('BP1'!$K$5&gt;0,((IF('BP1'!H26&gt;0,CONCATENATE(IF('BP1'!H26&gt;0,TEXT('BP1'!H26,"0.00")&amp;" calendar month"&amp;IF('BP1'!H26&gt;1,"s",)&amp;" (or "&amp;TEXT('BP1'!H26/'BP1'!G26,"0%")&amp;" calendar effort)",)),CONCATENATE(IF('BP1'!I26&gt;0,TEXT('BP1'!I26,"0.00")&amp;" academic month"&amp;IF('BP1'!I26&gt;1,"s",)&amp;" (or "&amp;TEXT('BP1'!I26/9,"0%")&amp;" academic effort)",),IF(AND('BP1'!I26&gt;0,'BP1'!J26&gt;0)," and ",),IF('BP1'!J26&gt;0,TEXT('BP1'!J26,"0.00")&amp;" summer month"&amp;IF('BP1'!J26&gt;1,"s",)&amp;" (or "&amp;TEXT('BP1'!J26/3,"0%")&amp;" summer effort)",))))),"")),"")</f>
        <v/>
      </c>
      <c r="J17" s="267" t="str">
        <f>IF(SUM('Cumulative Budget'!H26:J26)&gt;0,(IF('BP1'!$K$5&gt;1,((IF('BP2'!H26&gt;0,CONCATENATE(IF('BP2'!H26&gt;0,TEXT('BP2'!H26,"0.00")&amp;" calendar month"&amp;IF('BP2'!H26&gt;1,"s",)&amp;" (or "&amp;TEXT('BP2'!H26/'BP2'!G26,"0%")&amp;" calendar effort)",)),CONCATENATE(IF('BP2'!I26&gt;0,TEXT('BP2'!I26,"0.00")&amp;" academic month"&amp;IF('BP2'!I26&gt;1,"s",)&amp;" (or "&amp;TEXT('BP2'!I26/9,"0%")&amp;" academic effort)",),IF(AND('BP2'!I26&gt;0,'BP2'!J26&gt;0)," and ",),IF('BP2'!J26&gt;0,TEXT('BP2'!J26,"0.00")&amp;" summer month"&amp;IF('BP2'!J26&gt;1,"s",)&amp;" (or "&amp;TEXT('BP2'!J26/3,"0%")&amp;" summer effort)",))))),"")),"")</f>
        <v/>
      </c>
      <c r="K17" s="267" t="str">
        <f>IF(SUM('Cumulative Budget'!H26:J26)&gt;0,(IF('BP1'!$K$5&gt;2,((IF('BP3'!H26&gt;0,CONCATENATE(IF('BP3'!H26&gt;0,TEXT('BP3'!H26,"0.00")&amp;" calendar month"&amp;IF('BP3'!H26&gt;1,"s",)&amp;" (or "&amp;TEXT('BP3'!H26/'BP3'!G26,"0%")&amp;" calendar effort)",)),CONCATENATE(IF('BP3'!I26&gt;0,TEXT('BP3'!I26,"0.00")&amp;" academic month"&amp;IF('BP3'!I26&gt;1,"s",)&amp;" (or "&amp;TEXT('BP3'!I26/9,"0%")&amp;" academic effort)",),IF(AND('BP3'!I26&gt;0,'BP3'!J26&gt;0)," and ",),IF('BP3'!J26&gt;0,TEXT('BP3'!J26,"0.00")&amp;" summer month"&amp;IF('BP3'!J26&gt;1,"s",)&amp;" (or "&amp;TEXT('BP3'!J26/3,"0%")&amp;" summer effort)",))))),"")),"")</f>
        <v/>
      </c>
      <c r="L17" s="267" t="str">
        <f>IF(SUM('Cumulative Budget'!H26:J26)&gt;0,(IF('BP1'!$K$5&gt;3,((IF('BP4'!H26&gt;0,CONCATENATE(IF('BP4'!H26&gt;0,TEXT('BP4'!H26,"0.00")&amp;" calendar month"&amp;IF('BP4'!H26&gt;1,"s",)&amp;" (or "&amp;TEXT('BP4'!H26/'BP4'!G26,"0%")&amp;" calendar effort)",)),CONCATENATE(IF('BP4'!I26&gt;0,TEXT('BP4'!I26,"0.00")&amp;" academic month"&amp;IF('BP4'!I26&gt;1,"s",)&amp;" (or "&amp;TEXT('BP4'!I26/9,"0%")&amp;" academic effort)",),IF(AND('BP4'!I26&gt;0,'BP4'!J26&gt;0)," and ",),IF('BP4'!J26&gt;0,TEXT('BP4'!J26,"0.00")&amp;" summer month"&amp;IF('BP4'!J26&gt;1,"s",)&amp;" (or "&amp;TEXT('BP4'!J26/3,"0%")&amp;" summer effort)",))))),"")),"")</f>
        <v/>
      </c>
      <c r="M17" s="267" t="str">
        <f>IF(SUM('Cumulative Budget'!H26:J26)&gt;0,(IF('BP1'!$K$5&gt;4,((IF('BP5'!H26&gt;0,CONCATENATE(IF('BP5'!H26&gt;0,TEXT('BP5'!H26,"0.00")&amp;" calendar month"&amp;IF('BP5'!H26&gt;1,"s",)&amp;" (or "&amp;TEXT('BP5'!H26/'BP5'!G26,"0%")&amp;" calendar effort)",)),CONCATENATE(IF('BP5'!I26&gt;0,TEXT('BP5'!I26,"0.00")&amp;" academic month"&amp;IF('BP5'!I26&gt;1,"s",)&amp;" (or "&amp;TEXT('BP5'!I26/9,"0%")&amp;" academic effort)",),IF(AND('BP5'!I26&gt;0,'BP5'!J26&gt;0)," and ",),IF('BP5'!J26&gt;0,TEXT('BP5'!J26,"0.00")&amp;" summer month"&amp;IF('BP5'!J26&gt;1,"s",)&amp;" (or "&amp;TEXT('BP5'!J26/3,"0%")&amp;" summer effort)",))))),"")),"")</f>
        <v/>
      </c>
      <c r="N17" s="532" t="str">
        <f>IF(AND('BP1'!M26&gt;0,'BP1'!$A$5&gt;0),TEXT('BP1'!M26,"0.00")&amp;" cost-shared month"&amp;IF('BP1'!M26&gt;1,"s",)&amp;" (or "&amp;TEXT('BP1'!M26/'BP1'!G26,"0%")&amp;" cost-shared effort)","")</f>
        <v/>
      </c>
      <c r="O17" s="532" t="str">
        <f>IF(AND('BP2'!M26&gt;0,'BP2'!$A$5&gt;0),TEXT('BP2'!M26,"0.00")&amp;" cost-shared month"&amp;IF('BP2'!M26&gt;1,"s",)&amp;" (or "&amp;TEXT('BP2'!M26/'BP2'!G26,"0%")&amp;" cost-shared effort)","")</f>
        <v/>
      </c>
      <c r="P17" s="532" t="str">
        <f>IF(AND('BP3'!M26&gt;0,'BP3'!$A$5&gt;0),TEXT('BP3'!M26,"0.00")&amp;" cost-shared month"&amp;IF('BP3'!M26&gt;1,"s",)&amp;" (or "&amp;TEXT('BP3'!M26/'BP3'!G26,"0%")&amp;" cost-shared effort)","")</f>
        <v/>
      </c>
      <c r="Q17" s="532" t="str">
        <f>IF(AND('BP4'!M26&gt;0,'BP4'!$A$5&gt;0),TEXT('BP4'!M26,"0.00")&amp;" cost-shared month"&amp;IF('BP4'!M26&gt;1,"s",)&amp;" (or "&amp;TEXT('BP4'!M26/'BP4'!G26,"0%")&amp;" cost-shared effort)","")</f>
        <v/>
      </c>
      <c r="R17" s="532" t="str">
        <f>IF(AND('BP5'!M26&gt;0,'BP5'!$A$5&gt;0),TEXT('BP5'!M26,"0.00")&amp;" cost-shared month"&amp;IF('BP5'!M26&gt;1,"s",)&amp;" (or "&amp;TEXT('BP5'!M26/'BP5'!G26,"0%")&amp;" cost-shared effort)","")</f>
        <v/>
      </c>
      <c r="S17" s="236" t="str">
        <f>IF(AND('BP1'!$K$5=2,I17&lt;&gt;J17),"Note: Effort changes in the outyears!","")&amp;IF(AND('BP1'!$K$5=3,OR(I17&lt;&gt;J17,I17&lt;&gt;K17,J17&lt;&gt;K17)),"Note: Effort changes in the outyears!","")&amp;IF(AND('BP1'!$K$5=4,OR(I17&lt;&gt;J17,I17&lt;&gt;K17,I17&lt;&gt;L17,J17&lt;&gt;K17,J17&lt;&gt;L17,K17&lt;&gt;L17)),"Note: Effort changes in the outyears!","")&amp;IF(AND('BP1'!$K$5=5,OR(I17&lt;&gt;J17,I17&lt;&gt;K17,I17&lt;&gt;L17,I17&lt;&gt;M17,J17&lt;&gt;K17,J17&lt;&gt;L17,J17&lt;&gt;M17,K17&lt;&gt;L17,K17&lt;&gt;M17,L17&lt;&gt;M17)),"Note: Effort changes in the outyears!","")</f>
        <v/>
      </c>
      <c r="T17" s="236" t="str">
        <f>IF(AND('BP1'!$K$5=2,N17&lt;&gt;O17),"Note: Effort changes in the outyears!","")&amp;IF(AND('BP1'!$K$5=3,OR(N17&lt;&gt;O17,N17&lt;&gt;P17,O17&lt;&gt;P17)),"Note: Effort changes in the outyears!","")&amp;IF(AND('BP1'!$K$5=4,OR(N17&lt;&gt;O17,N17&lt;&gt;P17,N17&lt;&gt;Q17,O17&lt;&gt;P17,O17&lt;&gt;Q17,P17&lt;&gt;Q17)),"Note: Effort changes in the outyears!","")&amp;IF(AND('BP1'!$K$5=5,OR(N17&lt;&gt;O17,N17&lt;&gt;P17,N17&lt;&gt;Q17,N17&lt;&gt;R17,O17&lt;&gt;P17,O17&lt;&gt;Q17,O17&lt;&gt;R17,P17&lt;&gt;Q17,P17&lt;&gt;R17,Q17&lt;&gt;R17)),"Note: Effort changes in the outyears!","")</f>
        <v/>
      </c>
      <c r="U17" s="691" t="str">
        <f t="shared" si="0"/>
        <v>Blank</v>
      </c>
    </row>
    <row r="18" spans="1:21" ht="60" customHeight="1">
      <c r="A18" s="991" t="str">
        <f>IF('Cumulative Budget'!H27+'Cumulative Budget'!I27+'Cumulative Budget'!J27&gt;0,IF(S18="Note: Effort changes in the outyears!",IF(I18&lt;&gt;"",I18&amp;" in Budget Period 1","")&amp;IF(AND(I18&lt;&gt;"",J18&lt;&gt;""),"; ","")&amp;IF(J18&lt;&gt;"",J18&amp;" in Budget Period 2","")&amp;IF(AND(OR(I18&lt;&gt;"",J18&lt;&gt;""),K18&lt;&gt;""),"; ","")&amp;IF(K18&lt;&gt;"",K18&amp;" in Budget Period 3","")&amp;IF(AND(OR(I18&lt;&gt;"",J18&lt;&gt;"",K18&lt;&gt;""),L18&lt;&gt;""),"; ","")&amp;IF(L18&lt;&gt;"",L18&amp;" in Budget Period 4","")&amp;IF(AND(OR(I18&lt;&gt;"",J18&lt;&gt;"",K18&lt;&gt;"",L18&lt;&gt;""),M18&lt;&gt;""),"; ","")&amp;IF(M18&lt;&gt;"",M18&amp;" in Budget Period 5","")&amp;" of "&amp;'BP1'!B27&amp;"'s salary is requested. ",I18&amp;" of "&amp;'BP1'!B27&amp;"'s salary is requested"&amp;IF('BP1'!$K$5&gt;1," each budget period for "&amp;'BP1'!$K$5&amp;" budget periods. ",". ")),"")&amp;IF('Cumulative Budget'!M27&gt;0,IF(T18="Note: Effort changes in the outyears!",IF(N18&lt;&gt;"",N18&amp;" in Budget Period 1","")&amp;IF(AND(N18&lt;&gt;"",O18&lt;&gt;""),"; ","")&amp;IF(O18&lt;&gt;"",O18&amp;" in Budget Period 2","")&amp;IF(AND(OR(N18&lt;&gt;"",O18&lt;&gt;""),P18&lt;&gt;""),"; ","")&amp;IF(P18&lt;&gt;"",P18&amp;" in Budget Period 3","")&amp;IF(AND(OR(N18&lt;&gt;"",O18&lt;&gt;"",P18&lt;&gt;""),Q18&lt;&gt;""),"; ","")&amp;IF(Q18&lt;&gt;"",Q18&amp;" in Budget Period 4","")&amp;IF(AND(OR(N18&lt;&gt;"",O18&lt;&gt;"",P18&lt;&gt;"",Q18&lt;&gt;""),R18&lt;&gt;""),"; ","")&amp;IF(R18&lt;&gt;"",R18&amp;" in Budget Period 5","")&amp;" of "&amp;'BP1'!B27&amp;"'s salary is requested. ",N18&amp;" of "&amp;'BP1'!B27&amp;"'s salary is requested"&amp;IF('BP1'!$K$5&gt;1," each budget period for "&amp;'BP1'!$K$5&amp;" budget periods. ",". ")),"")&amp;IF(OR('BP1'!G27=10,'BP1'!G27=11),'BP1'!B27&amp;" currently has a"&amp;IF('BP1'!G27=11,"n "," ")&amp;'BP1'!G27&amp;"-month appointment. ","")&amp;IF(AND('BP1'!$K$5&gt;1,'BP1'!$K$7&gt;0,OR('Cumulative Budget'!H27+'Cumulative Budget'!I27+'Cumulative Budget'!J27+'Cumulative Budget'!M27&gt;0)),"Salary is inflated by "&amp;('BP1'!$K$7*100)&amp;"% annually each September. ","")&amp;IF(ISBLANK('BP1'!Q27),"",'BP1'!Q27)</f>
        <v/>
      </c>
      <c r="B18" s="991"/>
      <c r="C18" s="991"/>
      <c r="D18" s="991"/>
      <c r="E18" s="991"/>
      <c r="F18" s="991"/>
      <c r="G18" s="991"/>
      <c r="H18" s="991"/>
      <c r="I18" s="267" t="str">
        <f>IF(SUM('Cumulative Budget'!H27:J27)&gt;0,(IF('BP1'!$K$5&gt;0,((IF('BP1'!H27&gt;0,CONCATENATE(IF('BP1'!H27&gt;0,TEXT('BP1'!H27,"0.00")&amp;" calendar month"&amp;IF('BP1'!H27&gt;1,"s",)&amp;" (or "&amp;TEXT('BP1'!H27/'BP1'!G27,"0%")&amp;" calendar effort)",)),CONCATENATE(IF('BP1'!I27&gt;0,TEXT('BP1'!I27,"0.00")&amp;" academic month"&amp;IF('BP1'!I27&gt;1,"s",)&amp;" (or "&amp;TEXT('BP1'!I27/9,"0%")&amp;" academic effort)",),IF(AND('BP1'!I27&gt;0,'BP1'!J27&gt;0)," and ",),IF('BP1'!J27&gt;0,TEXT('BP1'!J27,"0.00")&amp;" summer month"&amp;IF('BP1'!J27&gt;1,"s",)&amp;" (or "&amp;TEXT('BP1'!J27/3,"0%")&amp;" summer effort)",))))),"")),"")</f>
        <v/>
      </c>
      <c r="J18" s="267" t="str">
        <f>IF(SUM('Cumulative Budget'!H27:J27)&gt;0,(IF('BP1'!$K$5&gt;1,((IF('BP2'!H27&gt;0,CONCATENATE(IF('BP2'!H27&gt;0,TEXT('BP2'!H27,"0.00")&amp;" calendar month"&amp;IF('BP2'!H27&gt;1,"s",)&amp;" (or "&amp;TEXT('BP2'!H27/'BP2'!G27,"0%")&amp;" calendar effort)",)),CONCATENATE(IF('BP2'!I27&gt;0,TEXT('BP2'!I27,"0.00")&amp;" academic month"&amp;IF('BP2'!I27&gt;1,"s",)&amp;" (or "&amp;TEXT('BP2'!I27/9,"0%")&amp;" academic effort)",),IF(AND('BP2'!I27&gt;0,'BP2'!J27&gt;0)," and ",),IF('BP2'!J27&gt;0,TEXT('BP2'!J27,"0.00")&amp;" summer month"&amp;IF('BP2'!J27&gt;1,"s",)&amp;" (or "&amp;TEXT('BP2'!J27/3,"0%")&amp;" summer effort)",))))),"")),"")</f>
        <v/>
      </c>
      <c r="K18" s="267" t="str">
        <f>IF(SUM('Cumulative Budget'!H27:J27)&gt;0,(IF('BP1'!$K$5&gt;2,((IF('BP3'!H27&gt;0,CONCATENATE(IF('BP3'!H27&gt;0,TEXT('BP3'!H27,"0.00")&amp;" calendar month"&amp;IF('BP3'!H27&gt;1,"s",)&amp;" (or "&amp;TEXT('BP3'!H27/'BP3'!G27,"0%")&amp;" calendar effort)",)),CONCATENATE(IF('BP3'!I27&gt;0,TEXT('BP3'!I27,"0.00")&amp;" academic month"&amp;IF('BP3'!I27&gt;1,"s",)&amp;" (or "&amp;TEXT('BP3'!I27/9,"0%")&amp;" academic effort)",),IF(AND('BP3'!I27&gt;0,'BP3'!J27&gt;0)," and ",),IF('BP3'!J27&gt;0,TEXT('BP3'!J27,"0.00")&amp;" summer month"&amp;IF('BP3'!J27&gt;1,"s",)&amp;" (or "&amp;TEXT('BP3'!J27/3,"0%")&amp;" summer effort)",))))),"")),"")</f>
        <v/>
      </c>
      <c r="L18" s="267" t="str">
        <f>IF(SUM('Cumulative Budget'!H27:J27)&gt;0,(IF('BP1'!$K$5&gt;3,((IF('BP4'!H27&gt;0,CONCATENATE(IF('BP4'!H27&gt;0,TEXT('BP4'!H27,"0.00")&amp;" calendar month"&amp;IF('BP4'!H27&gt;1,"s",)&amp;" (or "&amp;TEXT('BP4'!H27/'BP4'!G27,"0%")&amp;" calendar effort)",)),CONCATENATE(IF('BP4'!I27&gt;0,TEXT('BP4'!I27,"0.00")&amp;" academic month"&amp;IF('BP4'!I27&gt;1,"s",)&amp;" (or "&amp;TEXT('BP4'!I27/9,"0%")&amp;" academic effort)",),IF(AND('BP4'!I27&gt;0,'BP4'!J27&gt;0)," and ",),IF('BP4'!J27&gt;0,TEXT('BP4'!J27,"0.00")&amp;" summer month"&amp;IF('BP4'!J27&gt;1,"s",)&amp;" (or "&amp;TEXT('BP4'!J27/3,"0%")&amp;" summer effort)",))))),"")),"")</f>
        <v/>
      </c>
      <c r="M18" s="267" t="str">
        <f>IF(SUM('Cumulative Budget'!H27:J27)&gt;0,(IF('BP1'!$K$5&gt;4,((IF('BP5'!H27&gt;0,CONCATENATE(IF('BP5'!H27&gt;0,TEXT('BP5'!H27,"0.00")&amp;" calendar month"&amp;IF('BP5'!H27&gt;1,"s",)&amp;" (or "&amp;TEXT('BP5'!H27/'BP5'!G27,"0%")&amp;" calendar effort)",)),CONCATENATE(IF('BP5'!I27&gt;0,TEXT('BP5'!I27,"0.00")&amp;" academic month"&amp;IF('BP5'!I27&gt;1,"s",)&amp;" (or "&amp;TEXT('BP5'!I27/9,"0%")&amp;" academic effort)",),IF(AND('BP5'!I27&gt;0,'BP5'!J27&gt;0)," and ",),IF('BP5'!J27&gt;0,TEXT('BP5'!J27,"0.00")&amp;" summer month"&amp;IF('BP5'!J27&gt;1,"s",)&amp;" (or "&amp;TEXT('BP5'!J27/3,"0%")&amp;" summer effort)",))))),"")),"")</f>
        <v/>
      </c>
      <c r="N18" s="532" t="str">
        <f>IF(AND('BP1'!M27&gt;0,'BP1'!$A$5&gt;0),TEXT('BP1'!M27,"0.00")&amp;" cost-shared month"&amp;IF('BP1'!M27&gt;1,"s",)&amp;" (or "&amp;TEXT('BP1'!M27/'BP1'!G27,"0%")&amp;" cost-shared effort)","")</f>
        <v/>
      </c>
      <c r="O18" s="532" t="str">
        <f>IF(AND('BP2'!M27&gt;0,'BP2'!$A$5&gt;0),TEXT('BP2'!M27,"0.00")&amp;" cost-shared month"&amp;IF('BP2'!M27&gt;1,"s",)&amp;" (or "&amp;TEXT('BP2'!M27/'BP2'!G27,"0%")&amp;" cost-shared effort)","")</f>
        <v/>
      </c>
      <c r="P18" s="532" t="str">
        <f>IF(AND('BP3'!M27&gt;0,'BP3'!$A$5&gt;0),TEXT('BP3'!M27,"0.00")&amp;" cost-shared month"&amp;IF('BP3'!M27&gt;1,"s",)&amp;" (or "&amp;TEXT('BP3'!M27/'BP3'!G27,"0%")&amp;" cost-shared effort)","")</f>
        <v/>
      </c>
      <c r="Q18" s="532" t="str">
        <f>IF(AND('BP4'!M27&gt;0,'BP4'!$A$5&gt;0),TEXT('BP4'!M27,"0.00")&amp;" cost-shared month"&amp;IF('BP4'!M27&gt;1,"s",)&amp;" (or "&amp;TEXT('BP4'!M27/'BP4'!G27,"0%")&amp;" cost-shared effort)","")</f>
        <v/>
      </c>
      <c r="R18" s="532" t="str">
        <f>IF(AND('BP5'!M27&gt;0,'BP5'!$A$5&gt;0),TEXT('BP5'!M27,"0.00")&amp;" cost-shared month"&amp;IF('BP5'!M27&gt;1,"s",)&amp;" (or "&amp;TEXT('BP5'!M27/'BP5'!G27,"0%")&amp;" cost-shared effort)","")</f>
        <v/>
      </c>
      <c r="S18" s="236" t="str">
        <f>IF(AND('BP1'!$K$5=2,I18&lt;&gt;J18),"Note: Effort changes in the outyears!","")&amp;IF(AND('BP1'!$K$5=3,OR(I18&lt;&gt;J18,I18&lt;&gt;K18,J18&lt;&gt;K18)),"Note: Effort changes in the outyears!","")&amp;IF(AND('BP1'!$K$5=4,OR(I18&lt;&gt;J18,I18&lt;&gt;K18,I18&lt;&gt;L18,J18&lt;&gt;K18,J18&lt;&gt;L18,K18&lt;&gt;L18)),"Note: Effort changes in the outyears!","")&amp;IF(AND('BP1'!$K$5=5,OR(I18&lt;&gt;J18,I18&lt;&gt;K18,I18&lt;&gt;L18,I18&lt;&gt;M18,J18&lt;&gt;K18,J18&lt;&gt;L18,J18&lt;&gt;M18,K18&lt;&gt;L18,K18&lt;&gt;M18,L18&lt;&gt;M18)),"Note: Effort changes in the outyears!","")</f>
        <v/>
      </c>
      <c r="T18" s="236" t="str">
        <f>IF(AND('BP1'!$K$5=2,N18&lt;&gt;O18),"Note: Effort changes in the outyears!","")&amp;IF(AND('BP1'!$K$5=3,OR(N18&lt;&gt;O18,N18&lt;&gt;P18,O18&lt;&gt;P18)),"Note: Effort changes in the outyears!","")&amp;IF(AND('BP1'!$K$5=4,OR(N18&lt;&gt;O18,N18&lt;&gt;P18,N18&lt;&gt;Q18,O18&lt;&gt;P18,O18&lt;&gt;Q18,P18&lt;&gt;Q18)),"Note: Effort changes in the outyears!","")&amp;IF(AND('BP1'!$K$5=5,OR(N18&lt;&gt;O18,N18&lt;&gt;P18,N18&lt;&gt;Q18,N18&lt;&gt;R18,O18&lt;&gt;P18,O18&lt;&gt;Q18,O18&lt;&gt;R18,P18&lt;&gt;Q18,P18&lt;&gt;R18,Q18&lt;&gt;R18)),"Note: Effort changes in the outyears!","")</f>
        <v/>
      </c>
      <c r="U18" s="691" t="str">
        <f t="shared" si="0"/>
        <v>Blank</v>
      </c>
    </row>
    <row r="19" spans="1:21" ht="60" customHeight="1">
      <c r="A19" s="991" t="str">
        <f>IF('Cumulative Budget'!H28+'Cumulative Budget'!I28+'Cumulative Budget'!J28&gt;0,IF(S19="Note: Effort changes in the outyears!",IF(I19&lt;&gt;"",I19&amp;" in Budget Period 1","")&amp;IF(AND(I19&lt;&gt;"",J19&lt;&gt;""),"; ","")&amp;IF(J19&lt;&gt;"",J19&amp;" in Budget Period 2","")&amp;IF(AND(OR(I19&lt;&gt;"",J19&lt;&gt;""),K19&lt;&gt;""),"; ","")&amp;IF(K19&lt;&gt;"",K19&amp;" in Budget Period 3","")&amp;IF(AND(OR(I19&lt;&gt;"",J19&lt;&gt;"",K19&lt;&gt;""),L19&lt;&gt;""),"; ","")&amp;IF(L19&lt;&gt;"",L19&amp;" in Budget Period 4","")&amp;IF(AND(OR(I19&lt;&gt;"",J19&lt;&gt;"",K19&lt;&gt;"",L19&lt;&gt;""),M19&lt;&gt;""),"; ","")&amp;IF(M19&lt;&gt;"",M19&amp;" in Budget Period 5","")&amp;" of "&amp;'BP1'!B28&amp;"'s salary is requested. ",I19&amp;" of "&amp;'BP1'!B28&amp;"'s salary is requested"&amp;IF('BP1'!$K$5&gt;1," each budget period for "&amp;'BP1'!$K$5&amp;" budget periods. ",". ")),"")&amp;IF('Cumulative Budget'!M28&gt;0,IF(T19="Note: Effort changes in the outyears!",IF(N19&lt;&gt;"",N19&amp;" in Budget Period 1","")&amp;IF(AND(N19&lt;&gt;"",O19&lt;&gt;""),"; ","")&amp;IF(O19&lt;&gt;"",O19&amp;" in Budget Period 2","")&amp;IF(AND(OR(N19&lt;&gt;"",O19&lt;&gt;""),P19&lt;&gt;""),"; ","")&amp;IF(P19&lt;&gt;"",P19&amp;" in Budget Period 3","")&amp;IF(AND(OR(N19&lt;&gt;"",O19&lt;&gt;"",P19&lt;&gt;""),Q19&lt;&gt;""),"; ","")&amp;IF(Q19&lt;&gt;"",Q19&amp;" in Budget Period 4","")&amp;IF(AND(OR(N19&lt;&gt;"",O19&lt;&gt;"",P19&lt;&gt;"",Q19&lt;&gt;""),R19&lt;&gt;""),"; ","")&amp;IF(R19&lt;&gt;"",R19&amp;" in Budget Period 5","")&amp;" of "&amp;'BP1'!B28&amp;"'s salary is requested. ",N19&amp;" of "&amp;'BP1'!B28&amp;"'s salary is requested"&amp;IF('BP1'!$K$5&gt;1," each budget period for "&amp;'BP1'!$K$5&amp;" budget periods. ",". ")),"")&amp;IF(OR('BP1'!G28=10,'BP1'!G28=11),'BP1'!B28&amp;" currently has a"&amp;IF('BP1'!G28=11,"n "," ")&amp;'BP1'!G28&amp;"-month appointment. ","")&amp;IF(AND('BP1'!$K$5&gt;1,'BP1'!$K$7&gt;0,OR('Cumulative Budget'!H28+'Cumulative Budget'!I28+'Cumulative Budget'!J28+'Cumulative Budget'!M28&gt;0)),"Salary is inflated by "&amp;('BP1'!$K$7*100)&amp;"% annually each September. ","")&amp;IF(ISBLANK('BP1'!Q28),"",'BP1'!Q28)</f>
        <v/>
      </c>
      <c r="B19" s="991"/>
      <c r="C19" s="991"/>
      <c r="D19" s="991"/>
      <c r="E19" s="991"/>
      <c r="F19" s="991"/>
      <c r="G19" s="991"/>
      <c r="H19" s="991"/>
      <c r="I19" s="267" t="str">
        <f>IF(SUM('Cumulative Budget'!H28:J28)&gt;0,(IF('BP1'!$K$5&gt;0,((IF('BP1'!H28&gt;0,CONCATENATE(IF('BP1'!H28&gt;0,TEXT('BP1'!H28,"0.00")&amp;" calendar month"&amp;IF('BP1'!H28&gt;1,"s",)&amp;" (or "&amp;TEXT('BP1'!H28/'BP1'!G28,"0%")&amp;" calendar effort)",)),CONCATENATE(IF('BP1'!I28&gt;0,TEXT('BP1'!I28,"0.00")&amp;" academic month"&amp;IF('BP1'!I28&gt;1,"s",)&amp;" (or "&amp;TEXT('BP1'!I28/9,"0%")&amp;" academic effort)",),IF(AND('BP1'!I28&gt;0,'BP1'!J28&gt;0)," and ",),IF('BP1'!J28&gt;0,TEXT('BP1'!J28,"0.00")&amp;" summer month"&amp;IF('BP1'!J28&gt;1,"s",)&amp;" (or "&amp;TEXT('BP1'!J28/3,"0%")&amp;" summer effort)",))))),"")),"")</f>
        <v/>
      </c>
      <c r="J19" s="267" t="str">
        <f>IF(SUM('Cumulative Budget'!H28:J28)&gt;0,(IF('BP1'!$K$5&gt;1,((IF('BP2'!H28&gt;0,CONCATENATE(IF('BP2'!H28&gt;0,TEXT('BP2'!H28,"0.00")&amp;" calendar month"&amp;IF('BP2'!H28&gt;1,"s",)&amp;" (or "&amp;TEXT('BP2'!H28/'BP2'!G28,"0%")&amp;" calendar effort)",)),CONCATENATE(IF('BP2'!I28&gt;0,TEXT('BP2'!I28,"0.00")&amp;" academic month"&amp;IF('BP2'!I28&gt;1,"s",)&amp;" (or "&amp;TEXT('BP2'!I28/9,"0%")&amp;" academic effort)",),IF(AND('BP2'!I28&gt;0,'BP2'!J28&gt;0)," and ",),IF('BP2'!J28&gt;0,TEXT('BP2'!J28,"0.00")&amp;" summer month"&amp;IF('BP2'!J28&gt;1,"s",)&amp;" (or "&amp;TEXT('BP2'!J28/3,"0%")&amp;" summer effort)",))))),"")),"")</f>
        <v/>
      </c>
      <c r="K19" s="267" t="str">
        <f>IF(SUM('Cumulative Budget'!H28:J28)&gt;0,(IF('BP1'!$K$5&gt;2,((IF('BP3'!H28&gt;0,CONCATENATE(IF('BP3'!H28&gt;0,TEXT('BP3'!H28,"0.00")&amp;" calendar month"&amp;IF('BP3'!H28&gt;1,"s",)&amp;" (or "&amp;TEXT('BP3'!H28/'BP3'!G28,"0%")&amp;" calendar effort)",)),CONCATENATE(IF('BP3'!I28&gt;0,TEXT('BP3'!I28,"0.00")&amp;" academic month"&amp;IF('BP3'!I28&gt;1,"s",)&amp;" (or "&amp;TEXT('BP3'!I28/9,"0%")&amp;" academic effort)",),IF(AND('BP3'!I28&gt;0,'BP3'!J28&gt;0)," and ",),IF('BP3'!J28&gt;0,TEXT('BP3'!J28,"0.00")&amp;" summer month"&amp;IF('BP3'!J28&gt;1,"s",)&amp;" (or "&amp;TEXT('BP3'!J28/3,"0%")&amp;" summer effort)",))))),"")),"")</f>
        <v/>
      </c>
      <c r="L19" s="267" t="str">
        <f>IF(SUM('Cumulative Budget'!H28:J28)&gt;0,(IF('BP1'!$K$5&gt;3,((IF('BP4'!H28&gt;0,CONCATENATE(IF('BP4'!H28&gt;0,TEXT('BP4'!H28,"0.00")&amp;" calendar month"&amp;IF('BP4'!H28&gt;1,"s",)&amp;" (or "&amp;TEXT('BP4'!H28/'BP4'!G28,"0%")&amp;" calendar effort)",)),CONCATENATE(IF('BP4'!I28&gt;0,TEXT('BP4'!I28,"0.00")&amp;" academic month"&amp;IF('BP4'!I28&gt;1,"s",)&amp;" (or "&amp;TEXT('BP4'!I28/9,"0%")&amp;" academic effort)",),IF(AND('BP4'!I28&gt;0,'BP4'!J28&gt;0)," and ",),IF('BP4'!J28&gt;0,TEXT('BP4'!J28,"0.00")&amp;" summer month"&amp;IF('BP4'!J28&gt;1,"s",)&amp;" (or "&amp;TEXT('BP4'!J28/3,"0%")&amp;" summer effort)",))))),"")),"")</f>
        <v/>
      </c>
      <c r="M19" s="267" t="str">
        <f>IF(SUM('Cumulative Budget'!H28:J28)&gt;0,(IF('BP1'!$K$5&gt;4,((IF('BP5'!H28&gt;0,CONCATENATE(IF('BP5'!H28&gt;0,TEXT('BP5'!H28,"0.00")&amp;" calendar month"&amp;IF('BP5'!H28&gt;1,"s",)&amp;" (or "&amp;TEXT('BP5'!H28/'BP5'!G28,"0%")&amp;" calendar effort)",)),CONCATENATE(IF('BP5'!I28&gt;0,TEXT('BP5'!I28,"0.00")&amp;" academic month"&amp;IF('BP5'!I28&gt;1,"s",)&amp;" (or "&amp;TEXT('BP5'!I28/9,"0%")&amp;" academic effort)",),IF(AND('BP5'!I28&gt;0,'BP5'!J28&gt;0)," and ",),IF('BP5'!J28&gt;0,TEXT('BP5'!J28,"0.00")&amp;" summer month"&amp;IF('BP5'!J28&gt;1,"s",)&amp;" (or "&amp;TEXT('BP5'!J28/3,"0%")&amp;" summer effort)",))))),"")),"")</f>
        <v/>
      </c>
      <c r="N19" s="532" t="str">
        <f>IF(AND('BP1'!M28&gt;0,'BP1'!$A$5&gt;0),TEXT('BP1'!M28,"0.00")&amp;" cost-shared month"&amp;IF('BP1'!M28&gt;1,"s",)&amp;" (or "&amp;TEXT('BP1'!M28/'BP1'!G28,"0%")&amp;" cost-shared effort)","")</f>
        <v/>
      </c>
      <c r="O19" s="532" t="str">
        <f>IF(AND('BP2'!M28&gt;0,'BP2'!$A$5&gt;0),TEXT('BP2'!M28,"0.00")&amp;" cost-shared month"&amp;IF('BP2'!M28&gt;1,"s",)&amp;" (or "&amp;TEXT('BP2'!M28/'BP2'!G28,"0%")&amp;" cost-shared effort)","")</f>
        <v/>
      </c>
      <c r="P19" s="532" t="str">
        <f>IF(AND('BP3'!M28&gt;0,'BP3'!$A$5&gt;0),TEXT('BP3'!M28,"0.00")&amp;" cost-shared month"&amp;IF('BP3'!M28&gt;1,"s",)&amp;" (or "&amp;TEXT('BP3'!M28/'BP3'!G28,"0%")&amp;" cost-shared effort)","")</f>
        <v/>
      </c>
      <c r="Q19" s="532" t="str">
        <f>IF(AND('BP4'!M28&gt;0,'BP4'!$A$5&gt;0),TEXT('BP4'!M28,"0.00")&amp;" cost-shared month"&amp;IF('BP4'!M28&gt;1,"s",)&amp;" (or "&amp;TEXT('BP4'!M28/'BP4'!G28,"0%")&amp;" cost-shared effort)","")</f>
        <v/>
      </c>
      <c r="R19" s="532" t="str">
        <f>IF(AND('BP5'!M28&gt;0,'BP5'!$A$5&gt;0),TEXT('BP5'!M28,"0.00")&amp;" cost-shared month"&amp;IF('BP5'!M28&gt;1,"s",)&amp;" (or "&amp;TEXT('BP5'!M28/'BP5'!G28,"0%")&amp;" cost-shared effort)","")</f>
        <v/>
      </c>
      <c r="S19" s="236" t="str">
        <f>IF(AND('BP1'!$K$5=2,I19&lt;&gt;J19),"Note: Effort changes in the outyears!","")&amp;IF(AND('BP1'!$K$5=3,OR(I19&lt;&gt;J19,I19&lt;&gt;K19,J19&lt;&gt;K19)),"Note: Effort changes in the outyears!","")&amp;IF(AND('BP1'!$K$5=4,OR(I19&lt;&gt;J19,I19&lt;&gt;K19,I19&lt;&gt;L19,J19&lt;&gt;K19,J19&lt;&gt;L19,K19&lt;&gt;L19)),"Note: Effort changes in the outyears!","")&amp;IF(AND('BP1'!$K$5=5,OR(I19&lt;&gt;J19,I19&lt;&gt;K19,I19&lt;&gt;L19,I19&lt;&gt;M19,J19&lt;&gt;K19,J19&lt;&gt;L19,J19&lt;&gt;M19,K19&lt;&gt;L19,K19&lt;&gt;M19,L19&lt;&gt;M19)),"Note: Effort changes in the outyears!","")</f>
        <v/>
      </c>
      <c r="T19" s="236" t="str">
        <f>IF(AND('BP1'!$K$5=2,N19&lt;&gt;O19),"Note: Effort changes in the outyears!","")&amp;IF(AND('BP1'!$K$5=3,OR(N19&lt;&gt;O19,N19&lt;&gt;P19,O19&lt;&gt;P19)),"Note: Effort changes in the outyears!","")&amp;IF(AND('BP1'!$K$5=4,OR(N19&lt;&gt;O19,N19&lt;&gt;P19,N19&lt;&gt;Q19,O19&lt;&gt;P19,O19&lt;&gt;Q19,P19&lt;&gt;Q19)),"Note: Effort changes in the outyears!","")&amp;IF(AND('BP1'!$K$5=5,OR(N19&lt;&gt;O19,N19&lt;&gt;P19,N19&lt;&gt;Q19,N19&lt;&gt;R19,O19&lt;&gt;P19,O19&lt;&gt;Q19,O19&lt;&gt;R19,P19&lt;&gt;Q19,P19&lt;&gt;R19,Q19&lt;&gt;R19)),"Note: Effort changes in the outyears!","")</f>
        <v/>
      </c>
      <c r="U19" s="691" t="str">
        <f t="shared" si="0"/>
        <v>Blank</v>
      </c>
    </row>
    <row r="20" spans="1:21" ht="60" customHeight="1">
      <c r="A20" s="991" t="str">
        <f>IF('Cumulative Budget'!H29+'Cumulative Budget'!I29+'Cumulative Budget'!J29&gt;0,IF(S20="Note: Effort changes in the outyears!",IF(I20&lt;&gt;"",I20&amp;" in Budget Period 1","")&amp;IF(AND(I20&lt;&gt;"",J20&lt;&gt;""),"; ","")&amp;IF(J20&lt;&gt;"",J20&amp;" in Budget Period 2","")&amp;IF(AND(OR(I20&lt;&gt;"",J20&lt;&gt;""),K20&lt;&gt;""),"; ","")&amp;IF(K20&lt;&gt;"",K20&amp;" in Budget Period 3","")&amp;IF(AND(OR(I20&lt;&gt;"",J20&lt;&gt;"",K20&lt;&gt;""),L20&lt;&gt;""),"; ","")&amp;IF(L20&lt;&gt;"",L20&amp;" in Budget Period 4","")&amp;IF(AND(OR(I20&lt;&gt;"",J20&lt;&gt;"",K20&lt;&gt;"",L20&lt;&gt;""),M20&lt;&gt;""),"; ","")&amp;IF(M20&lt;&gt;"",M20&amp;" in Budget Period 5","")&amp;" of "&amp;'BP1'!B29&amp;"'s salary is requested. ",I20&amp;" of "&amp;'BP1'!B29&amp;"'s salary is requested"&amp;IF('BP1'!$K$5&gt;1," each budget period for "&amp;'BP1'!$K$5&amp;" budget periods. ",". ")),"")&amp;IF('Cumulative Budget'!M29&gt;0,IF(T20="Note: Effort changes in the outyears!",IF(N20&lt;&gt;"",N20&amp;" in Budget Period 1","")&amp;IF(AND(N20&lt;&gt;"",O20&lt;&gt;""),"; ","")&amp;IF(O20&lt;&gt;"",O20&amp;" in Budget Period 2","")&amp;IF(AND(OR(N20&lt;&gt;"",O20&lt;&gt;""),P20&lt;&gt;""),"; ","")&amp;IF(P20&lt;&gt;"",P20&amp;" in Budget Period 3","")&amp;IF(AND(OR(N20&lt;&gt;"",O20&lt;&gt;"",P20&lt;&gt;""),Q20&lt;&gt;""),"; ","")&amp;IF(Q20&lt;&gt;"",Q20&amp;" in Budget Period 4","")&amp;IF(AND(OR(N20&lt;&gt;"",O20&lt;&gt;"",P20&lt;&gt;"",Q20&lt;&gt;""),R20&lt;&gt;""),"; ","")&amp;IF(R20&lt;&gt;"",R20&amp;" in Budget Period 5","")&amp;" of "&amp;'BP1'!B29&amp;"'s salary is requested. ",N20&amp;" of "&amp;'BP1'!B29&amp;"'s salary is requested"&amp;IF('BP1'!$K$5&gt;1," each budget period for "&amp;'BP1'!$K$5&amp;" budget periods. ",". ")),"")&amp;IF(OR('BP1'!G29=10,'BP1'!G29=11),'BP1'!B29&amp;" currently has a"&amp;IF('BP1'!G29=11,"n "," ")&amp;'BP1'!G29&amp;"-month appointment. ","")&amp;IF(AND('BP1'!$K$5&gt;1,'BP1'!$K$7&gt;0,OR('Cumulative Budget'!H29+'Cumulative Budget'!I29+'Cumulative Budget'!J29+'Cumulative Budget'!M29&gt;0)),"Salary is inflated by "&amp;('BP1'!$K$7*100)&amp;"% annually each September. ","")&amp;IF(ISBLANK('BP1'!Q29),"",'BP1'!Q29)</f>
        <v/>
      </c>
      <c r="B20" s="991"/>
      <c r="C20" s="991"/>
      <c r="D20" s="991"/>
      <c r="E20" s="991"/>
      <c r="F20" s="991"/>
      <c r="G20" s="991"/>
      <c r="H20" s="991"/>
      <c r="I20" s="267" t="str">
        <f>IF(SUM('Cumulative Budget'!H29:J29)&gt;0,(IF('BP1'!$K$5&gt;0,((IF('BP1'!H29&gt;0,CONCATENATE(IF('BP1'!H29&gt;0,TEXT('BP1'!H29,"0.00")&amp;" calendar month"&amp;IF('BP1'!H29&gt;1,"s",)&amp;" (or "&amp;TEXT('BP1'!H29/'BP1'!G29,"0%")&amp;" calendar effort)",)),CONCATENATE(IF('BP1'!I29&gt;0,TEXT('BP1'!I29,"0.00")&amp;" academic month"&amp;IF('BP1'!I29&gt;1,"s",)&amp;" (or "&amp;TEXT('BP1'!I29/9,"0%")&amp;" academic effort)",),IF(AND('BP1'!I29&gt;0,'BP1'!J29&gt;0)," and ",),IF('BP1'!J29&gt;0,TEXT('BP1'!J29,"0.00")&amp;" summer month"&amp;IF('BP1'!J29&gt;1,"s",)&amp;" (or "&amp;TEXT('BP1'!J29/3,"0%")&amp;" summer effort)",))))),"")),"")</f>
        <v/>
      </c>
      <c r="J20" s="267" t="str">
        <f>IF(SUM('Cumulative Budget'!H29:J29)&gt;0,(IF('BP1'!$K$5&gt;1,((IF('BP2'!H29&gt;0,CONCATENATE(IF('BP2'!H29&gt;0,TEXT('BP2'!H29,"0.00")&amp;" calendar month"&amp;IF('BP2'!H29&gt;1,"s",)&amp;" (or "&amp;TEXT('BP2'!H29/'BP2'!G29,"0%")&amp;" calendar effort)",)),CONCATENATE(IF('BP2'!I29&gt;0,TEXT('BP2'!I29,"0.00")&amp;" academic month"&amp;IF('BP2'!I29&gt;1,"s",)&amp;" (or "&amp;TEXT('BP2'!I29/9,"0%")&amp;" academic effort)",),IF(AND('BP2'!I29&gt;0,'BP2'!J29&gt;0)," and ",),IF('BP2'!J29&gt;0,TEXT('BP2'!J29,"0.00")&amp;" summer month"&amp;IF('BP2'!J29&gt;1,"s",)&amp;" (or "&amp;TEXT('BP2'!J29/3,"0%")&amp;" summer effort)",))))),"")),"")</f>
        <v/>
      </c>
      <c r="K20" s="267" t="str">
        <f>IF(SUM('Cumulative Budget'!H29:J29)&gt;0,(IF('BP1'!$K$5&gt;2,((IF('BP3'!H29&gt;0,CONCATENATE(IF('BP3'!H29&gt;0,TEXT('BP3'!H29,"0.00")&amp;" calendar month"&amp;IF('BP3'!H29&gt;1,"s",)&amp;" (or "&amp;TEXT('BP3'!H29/'BP3'!G29,"0%")&amp;" calendar effort)",)),CONCATENATE(IF('BP3'!I29&gt;0,TEXT('BP3'!I29,"0.00")&amp;" academic month"&amp;IF('BP3'!I29&gt;1,"s",)&amp;" (or "&amp;TEXT('BP3'!I29/9,"0%")&amp;" academic effort)",),IF(AND('BP3'!I29&gt;0,'BP3'!J29&gt;0)," and ",),IF('BP3'!J29&gt;0,TEXT('BP3'!J29,"0.00")&amp;" summer month"&amp;IF('BP3'!J29&gt;1,"s",)&amp;" (or "&amp;TEXT('BP3'!J29/3,"0%")&amp;" summer effort)",))))),"")),"")</f>
        <v/>
      </c>
      <c r="L20" s="267" t="str">
        <f>IF(SUM('Cumulative Budget'!H29:J29)&gt;0,(IF('BP1'!$K$5&gt;3,((IF('BP4'!H29&gt;0,CONCATENATE(IF('BP4'!H29&gt;0,TEXT('BP4'!H29,"0.00")&amp;" calendar month"&amp;IF('BP4'!H29&gt;1,"s",)&amp;" (or "&amp;TEXT('BP4'!H29/'BP4'!G29,"0%")&amp;" calendar effort)",)),CONCATENATE(IF('BP4'!I29&gt;0,TEXT('BP4'!I29,"0.00")&amp;" academic month"&amp;IF('BP4'!I29&gt;1,"s",)&amp;" (or "&amp;TEXT('BP4'!I29/9,"0%")&amp;" academic effort)",),IF(AND('BP4'!I29&gt;0,'BP4'!J29&gt;0)," and ",),IF('BP4'!J29&gt;0,TEXT('BP4'!J29,"0.00")&amp;" summer month"&amp;IF('BP4'!J29&gt;1,"s",)&amp;" (or "&amp;TEXT('BP4'!J29/3,"0%")&amp;" summer effort)",))))),"")),"")</f>
        <v/>
      </c>
      <c r="M20" s="267" t="str">
        <f>IF(SUM('Cumulative Budget'!H29:J29)&gt;0,(IF('BP1'!$K$5&gt;4,((IF('BP5'!H29&gt;0,CONCATENATE(IF('BP5'!H29&gt;0,TEXT('BP5'!H29,"0.00")&amp;" calendar month"&amp;IF('BP5'!H29&gt;1,"s",)&amp;" (or "&amp;TEXT('BP5'!H29/'BP5'!G29,"0%")&amp;" calendar effort)",)),CONCATENATE(IF('BP5'!I29&gt;0,TEXT('BP5'!I29,"0.00")&amp;" academic month"&amp;IF('BP5'!I29&gt;1,"s",)&amp;" (or "&amp;TEXT('BP5'!I29/9,"0%")&amp;" academic effort)",),IF(AND('BP5'!I29&gt;0,'BP5'!J29&gt;0)," and ",),IF('BP5'!J29&gt;0,TEXT('BP5'!J29,"0.00")&amp;" summer month"&amp;IF('BP5'!J29&gt;1,"s",)&amp;" (or "&amp;TEXT('BP5'!J29/3,"0%")&amp;" summer effort)",))))),"")),"")</f>
        <v/>
      </c>
      <c r="N20" s="532" t="str">
        <f>IF(AND('BP1'!M29&gt;0,'BP1'!$A$5&gt;0),TEXT('BP1'!M29,"0.00")&amp;" cost-shared month"&amp;IF('BP1'!M29&gt;1,"s",)&amp;" (or "&amp;TEXT('BP1'!M29/'BP1'!G29,"0%")&amp;" cost-shared effort)","")</f>
        <v/>
      </c>
      <c r="O20" s="532" t="str">
        <f>IF(AND('BP2'!M29&gt;0,'BP2'!$A$5&gt;0),TEXT('BP2'!M29,"0.00")&amp;" cost-shared month"&amp;IF('BP2'!M29&gt;1,"s",)&amp;" (or "&amp;TEXT('BP2'!M29/'BP2'!G29,"0%")&amp;" cost-shared effort)","")</f>
        <v/>
      </c>
      <c r="P20" s="532" t="str">
        <f>IF(AND('BP3'!M29&gt;0,'BP3'!$A$5&gt;0),TEXT('BP3'!M29,"0.00")&amp;" cost-shared month"&amp;IF('BP3'!M29&gt;1,"s",)&amp;" (or "&amp;TEXT('BP3'!M29/'BP3'!G29,"0%")&amp;" cost-shared effort)","")</f>
        <v/>
      </c>
      <c r="Q20" s="532" t="str">
        <f>IF(AND('BP4'!M29&gt;0,'BP4'!$A$5&gt;0),TEXT('BP4'!M29,"0.00")&amp;" cost-shared month"&amp;IF('BP4'!M29&gt;1,"s",)&amp;" (or "&amp;TEXT('BP4'!M29/'BP4'!G29,"0%")&amp;" cost-shared effort)","")</f>
        <v/>
      </c>
      <c r="R20" s="532" t="str">
        <f>IF(AND('BP5'!M29&gt;0,'BP5'!$A$5&gt;0),TEXT('BP5'!M29,"0.00")&amp;" cost-shared month"&amp;IF('BP5'!M29&gt;1,"s",)&amp;" (or "&amp;TEXT('BP5'!M29/'BP5'!G29,"0%")&amp;" cost-shared effort)","")</f>
        <v/>
      </c>
      <c r="S20" s="236" t="str">
        <f>IF(AND('BP1'!$K$5=2,I20&lt;&gt;J20),"Note: Effort changes in the outyears!","")&amp;IF(AND('BP1'!$K$5=3,OR(I20&lt;&gt;J20,I20&lt;&gt;K20,J20&lt;&gt;K20)),"Note: Effort changes in the outyears!","")&amp;IF(AND('BP1'!$K$5=4,OR(I20&lt;&gt;J20,I20&lt;&gt;K20,I20&lt;&gt;L20,J20&lt;&gt;K20,J20&lt;&gt;L20,K20&lt;&gt;L20)),"Note: Effort changes in the outyears!","")&amp;IF(AND('BP1'!$K$5=5,OR(I20&lt;&gt;J20,I20&lt;&gt;K20,I20&lt;&gt;L20,I20&lt;&gt;M20,J20&lt;&gt;K20,J20&lt;&gt;L20,J20&lt;&gt;M20,K20&lt;&gt;L20,K20&lt;&gt;M20,L20&lt;&gt;M20)),"Note: Effort changes in the outyears!","")</f>
        <v/>
      </c>
      <c r="T20" s="236" t="str">
        <f>IF(AND('BP1'!$K$5=2,N20&lt;&gt;O20),"Note: Effort changes in the outyears!","")&amp;IF(AND('BP1'!$K$5=3,OR(N20&lt;&gt;O20,N20&lt;&gt;P20,O20&lt;&gt;P20)),"Note: Effort changes in the outyears!","")&amp;IF(AND('BP1'!$K$5=4,OR(N20&lt;&gt;O20,N20&lt;&gt;P20,N20&lt;&gt;Q20,O20&lt;&gt;P20,O20&lt;&gt;Q20,P20&lt;&gt;Q20)),"Note: Effort changes in the outyears!","")&amp;IF(AND('BP1'!$K$5=5,OR(N20&lt;&gt;O20,N20&lt;&gt;P20,N20&lt;&gt;Q20,N20&lt;&gt;R20,O20&lt;&gt;P20,O20&lt;&gt;Q20,O20&lt;&gt;R20,P20&lt;&gt;Q20,P20&lt;&gt;R20,Q20&lt;&gt;R20)),"Note: Effort changes in the outyears!","")</f>
        <v/>
      </c>
      <c r="U20" s="691" t="str">
        <f t="shared" si="0"/>
        <v>Blank</v>
      </c>
    </row>
    <row r="21" spans="1:21" ht="15" customHeight="1">
      <c r="A21" s="992"/>
      <c r="B21" s="992"/>
      <c r="C21" s="992"/>
      <c r="D21" s="992"/>
      <c r="E21" s="992"/>
      <c r="F21" s="992"/>
      <c r="G21" s="992"/>
      <c r="H21" s="992"/>
      <c r="I21" s="532"/>
      <c r="J21" s="532"/>
      <c r="K21" s="532"/>
      <c r="L21" s="532"/>
      <c r="M21" s="532"/>
      <c r="N21" s="532"/>
      <c r="O21" s="532"/>
      <c r="P21" s="532"/>
      <c r="Q21" s="532"/>
      <c r="R21" s="532"/>
      <c r="S21" s="237"/>
      <c r="T21" s="237"/>
      <c r="U21" s="691" t="str">
        <f ca="1">IF(A5="","Blank","Populate")</f>
        <v>Blank</v>
      </c>
    </row>
    <row r="22" spans="1:21" ht="15" customHeight="1">
      <c r="A22" s="993" t="str">
        <f ca="1">IF(OR(SUM('Cumulative Budget'!K32:K40)&gt;0,SUM('Cumulative Budget'!N32:N40)&gt;0),"Other Personnel:","")</f>
        <v/>
      </c>
      <c r="B22" s="993"/>
      <c r="C22" s="993"/>
      <c r="D22" s="993"/>
      <c r="E22" s="993"/>
      <c r="F22" s="993"/>
      <c r="G22" s="993"/>
      <c r="H22" s="993"/>
      <c r="I22" s="532"/>
      <c r="J22" s="532"/>
      <c r="K22" s="532"/>
      <c r="L22" s="532"/>
      <c r="M22" s="532"/>
      <c r="N22" s="532"/>
      <c r="O22" s="532"/>
      <c r="P22" s="532"/>
      <c r="Q22" s="532"/>
      <c r="R22" s="532"/>
      <c r="S22" s="238"/>
      <c r="T22" s="238"/>
      <c r="U22" s="691" t="str">
        <f t="shared" ref="U22:U31" ca="1" si="1">IF(A22="","Blank","Populate")</f>
        <v>Blank</v>
      </c>
    </row>
    <row r="23" spans="1:21" ht="60" customHeight="1">
      <c r="A23" s="991" t="str">
        <f ca="1">IF('Cumulative Budget'!H32+'Cumulative Budget'!I32+'Cumulative Budget'!J32&gt;0,IF(S23="Note: Effort changes in the outyears!",IF(I23&lt;&gt;"",I23&amp;" in Budget Period 1","")&amp;IF(AND(I23&lt;&gt;"",J23&lt;&gt;""),"; ","")&amp;IF(J23&lt;&gt;"",J23&amp;" in Budget Period 2","")&amp;IF(AND(OR(I23&lt;&gt;"",J23&lt;&gt;""),K23&lt;&gt;""),"; ","")&amp;IF(K23&lt;&gt;"",K23&amp;" in Budget Period 3","")&amp;IF(AND(OR(I23&lt;&gt;"",J23&lt;&gt;"",K23&lt;&gt;""),L23&lt;&gt;""),"; ","")&amp;IF(L23&lt;&gt;"",L23&amp;" in Budget Period 4","")&amp;IF(AND(OR(I23&lt;&gt;"",J23&lt;&gt;"",K23&lt;&gt;"",L23&lt;&gt;""),M23&lt;&gt;""),"; ","")&amp;IF(M23&lt;&gt;"",M23&amp;" in Budget Period 5","")&amp;" for "&amp;ROUNDUP('BP1'!H32/'BP1'!G32,0)&amp;" "&amp;'BP1'!D32&amp;" is requested. ",I23&amp;" for "&amp;ROUNDUP('BP1'!H32/'BP1'!G32,0)&amp;" "&amp;'BP1'!D32&amp;" is requested"&amp;IF('BP1'!$K$5&gt;1," each budget period for "&amp;'BP1'!$K$5&amp;" budget periods. ",". ")),"")&amp;IF('Cumulative Budget'!N32&gt;0,IF(T23="Note: Effort changes in the outyears!",IF(N23&lt;&gt;"",N23&amp;" in Budget Period 1","")&amp;IF(AND(N23&lt;&gt;"",O23&lt;&gt;""),"; ","")&amp;IF(O23&lt;&gt;"",O23&amp;" in Budget Period 2","")&amp;IF(AND(OR(N23&lt;&gt;"",O23&lt;&gt;""),P23&lt;&gt;""),"; ","")&amp;IF(P23&lt;&gt;"",P23&amp;" in Budget Period 3","")&amp;IF(AND(OR(N23&lt;&gt;"",O23&lt;&gt;"",P23&lt;&gt;""),Q23&lt;&gt;""),"; ","")&amp;IF(Q23&lt;&gt;"",Q23&amp;" in Budget Period 4","")&amp;IF(AND(OR(N23&lt;&gt;"",O23&lt;&gt;"",P23&lt;&gt;"",Q23&lt;&gt;""),R23&lt;&gt;""),"; ","")&amp;IF(R23&lt;&gt;"",R23&amp;" in Budget Period 5","")&amp;" for "&amp;ROUNDUP('BP1'!M32/'BP1'!G32,0)&amp;" "&amp;'BP1'!D32&amp;" is requested. ",N23&amp;" for "&amp;ROUNDUP('BP1'!M32/'BP1'!G32,0)&amp;" "&amp;'BP1'!D32&amp;" is requested"&amp;IF('BP1'!$K$5&gt;1," each budget period for "&amp;'BP1'!$K$5&amp;" budget periods. ",". ")),"")&amp;IF(AND('BP1'!$K$5&gt;1,'BP1'!$K$7&gt;0,OR('Cumulative Budget'!H32+'Cumulative Budget'!M32&gt;0)),"Salary is inflated by "&amp;('BP1'!$K$7*100)&amp;"% annually each September. ","")&amp;IF(ISBLANK('BP1'!Q32),"",'BP1'!Q32)</f>
        <v/>
      </c>
      <c r="B23" s="991"/>
      <c r="C23" s="991"/>
      <c r="D23" s="991"/>
      <c r="E23" s="991"/>
      <c r="F23" s="991"/>
      <c r="G23" s="991"/>
      <c r="H23" s="991"/>
      <c r="I23" s="532" t="str">
        <f>IF(SUM('Cumulative Budget'!H32:J32)&gt;0,(IF('BP1'!$K$5&gt;0,((IF('BP1'!H32&gt;0,CONCATENATE(IF('BP1'!H32&gt;0,TEXT('BP1'!H32,"0.00")&amp;" calendar month"&amp;IF('BP1'!H32&gt;1,"s",)&amp;" (or "&amp;TEXT('BP1'!H32/'BP1'!G32/ROUNDUP('BP1'!H32/'BP1'!G32,0),"0%")&amp;" calendar effort"&amp;IF('BP1'!H32&gt;12," each","")&amp;")",)),CONCATENATE(IF('BP1'!I32&gt;0,TEXT('BP1'!I32,"0.00")&amp;" academic month"&amp;IF('BP1'!I32&gt;1,"s",)&amp;" (or "&amp;TEXT('BP1'!I32/9,"0%")&amp;" academic effort)",),IF(AND('BP1'!I32&gt;0,'BP1'!J32&gt;0)," and ",),IF('BP1'!J32&gt;0,TEXT('BP1'!J32,"0.00")&amp;" summer month"&amp;IF('BP1'!J32&gt;1,"s",)&amp;" (or "&amp;TEXT('BP1'!J32/3,"0%")&amp;" summer effort)",))))),"")),"")</f>
        <v/>
      </c>
      <c r="J23" s="532" t="str">
        <f>IF(SUM('Cumulative Budget'!H32:J32)&gt;0,(IF('BP1'!$K$5&gt;1,((IF('BP2'!H32&gt;0,CONCATENATE(IF('BP2'!H32&gt;0,TEXT('BP2'!H32,"0.00")&amp;" calendar month"&amp;IF('BP2'!H32&gt;1,"s",)&amp;" (or "&amp;TEXT('BP2'!H32/'BP2'!G32/ROUNDUP('BP2'!H32/'BP2'!G32,0),"0%")&amp;" calendar effort"&amp;IF('BP2'!H32&gt;12," each","")&amp;")",)),CONCATENATE(IF('BP2'!I32&gt;0,TEXT('BP2'!I32,"0.00")&amp;" academic month"&amp;IF('BP2'!I32&gt;1,"s",)&amp;" (or "&amp;TEXT('BP2'!I32/9,"0%")&amp;" academic effort)",),IF(AND('BP2'!I32&gt;0,'BP2'!J32&gt;0)," and ",),IF('BP2'!J32&gt;0,TEXT('BP2'!J32,"0.00")&amp;" summer month"&amp;IF('BP2'!J32&gt;1,"s",)&amp;" (or "&amp;TEXT('BP2'!J32/3,"0%")&amp;" summer effort)",))))),"")),"")</f>
        <v/>
      </c>
      <c r="K23" s="532" t="str">
        <f>IF(SUM('Cumulative Budget'!H32:J32)&gt;0,(IF('BP1'!$K$5&gt;2,((IF('BP3'!H32&gt;0,CONCATENATE(IF('BP3'!H32&gt;0,TEXT('BP3'!H32,"0.00")&amp;" calendar month"&amp;IF('BP3'!H32&gt;1,"s",)&amp;" (or "&amp;TEXT('BP3'!H32/'BP3'!G32/ROUNDUP('BP3'!H32/'BP3'!G32,0),"0%")&amp;" calendar effort"&amp;IF('BP3'!H32&gt;12," each","")&amp;")",)),CONCATENATE(IF('BP3'!I32&gt;0,TEXT('BP3'!I32,"0.00")&amp;" academic month"&amp;IF('BP3'!I32&gt;1,"s",)&amp;" (or "&amp;TEXT('BP3'!I32/9,"0%")&amp;" academic effort)",),IF(AND('BP3'!I32&gt;0,'BP3'!J32&gt;0)," and ",),IF('BP3'!J32&gt;0,TEXT('BP3'!J32,"0.00")&amp;" summer month"&amp;IF('BP3'!J32&gt;1,"s",)&amp;" (or "&amp;TEXT('BP3'!J32/3,"0%")&amp;" summer effort)",))))),"")),"")</f>
        <v/>
      </c>
      <c r="L23" s="532" t="str">
        <f>IF(SUM('Cumulative Budget'!H32:J32)&gt;0,(IF('BP1'!$K$5&gt;3,((IF('BP4'!H32&gt;0,CONCATENATE(IF('BP4'!H32&gt;0,TEXT('BP4'!H32,"0.00")&amp;" calendar month"&amp;IF('BP4'!H32&gt;1,"s",)&amp;" (or "&amp;TEXT('BP4'!H32/'BP4'!G32/ROUNDUP('BP4'!H32/'BP4'!G32,0),"0%")&amp;" calendar effort"&amp;IF('BP4'!H32&gt;12," each","")&amp;")",)),CONCATENATE(IF('BP4'!I32&gt;0,TEXT('BP4'!I32,"0.00")&amp;" academic month"&amp;IF('BP4'!I32&gt;1,"s",)&amp;" (or "&amp;TEXT('BP4'!I32/9,"0%")&amp;" academic effort)",),IF(AND('BP4'!I32&gt;0,'BP4'!J32&gt;0)," and ",),IF('BP4'!J32&gt;0,TEXT('BP4'!J32,"0.00")&amp;" summer month"&amp;IF('BP4'!J32&gt;1,"s",)&amp;" (or "&amp;TEXT('BP4'!J32/3,"0%")&amp;" summer effort)",))))),"")),"")</f>
        <v/>
      </c>
      <c r="M23" s="532" t="str">
        <f>IF(SUM('Cumulative Budget'!H32:J32)&gt;0,(IF('BP1'!$K$5&gt;4,((IF('BP5'!H32&gt;0,CONCATENATE(IF('BP5'!H32&gt;0,TEXT('BP5'!H32,"0.00")&amp;" calendar month"&amp;IF('BP5'!H32&gt;1,"s",)&amp;" (or "&amp;TEXT('BP5'!H32/'BP5'!G32/ROUNDUP('BP5'!H32/'BP5'!G32,0),"0%")&amp;" calendar effort"&amp;IF('BP5'!H32&gt;12," each","")&amp;")",)),CONCATENATE(IF('BP5'!I32&gt;0,TEXT('BP5'!I32,"0.00")&amp;" academic month"&amp;IF('BP5'!I32&gt;1,"s",)&amp;" (or "&amp;TEXT('BP5'!I32/9,"0%")&amp;" academic effort)",),IF(AND('BP5'!I32&gt;0,'BP5'!J32&gt;0)," and ",),IF('BP5'!J32&gt;0,TEXT('BP5'!J32,"0.00")&amp;" summer month"&amp;IF('BP5'!J32&gt;1,"s",)&amp;" (or "&amp;TEXT('BP5'!J32/3,"0%")&amp;" summer effort)",))))),"")),"")</f>
        <v/>
      </c>
      <c r="N23" s="532" t="str">
        <f>IF(AND('BP1'!M32&gt;0,'BP1'!$A$5&gt;0),TEXT('BP1'!M32,"0.00")&amp;" cost-shared month"&amp;IF('BP1'!M32&gt;1,"s",)&amp;" (or "&amp;TEXT('BP1'!M32/'BP1'!G32/ROUNDUP('BP1'!M32/'BP1'!G32,0),"0%")&amp;" cost-shared effort"&amp;IF('BP1'!M32&gt;12," each","")&amp;")","")</f>
        <v/>
      </c>
      <c r="O23" s="532" t="str">
        <f>IF(AND('BP2'!M32&gt;0,'BP2'!$A$5&gt;0),TEXT('BP2'!M32,"0.00")&amp;" cost-shared month"&amp;IF('BP2'!M32&gt;1,"s",)&amp;" (or "&amp;TEXT('BP2'!M32/'BP2'!G32/ROUNDUP('BP2'!M32/'BP2'!G32,0),"0%")&amp;" cost-shared effort"&amp;IF('BP2'!M32&gt;12," each","")&amp;")","")</f>
        <v/>
      </c>
      <c r="P23" s="532" t="str">
        <f>IF(AND('BP3'!M32&gt;0,'BP3'!$A$5&gt;0),TEXT('BP3'!M32,"0.00")&amp;" cost-shared month"&amp;IF('BP3'!M32&gt;1,"s",)&amp;" (or "&amp;TEXT('BP3'!M32/'BP3'!G32/ROUNDUP('BP3'!M32/'BP3'!G32,0),"0%")&amp;" cost-shared effort"&amp;IF('BP3'!M32&gt;12," each","")&amp;")","")</f>
        <v/>
      </c>
      <c r="Q23" s="532" t="str">
        <f>IF(AND('BP4'!M32&gt;0,'BP4'!$A$5&gt;0),TEXT('BP4'!M32,"0.00")&amp;" cost-shared month"&amp;IF('BP4'!M32&gt;1,"s",)&amp;" (or "&amp;TEXT('BP4'!M32/'BP4'!G32/ROUNDUP('BP4'!M32/'BP4'!G32,0),"0%")&amp;" cost-shared effort"&amp;IF('BP4'!M32&gt;12," each","")&amp;")","")</f>
        <v/>
      </c>
      <c r="R23" s="532" t="str">
        <f>IF(AND('BP5'!M32&gt;0,'BP5'!$A$5&gt;0),TEXT('BP5'!M32,"0.00")&amp;" cost-shared month"&amp;IF('BP5'!M32&gt;1,"s",)&amp;" (or "&amp;TEXT('BP5'!M32/'BP5'!G32/ROUNDUP('BP5'!M32/'BP5'!G32,0),"0%")&amp;" cost-shared effort"&amp;IF('BP5'!M32&gt;12," each","")&amp;")","")</f>
        <v/>
      </c>
      <c r="S23" s="236" t="str">
        <f>IF(AND('BP1'!$K$5=2,I23&lt;&gt;J23),"Note: Effort changes in the outyears!","")&amp;IF(AND('BP1'!$K$5=3,OR(I23&lt;&gt;J23,I23&lt;&gt;K23,J23&lt;&gt;K23)),"Note: Effort changes in the outyears!","")&amp;IF(AND('BP1'!$K$5=4,OR(I23&lt;&gt;J23,I23&lt;&gt;K23,I23&lt;&gt;L23,J23&lt;&gt;K23,J23&lt;&gt;L23,K23&lt;&gt;L23)),"Note: Effort changes in the outyears!","")&amp;IF(AND('BP1'!$K$5=5,OR(I23&lt;&gt;J23,I23&lt;&gt;K23,I23&lt;&gt;L23,I23&lt;&gt;M23,J23&lt;&gt;K23,J23&lt;&gt;L23,J23&lt;&gt;M23,K23&lt;&gt;L23,K23&lt;&gt;M23,L23&lt;&gt;M23)),"Note: Effort changes in the outyears!","")</f>
        <v/>
      </c>
      <c r="T23" s="236" t="str">
        <f>IF(AND('BP1'!$K$5=2,N23&lt;&gt;O23),"Note: Effort changes in the outyears!","")&amp;IF(AND('BP1'!$K$5=3,OR(N23&lt;&gt;O23,N23&lt;&gt;P23,O23&lt;&gt;P23)),"Note: Effort changes in the outyears!","")&amp;IF(AND('BP1'!$K$5=4,OR(N23&lt;&gt;O23,N23&lt;&gt;P23,N23&lt;&gt;Q23,O23&lt;&gt;P23,O23&lt;&gt;Q23,P23&lt;&gt;Q23)),"Note: Effort changes in the outyears!","")&amp;IF(AND('BP1'!$K$5=5,OR(N23&lt;&gt;O23,N23&lt;&gt;P23,N23&lt;&gt;Q23,N23&lt;&gt;R23,O23&lt;&gt;P23,O23&lt;&gt;Q23,O23&lt;&gt;R23,P23&lt;&gt;Q23,P23&lt;&gt;R23,Q23&lt;&gt;R23)),"Note: Effort changes in the outyears!","")</f>
        <v/>
      </c>
      <c r="U23" s="691" t="str">
        <f t="shared" ca="1" si="1"/>
        <v>Blank</v>
      </c>
    </row>
    <row r="24" spans="1:21" ht="60" customHeight="1">
      <c r="A24" s="991" t="str">
        <f ca="1">IF('Cumulative Budget'!H33+'Cumulative Budget'!I33+'Cumulative Budget'!J33&gt;0,IF(S24="Note: Effort changes in the outyears!",IF(I24&lt;&gt;"",I24&amp;" in Budget Period 1","")&amp;IF(AND(I24&lt;&gt;"",J24&lt;&gt;""),"; ","")&amp;IF(J24&lt;&gt;"",J24&amp;" in Budget Period 2","")&amp;IF(AND(OR(I24&lt;&gt;"",J24&lt;&gt;""),K24&lt;&gt;""),"; ","")&amp;IF(K24&lt;&gt;"",K24&amp;" in Budget Period 3","")&amp;IF(AND(OR(I24&lt;&gt;"",J24&lt;&gt;"",K24&lt;&gt;""),L24&lt;&gt;""),"; ","")&amp;IF(L24&lt;&gt;"",L24&amp;" in Budget Period 4","")&amp;IF(AND(OR(I24&lt;&gt;"",J24&lt;&gt;"",K24&lt;&gt;"",L24&lt;&gt;""),M24&lt;&gt;""),"; ","")&amp;IF(M24&lt;&gt;"",M24&amp;" in Budget Period 5","")&amp;" for "&amp;ROUNDUP('BP1'!H33/'BP1'!G33,0)&amp;" "&amp;'BP1'!D33&amp;" is requested. ",I24&amp;" for "&amp;ROUNDUP('BP1'!H33/'BP1'!G33,0)&amp;" "&amp;'BP1'!D33&amp;" is requested"&amp;IF('BP1'!$K$5&gt;1," each budget period for "&amp;'BP1'!$K$5&amp;" budget periods. ",". ")),"")&amp;IF('Cumulative Budget'!N33&gt;0,IF(T24="Note: Effort changes in the outyears!",IF(N24&lt;&gt;"",N24&amp;" in Budget Period 1","")&amp;IF(AND(N24&lt;&gt;"",O24&lt;&gt;""),"; ","")&amp;IF(O24&lt;&gt;"",O24&amp;" in Budget Period 2","")&amp;IF(AND(OR(N24&lt;&gt;"",O24&lt;&gt;""),P24&lt;&gt;""),"; ","")&amp;IF(P24&lt;&gt;"",P24&amp;" in Budget Period 3","")&amp;IF(AND(OR(N24&lt;&gt;"",O24&lt;&gt;"",P24&lt;&gt;""),Q24&lt;&gt;""),"; ","")&amp;IF(Q24&lt;&gt;"",Q24&amp;" in Budget Period 4","")&amp;IF(AND(OR(N24&lt;&gt;"",O24&lt;&gt;"",P24&lt;&gt;"",Q24&lt;&gt;""),R24&lt;&gt;""),"; ","")&amp;IF(R24&lt;&gt;"",R24&amp;" in Budget Period 5","")&amp;" for "&amp;ROUNDUP('BP1'!M33/'BP1'!G33,0)&amp;" "&amp;'BP1'!D33&amp;" is requested. ",N24&amp;" for "&amp;ROUNDUP('BP1'!M33/'BP1'!G33,0)&amp;" "&amp;'BP1'!D33&amp;" is requested"&amp;IF('BP1'!$K$5&gt;1," each budget period for "&amp;'BP1'!$K$5&amp;" budget periods. ",". ")),"")&amp;IF(AND('BP1'!$K$5&gt;1,'BP1'!$K$7&gt;0,OR('Cumulative Budget'!H33+'Cumulative Budget'!M33&gt;0)),"Salary is inflated by "&amp;('BP1'!$K$7*100)&amp;"% annually each September. ","")&amp;IF(ISBLANK('BP1'!Q33),"",'BP1'!Q33)</f>
        <v/>
      </c>
      <c r="B24" s="991"/>
      <c r="C24" s="991"/>
      <c r="D24" s="991"/>
      <c r="E24" s="991"/>
      <c r="F24" s="991"/>
      <c r="G24" s="991"/>
      <c r="H24" s="991"/>
      <c r="I24" s="615" t="str">
        <f>IF(SUM('Cumulative Budget'!H33:J33)&gt;0,(IF('BP1'!$K$5&gt;0,((IF('BP1'!H33&gt;0,CONCATENATE(IF('BP1'!H33&gt;0,TEXT('BP1'!H33,"0.00")&amp;" calendar month"&amp;IF('BP1'!H33&gt;1,"s",)&amp;" (or "&amp;TEXT('BP1'!H33/'BP1'!G33/ROUNDUP('BP1'!H33/'BP1'!G33,0),"0%")&amp;" calendar effort"&amp;IF('BP1'!H33&gt;12," each","")&amp;")",)),CONCATENATE(IF('BP1'!I33&gt;0,TEXT('BP1'!I33,"0.00")&amp;" academic month"&amp;IF('BP1'!I33&gt;1,"s",)&amp;" (or "&amp;TEXT('BP1'!I33/9,"0%")&amp;" academic effort)",),IF(AND('BP1'!I33&gt;0,'BP1'!J33&gt;0)," and ",),IF('BP1'!J33&gt;0,TEXT('BP1'!J33,"0.00")&amp;" summer month"&amp;IF('BP1'!J33&gt;1,"s",)&amp;" (or "&amp;TEXT('BP1'!J33/3,"0%")&amp;" summer effort)",))))),"")),"")</f>
        <v/>
      </c>
      <c r="J24" s="615" t="str">
        <f>IF(SUM('Cumulative Budget'!H33:J33)&gt;0,(IF('BP1'!$K$5&gt;1,((IF('BP2'!H33&gt;0,CONCATENATE(IF('BP2'!H33&gt;0,TEXT('BP2'!H33,"0.00")&amp;" calendar month"&amp;IF('BP2'!H33&gt;1,"s",)&amp;" (or "&amp;TEXT('BP2'!H33/'BP2'!G33/ROUNDUP('BP2'!H33/'BP2'!G33,0),"0%")&amp;" calendar effort"&amp;IF('BP2'!H33&gt;12," each","")&amp;")",)),CONCATENATE(IF('BP2'!I33&gt;0,TEXT('BP2'!I33,"0.00")&amp;" academic month"&amp;IF('BP2'!I33&gt;1,"s",)&amp;" (or "&amp;TEXT('BP2'!I33/9,"0%")&amp;" academic effort)",),IF(AND('BP2'!I33&gt;0,'BP2'!J33&gt;0)," and ",),IF('BP2'!J33&gt;0,TEXT('BP2'!J33,"0.00")&amp;" summer month"&amp;IF('BP2'!J33&gt;1,"s",)&amp;" (or "&amp;TEXT('BP2'!J33/3,"0%")&amp;" summer effort)",))))),"")),"")</f>
        <v/>
      </c>
      <c r="K24" s="615" t="str">
        <f>IF(SUM('Cumulative Budget'!H33:J33)&gt;0,(IF('BP1'!$K$5&gt;2,((IF('BP3'!H33&gt;0,CONCATENATE(IF('BP3'!H33&gt;0,TEXT('BP3'!H33,"0.00")&amp;" calendar month"&amp;IF('BP3'!H33&gt;1,"s",)&amp;" (or "&amp;TEXT('BP3'!H33/'BP3'!G33/ROUNDUP('BP3'!H33/'BP3'!G33,0),"0%")&amp;" calendar effort"&amp;IF('BP3'!H33&gt;12," each","")&amp;")",)),CONCATENATE(IF('BP3'!I33&gt;0,TEXT('BP3'!I33,"0.00")&amp;" academic month"&amp;IF('BP3'!I33&gt;1,"s",)&amp;" (or "&amp;TEXT('BP3'!I33/9,"0%")&amp;" academic effort)",),IF(AND('BP3'!I33&gt;0,'BP3'!J33&gt;0)," and ",),IF('BP3'!J33&gt;0,TEXT('BP3'!J33,"0.00")&amp;" summer month"&amp;IF('BP3'!J33&gt;1,"s",)&amp;" (or "&amp;TEXT('BP3'!J33/3,"0%")&amp;" summer effort)",))))),"")),"")</f>
        <v/>
      </c>
      <c r="L24" s="615" t="str">
        <f>IF(SUM('Cumulative Budget'!H33:J33)&gt;0,(IF('BP1'!$K$5&gt;3,((IF('BP4'!H33&gt;0,CONCATENATE(IF('BP4'!H33&gt;0,TEXT('BP4'!H33,"0.00")&amp;" calendar month"&amp;IF('BP4'!H33&gt;1,"s",)&amp;" (or "&amp;TEXT('BP4'!H33/'BP4'!G33/ROUNDUP('BP4'!H33/'BP4'!G33,0),"0%")&amp;" calendar effort"&amp;IF('BP4'!H33&gt;12," each","")&amp;")",)),CONCATENATE(IF('BP4'!I33&gt;0,TEXT('BP4'!I33,"0.00")&amp;" academic month"&amp;IF('BP4'!I33&gt;1,"s",)&amp;" (or "&amp;TEXT('BP4'!I33/9,"0%")&amp;" academic effort)",),IF(AND('BP4'!I33&gt;0,'BP4'!J33&gt;0)," and ",),IF('BP4'!J33&gt;0,TEXT('BP4'!J33,"0.00")&amp;" summer month"&amp;IF('BP4'!J33&gt;1,"s",)&amp;" (or "&amp;TEXT('BP4'!J33/3,"0%")&amp;" summer effort)",))))),"")),"")</f>
        <v/>
      </c>
      <c r="M24" s="615" t="str">
        <f>IF(SUM('Cumulative Budget'!H33:J33)&gt;0,(IF('BP1'!$K$5&gt;4,((IF('BP5'!H33&gt;0,CONCATENATE(IF('BP5'!H33&gt;0,TEXT('BP5'!H33,"0.00")&amp;" calendar month"&amp;IF('BP5'!H33&gt;1,"s",)&amp;" (or "&amp;TEXT('BP5'!H33/'BP5'!G33/ROUNDUP('BP5'!H33/'BP5'!G33,0),"0%")&amp;" calendar effort"&amp;IF('BP5'!H33&gt;12," each","")&amp;")",)),CONCATENATE(IF('BP5'!I33&gt;0,TEXT('BP5'!I33,"0.00")&amp;" academic month"&amp;IF('BP5'!I33&gt;1,"s",)&amp;" (or "&amp;TEXT('BP5'!I33/9,"0%")&amp;" academic effort)",),IF(AND('BP5'!I33&gt;0,'BP5'!J33&gt;0)," and ",),IF('BP5'!J33&gt;0,TEXT('BP5'!J33,"0.00")&amp;" summer month"&amp;IF('BP5'!J33&gt;1,"s",)&amp;" (or "&amp;TEXT('BP5'!J33/3,"0%")&amp;" summer effort)",))))),"")),"")</f>
        <v/>
      </c>
      <c r="N24" s="615" t="str">
        <f>IF(AND('BP1'!M33&gt;0,'BP1'!$A$5&gt;0),TEXT('BP1'!M33,"0.00")&amp;" cost-shared month"&amp;IF('BP1'!M33&gt;1,"s",)&amp;" (or "&amp;TEXT('BP1'!M33/'BP1'!G33/ROUNDUP('BP1'!M33/'BP1'!G33,0),"0%")&amp;" cost-shared effort"&amp;IF('BP1'!M33&gt;12," each","")&amp;")","")</f>
        <v/>
      </c>
      <c r="O24" s="615" t="str">
        <f>IF(AND('BP2'!M33&gt;0,'BP2'!$A$5&gt;0),TEXT('BP2'!M33,"0.00")&amp;" cost-shared month"&amp;IF('BP2'!M33&gt;1,"s",)&amp;" (or "&amp;TEXT('BP2'!M33/'BP2'!G33/ROUNDUP('BP2'!M33/'BP2'!G33,0),"0%")&amp;" cost-shared effort"&amp;IF('BP2'!M33&gt;12," each","")&amp;")","")</f>
        <v/>
      </c>
      <c r="P24" s="615" t="str">
        <f>IF(AND('BP3'!M33&gt;0,'BP3'!$A$5&gt;0),TEXT('BP3'!M33,"0.00")&amp;" cost-shared month"&amp;IF('BP3'!M33&gt;1,"s",)&amp;" (or "&amp;TEXT('BP3'!M33/'BP3'!G33/ROUNDUP('BP3'!M33/'BP3'!G33,0),"0%")&amp;" cost-shared effort"&amp;IF('BP3'!M33&gt;12," each","")&amp;")","")</f>
        <v/>
      </c>
      <c r="Q24" s="615" t="str">
        <f>IF(AND('BP4'!M33&gt;0,'BP4'!$A$5&gt;0),TEXT('BP4'!M33,"0.00")&amp;" cost-shared month"&amp;IF('BP4'!M33&gt;1,"s",)&amp;" (or "&amp;TEXT('BP4'!M33/'BP4'!G33/ROUNDUP('BP4'!M33/'BP4'!G33,0),"0%")&amp;" cost-shared effort"&amp;IF('BP4'!M33&gt;12," each","")&amp;")","")</f>
        <v/>
      </c>
      <c r="R24" s="615" t="str">
        <f>IF(AND('BP5'!M33&gt;0,'BP5'!$A$5&gt;0),TEXT('BP5'!M33,"0.00")&amp;" cost-shared month"&amp;IF('BP5'!M33&gt;1,"s",)&amp;" (or "&amp;TEXT('BP5'!M33/'BP5'!G33/ROUNDUP('BP5'!M33/'BP5'!G33,0),"0%")&amp;" cost-shared effort"&amp;IF('BP5'!M33&gt;12," each","")&amp;")","")</f>
        <v/>
      </c>
      <c r="S24" s="236" t="str">
        <f>IF(AND('BP1'!$K$5=2,I24&lt;&gt;J24),"Note: Effort changes in the outyears!","")&amp;IF(AND('BP1'!$K$5=3,OR(I24&lt;&gt;J24,I24&lt;&gt;K24,J24&lt;&gt;K24)),"Note: Effort changes in the outyears!","")&amp;IF(AND('BP1'!$K$5=4,OR(I24&lt;&gt;J24,I24&lt;&gt;K24,I24&lt;&gt;L24,J24&lt;&gt;K24,J24&lt;&gt;L24,K24&lt;&gt;L24)),"Note: Effort changes in the outyears!","")&amp;IF(AND('BP1'!$K$5=5,OR(I24&lt;&gt;J24,I24&lt;&gt;K24,I24&lt;&gt;L24,I24&lt;&gt;M24,J24&lt;&gt;K24,J24&lt;&gt;L24,J24&lt;&gt;M24,K24&lt;&gt;L24,K24&lt;&gt;M24,L24&lt;&gt;M24)),"Note: Effort changes in the outyears!","")</f>
        <v/>
      </c>
      <c r="T24" s="236" t="str">
        <f>IF(AND('BP1'!$K$5=2,N24&lt;&gt;O24),"Note: Effort changes in the outyears!","")&amp;IF(AND('BP1'!$K$5=3,OR(N24&lt;&gt;O24,N24&lt;&gt;P24,O24&lt;&gt;P24)),"Note: Effort changes in the outyears!","")&amp;IF(AND('BP1'!$K$5=4,OR(N24&lt;&gt;O24,N24&lt;&gt;P24,N24&lt;&gt;Q24,O24&lt;&gt;P24,O24&lt;&gt;Q24,P24&lt;&gt;Q24)),"Note: Effort changes in the outyears!","")&amp;IF(AND('BP1'!$K$5=5,OR(N24&lt;&gt;O24,N24&lt;&gt;P24,N24&lt;&gt;Q24,N24&lt;&gt;R24,O24&lt;&gt;P24,O24&lt;&gt;Q24,O24&lt;&gt;R24,P24&lt;&gt;Q24,P24&lt;&gt;R24,Q24&lt;&gt;R24)),"Note: Effort changes in the outyears!","")</f>
        <v/>
      </c>
      <c r="U24" s="691" t="str">
        <f t="shared" ca="1" si="1"/>
        <v>Blank</v>
      </c>
    </row>
    <row r="25" spans="1:21" ht="60" customHeight="1">
      <c r="A25" s="991" t="str">
        <f ca="1">IF('Cumulative Budget'!H34+'Cumulative Budget'!I34+'Cumulative Budget'!J34&gt;0,IF(S25="Note: Effort changes in the outyears!",IF(I25&lt;&gt;"",I25&amp;" in Budget Period 1","")&amp;IF(AND(I25&lt;&gt;"",J25&lt;&gt;""),"; ","")&amp;IF(J25&lt;&gt;"",J25&amp;" in Budget Period 2","")&amp;IF(AND(OR(I25&lt;&gt;"",J25&lt;&gt;""),K25&lt;&gt;""),"; ","")&amp;IF(K25&lt;&gt;"",K25&amp;" in Budget Period 3","")&amp;IF(AND(OR(I25&lt;&gt;"",J25&lt;&gt;"",K25&lt;&gt;""),L25&lt;&gt;""),"; ","")&amp;IF(L25&lt;&gt;"",L25&amp;" in Budget Period 4","")&amp;IF(AND(OR(I25&lt;&gt;"",J25&lt;&gt;"",K25&lt;&gt;"",L25&lt;&gt;""),M25&lt;&gt;""),"; ","")&amp;IF(M25&lt;&gt;"",M25&amp;" in Budget Period 5","")&amp;" for "&amp;ROUNDUP('BP1'!H34/'BP1'!G34,0)&amp;" "&amp;'BP1'!D34&amp;" is requested. ",I25&amp;" for "&amp;ROUNDUP('BP1'!H34/'BP1'!G34,0)&amp;" "&amp;'BP1'!D34&amp;" is requested"&amp;IF('BP1'!$K$5&gt;1," each budget period for "&amp;'BP1'!$K$5&amp;" budget periods. ",". ")),"")&amp;IF('Cumulative Budget'!N34&gt;0,IF(T25="Note: Effort changes in the outyears!",IF(N25&lt;&gt;"",N25&amp;" in Budget Period 1","")&amp;IF(AND(N25&lt;&gt;"",O25&lt;&gt;""),"; ","")&amp;IF(O25&lt;&gt;"",O25&amp;" in Budget Period 2","")&amp;IF(AND(OR(N25&lt;&gt;"",O25&lt;&gt;""),P25&lt;&gt;""),"; ","")&amp;IF(P25&lt;&gt;"",P25&amp;" in Budget Period 3","")&amp;IF(AND(OR(N25&lt;&gt;"",O25&lt;&gt;"",P25&lt;&gt;""),Q25&lt;&gt;""),"; ","")&amp;IF(Q25&lt;&gt;"",Q25&amp;" in Budget Period 4","")&amp;IF(AND(OR(N25&lt;&gt;"",O25&lt;&gt;"",P25&lt;&gt;"",Q25&lt;&gt;""),R25&lt;&gt;""),"; ","")&amp;IF(R25&lt;&gt;"",R25&amp;" in Budget Period 5","")&amp;" for "&amp;ROUNDUP('BP1'!M34/'BP1'!G34,0)&amp;" "&amp;'BP1'!D34&amp;" is requested. ",N25&amp;" for "&amp;ROUNDUP('BP1'!M34/'BP1'!G34,0)&amp;" "&amp;'BP1'!D34&amp;" is requested"&amp;IF('BP1'!$K$5&gt;1," each budget period for "&amp;'BP1'!$K$5&amp;" budget periods. ",". ")),"")&amp;IF(AND('BP1'!$K$5&gt;1,'BP1'!$K$7&gt;0,OR('Cumulative Budget'!H34+'Cumulative Budget'!M34&gt;0)),"Salary is inflated by "&amp;('BP1'!$K$7*100)&amp;"% annually each September. ","")&amp;IF(ISBLANK('BP1'!Q34),"",'BP1'!Q34)</f>
        <v/>
      </c>
      <c r="B25" s="991"/>
      <c r="C25" s="991"/>
      <c r="D25" s="991"/>
      <c r="E25" s="991"/>
      <c r="F25" s="991"/>
      <c r="G25" s="991"/>
      <c r="H25" s="991"/>
      <c r="I25" s="615" t="str">
        <f>IF(SUM('Cumulative Budget'!H34:J34)&gt;0,(IF('BP1'!$K$5&gt;0,((IF('BP1'!H34&gt;0,CONCATENATE(IF('BP1'!H34&gt;0,TEXT('BP1'!H34,"0.00")&amp;" calendar month"&amp;IF('BP1'!H34&gt;1,"s",)&amp;" (or "&amp;TEXT('BP1'!H34/'BP1'!G34/ROUNDUP('BP1'!H34/'BP1'!G34,0),"0%")&amp;" calendar effort"&amp;IF('BP1'!H34&gt;12," each","")&amp;")",)),CONCATENATE(IF('BP1'!I34&gt;0,TEXT('BP1'!I34,"0.00")&amp;" academic month"&amp;IF('BP1'!I34&gt;1,"s",)&amp;" (or "&amp;TEXT('BP1'!I34/9,"0%")&amp;" academic effort)",),IF(AND('BP1'!I34&gt;0,'BP1'!J34&gt;0)," and ",),IF('BP1'!J34&gt;0,TEXT('BP1'!J34,"0.00")&amp;" summer month"&amp;IF('BP1'!J34&gt;1,"s",)&amp;" (or "&amp;TEXT('BP1'!J34/3,"0%")&amp;" summer effort)",))))),"")),"")</f>
        <v/>
      </c>
      <c r="J25" s="615" t="str">
        <f>IF(SUM('Cumulative Budget'!H34:J34)&gt;0,(IF('BP1'!$K$5&gt;1,((IF('BP2'!H34&gt;0,CONCATENATE(IF('BP2'!H34&gt;0,TEXT('BP2'!H34,"0.00")&amp;" calendar month"&amp;IF('BP2'!H34&gt;1,"s",)&amp;" (or "&amp;TEXT('BP2'!H34/'BP2'!G34/ROUNDUP('BP2'!H34/'BP2'!G34,0),"0%")&amp;" calendar effort"&amp;IF('BP2'!H34&gt;12," each","")&amp;")",)),CONCATENATE(IF('BP2'!I34&gt;0,TEXT('BP2'!I34,"0.00")&amp;" academic month"&amp;IF('BP2'!I34&gt;1,"s",)&amp;" (or "&amp;TEXT('BP2'!I34/9,"0%")&amp;" academic effort)",),IF(AND('BP2'!I34&gt;0,'BP2'!J34&gt;0)," and ",),IF('BP2'!J34&gt;0,TEXT('BP2'!J34,"0.00")&amp;" summer month"&amp;IF('BP2'!J34&gt;1,"s",)&amp;" (or "&amp;TEXT('BP2'!J34/3,"0%")&amp;" summer effort)",))))),"")),"")</f>
        <v/>
      </c>
      <c r="K25" s="615" t="str">
        <f>IF(SUM('Cumulative Budget'!H34:J34)&gt;0,(IF('BP1'!$K$5&gt;2,((IF('BP3'!H34&gt;0,CONCATENATE(IF('BP3'!H34&gt;0,TEXT('BP3'!H34,"0.00")&amp;" calendar month"&amp;IF('BP3'!H34&gt;1,"s",)&amp;" (or "&amp;TEXT('BP3'!H34/'BP3'!G34/ROUNDUP('BP3'!H34/'BP3'!G34,0),"0%")&amp;" calendar effort"&amp;IF('BP3'!H34&gt;12," each","")&amp;")",)),CONCATENATE(IF('BP3'!I34&gt;0,TEXT('BP3'!I34,"0.00")&amp;" academic month"&amp;IF('BP3'!I34&gt;1,"s",)&amp;" (or "&amp;TEXT('BP3'!I34/9,"0%")&amp;" academic effort)",),IF(AND('BP3'!I34&gt;0,'BP3'!J34&gt;0)," and ",),IF('BP3'!J34&gt;0,TEXT('BP3'!J34,"0.00")&amp;" summer month"&amp;IF('BP3'!J34&gt;1,"s",)&amp;" (or "&amp;TEXT('BP3'!J34/3,"0%")&amp;" summer effort)",))))),"")),"")</f>
        <v/>
      </c>
      <c r="L25" s="615" t="str">
        <f>IF(SUM('Cumulative Budget'!H34:J34)&gt;0,(IF('BP1'!$K$5&gt;3,((IF('BP4'!H34&gt;0,CONCATENATE(IF('BP4'!H34&gt;0,TEXT('BP4'!H34,"0.00")&amp;" calendar month"&amp;IF('BP4'!H34&gt;1,"s",)&amp;" (or "&amp;TEXT('BP4'!H34/'BP4'!G34/ROUNDUP('BP4'!H34/'BP4'!G34,0),"0%")&amp;" calendar effort"&amp;IF('BP4'!H34&gt;12," each","")&amp;")",)),CONCATENATE(IF('BP4'!I34&gt;0,TEXT('BP4'!I34,"0.00")&amp;" academic month"&amp;IF('BP4'!I34&gt;1,"s",)&amp;" (or "&amp;TEXT('BP4'!I34/9,"0%")&amp;" academic effort)",),IF(AND('BP4'!I34&gt;0,'BP4'!J34&gt;0)," and ",),IF('BP4'!J34&gt;0,TEXT('BP4'!J34,"0.00")&amp;" summer month"&amp;IF('BP4'!J34&gt;1,"s",)&amp;" (or "&amp;TEXT('BP4'!J34/3,"0%")&amp;" summer effort)",))))),"")),"")</f>
        <v/>
      </c>
      <c r="M25" s="615" t="str">
        <f>IF(SUM('Cumulative Budget'!H34:J34)&gt;0,(IF('BP1'!$K$5&gt;4,((IF('BP5'!H34&gt;0,CONCATENATE(IF('BP5'!H34&gt;0,TEXT('BP5'!H34,"0.00")&amp;" calendar month"&amp;IF('BP5'!H34&gt;1,"s",)&amp;" (or "&amp;TEXT('BP5'!H34/'BP5'!G34/ROUNDUP('BP5'!H34/'BP5'!G34,0),"0%")&amp;" calendar effort"&amp;IF('BP5'!H34&gt;12," each","")&amp;")",)),CONCATENATE(IF('BP5'!I34&gt;0,TEXT('BP5'!I34,"0.00")&amp;" academic month"&amp;IF('BP5'!I34&gt;1,"s",)&amp;" (or "&amp;TEXT('BP5'!I34/9,"0%")&amp;" academic effort)",),IF(AND('BP5'!I34&gt;0,'BP5'!J34&gt;0)," and ",),IF('BP5'!J34&gt;0,TEXT('BP5'!J34,"0.00")&amp;" summer month"&amp;IF('BP5'!J34&gt;1,"s",)&amp;" (or "&amp;TEXT('BP5'!J34/3,"0%")&amp;" summer effort)",))))),"")),"")</f>
        <v/>
      </c>
      <c r="N25" s="615" t="str">
        <f>IF(AND('BP1'!M34&gt;0,'BP1'!$A$5&gt;0),TEXT('BP1'!M34,"0.00")&amp;" cost-shared month"&amp;IF('BP1'!M34&gt;1,"s",)&amp;" (or "&amp;TEXT('BP1'!M34/'BP1'!G34/ROUNDUP('BP1'!M34/'BP1'!G34,0),"0%")&amp;" cost-shared effort"&amp;IF('BP1'!M34&gt;12," each","")&amp;")","")</f>
        <v/>
      </c>
      <c r="O25" s="615" t="str">
        <f>IF(AND('BP2'!M34&gt;0,'BP2'!$A$5&gt;0),TEXT('BP2'!M34,"0.00")&amp;" cost-shared month"&amp;IF('BP2'!M34&gt;1,"s",)&amp;" (or "&amp;TEXT('BP2'!M34/'BP2'!G34/ROUNDUP('BP2'!M34/'BP2'!G34,0),"0%")&amp;" cost-shared effort"&amp;IF('BP2'!M34&gt;12," each","")&amp;")","")</f>
        <v/>
      </c>
      <c r="P25" s="615" t="str">
        <f>IF(AND('BP3'!M34&gt;0,'BP3'!$A$5&gt;0),TEXT('BP3'!M34,"0.00")&amp;" cost-shared month"&amp;IF('BP3'!M34&gt;1,"s",)&amp;" (or "&amp;TEXT('BP3'!M34/'BP3'!G34/ROUNDUP('BP3'!M34/'BP3'!G34,0),"0%")&amp;" cost-shared effort"&amp;IF('BP3'!M34&gt;12," each","")&amp;")","")</f>
        <v/>
      </c>
      <c r="Q25" s="615" t="str">
        <f>IF(AND('BP4'!M34&gt;0,'BP4'!$A$5&gt;0),TEXT('BP4'!M34,"0.00")&amp;" cost-shared month"&amp;IF('BP4'!M34&gt;1,"s",)&amp;" (or "&amp;TEXT('BP4'!M34/'BP4'!G34/ROUNDUP('BP4'!M34/'BP4'!G34,0),"0%")&amp;" cost-shared effort"&amp;IF('BP4'!M34&gt;12," each","")&amp;")","")</f>
        <v/>
      </c>
      <c r="R25" s="615" t="str">
        <f>IF(AND('BP5'!M34&gt;0,'BP5'!$A$5&gt;0),TEXT('BP5'!M34,"0.00")&amp;" cost-shared month"&amp;IF('BP5'!M34&gt;1,"s",)&amp;" (or "&amp;TEXT('BP5'!M34/'BP5'!G34/ROUNDUP('BP5'!M34/'BP5'!G34,0),"0%")&amp;" cost-shared effort"&amp;IF('BP5'!M34&gt;12," each","")&amp;")","")</f>
        <v/>
      </c>
      <c r="S25" s="236" t="str">
        <f>IF(AND('BP1'!$K$5=2,I25&lt;&gt;J25),"Note: Effort changes in the outyears!","")&amp;IF(AND('BP1'!$K$5=3,OR(I25&lt;&gt;J25,I25&lt;&gt;K25,J25&lt;&gt;K25)),"Note: Effort changes in the outyears!","")&amp;IF(AND('BP1'!$K$5=4,OR(I25&lt;&gt;J25,I25&lt;&gt;K25,I25&lt;&gt;L25,J25&lt;&gt;K25,J25&lt;&gt;L25,K25&lt;&gt;L25)),"Note: Effort changes in the outyears!","")&amp;IF(AND('BP1'!$K$5=5,OR(I25&lt;&gt;J25,I25&lt;&gt;K25,I25&lt;&gt;L25,I25&lt;&gt;M25,J25&lt;&gt;K25,J25&lt;&gt;L25,J25&lt;&gt;M25,K25&lt;&gt;L25,K25&lt;&gt;M25,L25&lt;&gt;M25)),"Note: Effort changes in the outyears!","")</f>
        <v/>
      </c>
      <c r="T25" s="236" t="str">
        <f>IF(AND('BP1'!$K$5=2,N25&lt;&gt;O25),"Note: Effort changes in the outyears!","")&amp;IF(AND('BP1'!$K$5=3,OR(N25&lt;&gt;O25,N25&lt;&gt;P25,O25&lt;&gt;P25)),"Note: Effort changes in the outyears!","")&amp;IF(AND('BP1'!$K$5=4,OR(N25&lt;&gt;O25,N25&lt;&gt;P25,N25&lt;&gt;Q25,O25&lt;&gt;P25,O25&lt;&gt;Q25,P25&lt;&gt;Q25)),"Note: Effort changes in the outyears!","")&amp;IF(AND('BP1'!$K$5=5,OR(N25&lt;&gt;O25,N25&lt;&gt;P25,N25&lt;&gt;Q25,N25&lt;&gt;R25,O25&lt;&gt;P25,O25&lt;&gt;Q25,O25&lt;&gt;R25,P25&lt;&gt;Q25,P25&lt;&gt;R25,Q25&lt;&gt;R25)),"Note: Effort changes in the outyears!","")</f>
        <v/>
      </c>
      <c r="U25" s="691" t="str">
        <f t="shared" ca="1" si="1"/>
        <v>Blank</v>
      </c>
    </row>
    <row r="26" spans="1:21" ht="60" customHeight="1">
      <c r="A26" s="991" t="str">
        <f ca="1">IF('Cumulative Budget'!H35+'Cumulative Budget'!I35+'Cumulative Budget'!J35&gt;0,IF(S26="Note: Effort changes in the outyears!",IF(I26&lt;&gt;"",I26&amp;" in Budget Period 1","")&amp;IF(AND(I26&lt;&gt;"",J26&lt;&gt;""),"; ","")&amp;IF(J26&lt;&gt;"",J26&amp;" in Budget Period 2","")&amp;IF(AND(OR(I26&lt;&gt;"",J26&lt;&gt;""),K26&lt;&gt;""),"; ","")&amp;IF(K26&lt;&gt;"",K26&amp;" in Budget Period 3","")&amp;IF(AND(OR(I26&lt;&gt;"",J26&lt;&gt;"",K26&lt;&gt;""),L26&lt;&gt;""),"; ","")&amp;IF(L26&lt;&gt;"",L26&amp;" in Budget Period 4","")&amp;IF(AND(OR(I26&lt;&gt;"",J26&lt;&gt;"",K26&lt;&gt;"",L26&lt;&gt;""),M26&lt;&gt;""),"; ","")&amp;IF(M26&lt;&gt;"",M26&amp;" in Budget Period 5","")&amp;" for "&amp;ROUNDUP('BP1'!H35/'BP1'!G35,0)&amp;" "&amp;'BP1'!D35&amp;" is requested. ",I26&amp;" for "&amp;ROUNDUP('BP1'!H35/'BP1'!G35,0)&amp;" "&amp;'BP1'!D35&amp;" is requested"&amp;IF('BP1'!$K$5&gt;1," each budget period for "&amp;'BP1'!$K$5&amp;" budget periods. ",". ")),"")&amp;IF('Cumulative Budget'!N35&gt;0,IF(T26="Note: Effort changes in the outyears!",IF(N26&lt;&gt;"",N26&amp;" in Budget Period 1","")&amp;IF(AND(N26&lt;&gt;"",O26&lt;&gt;""),"; ","")&amp;IF(O26&lt;&gt;"",O26&amp;" in Budget Period 2","")&amp;IF(AND(OR(N26&lt;&gt;"",O26&lt;&gt;""),P26&lt;&gt;""),"; ","")&amp;IF(P26&lt;&gt;"",P26&amp;" in Budget Period 3","")&amp;IF(AND(OR(N26&lt;&gt;"",O26&lt;&gt;"",P26&lt;&gt;""),Q26&lt;&gt;""),"; ","")&amp;IF(Q26&lt;&gt;"",Q26&amp;" in Budget Period 4","")&amp;IF(AND(OR(N26&lt;&gt;"",O26&lt;&gt;"",P26&lt;&gt;"",Q26&lt;&gt;""),R26&lt;&gt;""),"; ","")&amp;IF(R26&lt;&gt;"",R26&amp;" in Budget Period 5","")&amp;" for "&amp;ROUNDUP('BP1'!M35/'BP1'!G35,0)&amp;" "&amp;'BP1'!D35&amp;" is requested. ",N26&amp;" for "&amp;ROUNDUP('BP1'!M35/'BP1'!G35,0)&amp;" "&amp;'BP1'!D35&amp;" is requested"&amp;IF('BP1'!$K$5&gt;1," each budget period for "&amp;'BP1'!$K$5&amp;" budget periods. ",". ")),"")&amp;IF(AND('BP1'!$K$5&gt;1,'BP1'!$K$7&gt;0,OR('Cumulative Budget'!H35+'Cumulative Budget'!M35&gt;0)),"Salary is inflated by "&amp;('BP1'!$K$7*100)&amp;"% annually each September. ","")&amp;IF(ISBLANK('BP1'!Q35),"",'BP1'!Q35)</f>
        <v/>
      </c>
      <c r="B26" s="991"/>
      <c r="C26" s="991"/>
      <c r="D26" s="991"/>
      <c r="E26" s="991"/>
      <c r="F26" s="991"/>
      <c r="G26" s="991"/>
      <c r="H26" s="991"/>
      <c r="I26" s="615" t="str">
        <f>IF(SUM('Cumulative Budget'!H35:J35)&gt;0,(IF('BP1'!$K$5&gt;0,((IF('BP1'!H35&gt;0,CONCATENATE(IF('BP1'!H35&gt;0,TEXT('BP1'!H35,"0.00")&amp;" calendar month"&amp;IF('BP1'!H35&gt;1,"s",)&amp;" (or "&amp;TEXT('BP1'!H35/'BP1'!G35/ROUNDUP('BP1'!H35/'BP1'!G35,0),"0%")&amp;" calendar effort"&amp;IF('BP1'!H35&gt;12," each","")&amp;")",)),CONCATENATE(IF('BP1'!I35&gt;0,TEXT('BP1'!I35,"0.00")&amp;" academic month"&amp;IF('BP1'!I35&gt;1,"s",)&amp;" (or "&amp;TEXT('BP1'!I35/9,"0%")&amp;" academic effort)",),IF(AND('BP1'!I35&gt;0,'BP1'!J35&gt;0)," and ",),IF('BP1'!J35&gt;0,TEXT('BP1'!J35,"0.00")&amp;" summer month"&amp;IF('BP1'!J35&gt;1,"s",)&amp;" (or "&amp;TEXT('BP1'!J35/3,"0%")&amp;" summer effort)",))))),"")),"")</f>
        <v/>
      </c>
      <c r="J26" s="615" t="str">
        <f>IF(SUM('Cumulative Budget'!H35:J35)&gt;0,(IF('BP1'!$K$5&gt;1,((IF('BP2'!H35&gt;0,CONCATENATE(IF('BP2'!H35&gt;0,TEXT('BP2'!H35,"0.00")&amp;" calendar month"&amp;IF('BP2'!H35&gt;1,"s",)&amp;" (or "&amp;TEXT('BP2'!H35/'BP2'!G35/ROUNDUP('BP2'!H35/'BP2'!G35,0),"0%")&amp;" calendar effort"&amp;IF('BP2'!H35&gt;12," each","")&amp;")",)),CONCATENATE(IF('BP2'!I35&gt;0,TEXT('BP2'!I35,"0.00")&amp;" academic month"&amp;IF('BP2'!I35&gt;1,"s",)&amp;" (or "&amp;TEXT('BP2'!I35/9,"0%")&amp;" academic effort)",),IF(AND('BP2'!I35&gt;0,'BP2'!J35&gt;0)," and ",),IF('BP2'!J35&gt;0,TEXT('BP2'!J35,"0.00")&amp;" summer month"&amp;IF('BP2'!J35&gt;1,"s",)&amp;" (or "&amp;TEXT('BP2'!J35/3,"0%")&amp;" summer effort)",))))),"")),"")</f>
        <v/>
      </c>
      <c r="K26" s="615" t="str">
        <f>IF(SUM('Cumulative Budget'!H35:J35)&gt;0,(IF('BP1'!$K$5&gt;2,((IF('BP3'!H35&gt;0,CONCATENATE(IF('BP3'!H35&gt;0,TEXT('BP3'!H35,"0.00")&amp;" calendar month"&amp;IF('BP3'!H35&gt;1,"s",)&amp;" (or "&amp;TEXT('BP3'!H35/'BP3'!G35/ROUNDUP('BP3'!H35/'BP3'!G35,0),"0%")&amp;" calendar effort"&amp;IF('BP3'!H35&gt;12," each","")&amp;")",)),CONCATENATE(IF('BP3'!I35&gt;0,TEXT('BP3'!I35,"0.00")&amp;" academic month"&amp;IF('BP3'!I35&gt;1,"s",)&amp;" (or "&amp;TEXT('BP3'!I35/9,"0%")&amp;" academic effort)",),IF(AND('BP3'!I35&gt;0,'BP3'!J35&gt;0)," and ",),IF('BP3'!J35&gt;0,TEXT('BP3'!J35,"0.00")&amp;" summer month"&amp;IF('BP3'!J35&gt;1,"s",)&amp;" (or "&amp;TEXT('BP3'!J35/3,"0%")&amp;" summer effort)",))))),"")),"")</f>
        <v/>
      </c>
      <c r="L26" s="615" t="str">
        <f>IF(SUM('Cumulative Budget'!H35:J35)&gt;0,(IF('BP1'!$K$5&gt;3,((IF('BP4'!H35&gt;0,CONCATENATE(IF('BP4'!H35&gt;0,TEXT('BP4'!H35,"0.00")&amp;" calendar month"&amp;IF('BP4'!H35&gt;1,"s",)&amp;" (or "&amp;TEXT('BP4'!H35/'BP4'!G35/ROUNDUP('BP4'!H35/'BP4'!G35,0),"0%")&amp;" calendar effort"&amp;IF('BP4'!H35&gt;12," each","")&amp;")",)),CONCATENATE(IF('BP4'!I35&gt;0,TEXT('BP4'!I35,"0.00")&amp;" academic month"&amp;IF('BP4'!I35&gt;1,"s",)&amp;" (or "&amp;TEXT('BP4'!I35/9,"0%")&amp;" academic effort)",),IF(AND('BP4'!I35&gt;0,'BP4'!J35&gt;0)," and ",),IF('BP4'!J35&gt;0,TEXT('BP4'!J35,"0.00")&amp;" summer month"&amp;IF('BP4'!J35&gt;1,"s",)&amp;" (or "&amp;TEXT('BP4'!J35/3,"0%")&amp;" summer effort)",))))),"")),"")</f>
        <v/>
      </c>
      <c r="M26" s="615" t="str">
        <f>IF(SUM('Cumulative Budget'!H35:J35)&gt;0,(IF('BP1'!$K$5&gt;4,((IF('BP5'!H35&gt;0,CONCATENATE(IF('BP5'!H35&gt;0,TEXT('BP5'!H35,"0.00")&amp;" calendar month"&amp;IF('BP5'!H35&gt;1,"s",)&amp;" (or "&amp;TEXT('BP5'!H35/'BP5'!G35/ROUNDUP('BP5'!H35/'BP5'!G35,0),"0%")&amp;" calendar effort"&amp;IF('BP5'!H35&gt;12," each","")&amp;")",)),CONCATENATE(IF('BP5'!I35&gt;0,TEXT('BP5'!I35,"0.00")&amp;" academic month"&amp;IF('BP5'!I35&gt;1,"s",)&amp;" (or "&amp;TEXT('BP5'!I35/9,"0%")&amp;" academic effort)",),IF(AND('BP5'!I35&gt;0,'BP5'!J35&gt;0)," and ",),IF('BP5'!J35&gt;0,TEXT('BP5'!J35,"0.00")&amp;" summer month"&amp;IF('BP5'!J35&gt;1,"s",)&amp;" (or "&amp;TEXT('BP5'!J35/3,"0%")&amp;" summer effort)",))))),"")),"")</f>
        <v/>
      </c>
      <c r="N26" s="615" t="str">
        <f>IF(AND('BP1'!M35&gt;0,'BP1'!$A$5&gt;0),TEXT('BP1'!M35,"0.00")&amp;" cost-shared month"&amp;IF('BP1'!M35&gt;1,"s",)&amp;" (or "&amp;TEXT('BP1'!M35/'BP1'!G35/ROUNDUP('BP1'!M35/'BP1'!G35,0),"0%")&amp;" cost-shared effort"&amp;IF('BP1'!M35&gt;12," each","")&amp;")","")</f>
        <v/>
      </c>
      <c r="O26" s="615" t="str">
        <f>IF(AND('BP2'!M35&gt;0,'BP2'!$A$5&gt;0),TEXT('BP2'!M35,"0.00")&amp;" cost-shared month"&amp;IF('BP2'!M35&gt;1,"s",)&amp;" (or "&amp;TEXT('BP2'!M35/'BP2'!G35/ROUNDUP('BP2'!M35/'BP2'!G35,0),"0%")&amp;" cost-shared effort"&amp;IF('BP2'!M35&gt;12," each","")&amp;")","")</f>
        <v/>
      </c>
      <c r="P26" s="615" t="str">
        <f>IF(AND('BP3'!M35&gt;0,'BP3'!$A$5&gt;0),TEXT('BP3'!M35,"0.00")&amp;" cost-shared month"&amp;IF('BP3'!M35&gt;1,"s",)&amp;" (or "&amp;TEXT('BP3'!M35/'BP3'!G35/ROUNDUP('BP3'!M35/'BP3'!G35,0),"0%")&amp;" cost-shared effort"&amp;IF('BP3'!M35&gt;12," each","")&amp;")","")</f>
        <v/>
      </c>
      <c r="Q26" s="615" t="str">
        <f>IF(AND('BP4'!M35&gt;0,'BP4'!$A$5&gt;0),TEXT('BP4'!M35,"0.00")&amp;" cost-shared month"&amp;IF('BP4'!M35&gt;1,"s",)&amp;" (or "&amp;TEXT('BP4'!M35/'BP4'!G35/ROUNDUP('BP4'!M35/'BP4'!G35,0),"0%")&amp;" cost-shared effort"&amp;IF('BP4'!M35&gt;12," each","")&amp;")","")</f>
        <v/>
      </c>
      <c r="R26" s="615" t="str">
        <f>IF(AND('BP5'!M35&gt;0,'BP5'!$A$5&gt;0),TEXT('BP5'!M35,"0.00")&amp;" cost-shared month"&amp;IF('BP5'!M35&gt;1,"s",)&amp;" (or "&amp;TEXT('BP5'!M35/'BP5'!G35/ROUNDUP('BP5'!M35/'BP5'!G35,0),"0%")&amp;" cost-shared effort"&amp;IF('BP5'!M35&gt;12," each","")&amp;")","")</f>
        <v/>
      </c>
      <c r="S26" s="236" t="str">
        <f>IF(AND('BP1'!$K$5=2,I26&lt;&gt;J26),"Note: Effort changes in the outyears!","")&amp;IF(AND('BP1'!$K$5=3,OR(I26&lt;&gt;J26,I26&lt;&gt;K26,J26&lt;&gt;K26)),"Note: Effort changes in the outyears!","")&amp;IF(AND('BP1'!$K$5=4,OR(I26&lt;&gt;J26,I26&lt;&gt;K26,I26&lt;&gt;L26,J26&lt;&gt;K26,J26&lt;&gt;L26,K26&lt;&gt;L26)),"Note: Effort changes in the outyears!","")&amp;IF(AND('BP1'!$K$5=5,OR(I26&lt;&gt;J26,I26&lt;&gt;K26,I26&lt;&gt;L26,I26&lt;&gt;M26,J26&lt;&gt;K26,J26&lt;&gt;L26,J26&lt;&gt;M26,K26&lt;&gt;L26,K26&lt;&gt;M26,L26&lt;&gt;M26)),"Note: Effort changes in the outyears!","")</f>
        <v/>
      </c>
      <c r="T26" s="236" t="str">
        <f>IF(AND('BP1'!$K$5=2,N26&lt;&gt;O26),"Note: Effort changes in the outyears!","")&amp;IF(AND('BP1'!$K$5=3,OR(N26&lt;&gt;O26,N26&lt;&gt;P26,O26&lt;&gt;P26)),"Note: Effort changes in the outyears!","")&amp;IF(AND('BP1'!$K$5=4,OR(N26&lt;&gt;O26,N26&lt;&gt;P26,N26&lt;&gt;Q26,O26&lt;&gt;P26,O26&lt;&gt;Q26,P26&lt;&gt;Q26)),"Note: Effort changes in the outyears!","")&amp;IF(AND('BP1'!$K$5=5,OR(N26&lt;&gt;O26,N26&lt;&gt;P26,N26&lt;&gt;Q26,N26&lt;&gt;R26,O26&lt;&gt;P26,O26&lt;&gt;Q26,O26&lt;&gt;R26,P26&lt;&gt;Q26,P26&lt;&gt;R26,Q26&lt;&gt;R26)),"Note: Effort changes in the outyears!","")</f>
        <v/>
      </c>
      <c r="U26" s="691" t="str">
        <f t="shared" ca="1" si="1"/>
        <v>Blank</v>
      </c>
    </row>
    <row r="27" spans="1:21" ht="60" customHeight="1">
      <c r="A27" s="991" t="str">
        <f ca="1">IF('Cumulative Budget'!H36+'Cumulative Budget'!I36+'Cumulative Budget'!J36&gt;0,IF(S27="Note: Effort changes in the outyears!",IF(I27&lt;&gt;"",I27&amp;" in Budget Period 1","")&amp;IF(AND(I27&lt;&gt;"",J27&lt;&gt;""),"; ","")&amp;IF(J27&lt;&gt;"",J27&amp;" in Budget Period 2","")&amp;IF(AND(OR(I27&lt;&gt;"",J27&lt;&gt;""),K27&lt;&gt;""),"; ","")&amp;IF(K27&lt;&gt;"",K27&amp;" in Budget Period 3","")&amp;IF(AND(OR(I27&lt;&gt;"",J27&lt;&gt;"",K27&lt;&gt;""),L27&lt;&gt;""),"; ","")&amp;IF(L27&lt;&gt;"",L27&amp;" in Budget Period 4","")&amp;IF(AND(OR(I27&lt;&gt;"",J27&lt;&gt;"",K27&lt;&gt;"",L27&lt;&gt;""),M27&lt;&gt;""),"; ","")&amp;IF(M27&lt;&gt;"",M27&amp;" in Budget Period 5","")&amp;" for "&amp;ROUNDUP('BP1'!H36/'BP1'!G36,0)&amp;" "&amp;'BP1'!D36&amp;" is requested. ",I27&amp;" for "&amp;ROUNDUP('BP1'!H36/'BP1'!G36,0)&amp;" "&amp;'BP1'!D36&amp;" is requested"&amp;IF('BP1'!$K$5&gt;1," each budget period for "&amp;'BP1'!$K$5&amp;" budget periods. ",". ")),"")&amp;IF('Cumulative Budget'!N36&gt;0,IF(T27="Note: Effort changes in the outyears!",IF(N27&lt;&gt;"",N27&amp;" in Budget Period 1","")&amp;IF(AND(N27&lt;&gt;"",O27&lt;&gt;""),"; ","")&amp;IF(O27&lt;&gt;"",O27&amp;" in Budget Period 2","")&amp;IF(AND(OR(N27&lt;&gt;"",O27&lt;&gt;""),P27&lt;&gt;""),"; ","")&amp;IF(P27&lt;&gt;"",P27&amp;" in Budget Period 3","")&amp;IF(AND(OR(N27&lt;&gt;"",O27&lt;&gt;"",P27&lt;&gt;""),Q27&lt;&gt;""),"; ","")&amp;IF(Q27&lt;&gt;"",Q27&amp;" in Budget Period 4","")&amp;IF(AND(OR(N27&lt;&gt;"",O27&lt;&gt;"",P27&lt;&gt;"",Q27&lt;&gt;""),R27&lt;&gt;""),"; ","")&amp;IF(R27&lt;&gt;"",R27&amp;" in Budget Period 5","")&amp;" for "&amp;ROUNDUP('BP1'!M36/'BP1'!G36,0)&amp;" "&amp;'BP1'!D36&amp;" is requested. ",N27&amp;" for "&amp;ROUNDUP('BP1'!M36/'BP1'!G36,0)&amp;" "&amp;'BP1'!D36&amp;" is requested"&amp;IF('BP1'!$K$5&gt;1," each budget period for "&amp;'BP1'!$K$5&amp;" budget periods. ",". ")),"")&amp;IF(AND('BP1'!$K$5&gt;1,'BP1'!$K$7&gt;0,OR('Cumulative Budget'!H36+'Cumulative Budget'!M36&gt;0)),"Salary is inflated by "&amp;('BP1'!$K$7*100)&amp;"% annually each September. ","")&amp;IF(ISBLANK('BP1'!Q36),"",'BP1'!Q36)</f>
        <v/>
      </c>
      <c r="B27" s="991"/>
      <c r="C27" s="991"/>
      <c r="D27" s="991"/>
      <c r="E27" s="991"/>
      <c r="F27" s="991"/>
      <c r="G27" s="991"/>
      <c r="H27" s="991"/>
      <c r="I27" s="615" t="str">
        <f>IF(SUM('Cumulative Budget'!H36:J36)&gt;0,(IF('BP1'!$K$5&gt;0,((IF('BP1'!H36&gt;0,CONCATENATE(IF('BP1'!H36&gt;0,TEXT('BP1'!H36,"0.00")&amp;" calendar month"&amp;IF('BP1'!H36&gt;1,"s",)&amp;" (or "&amp;TEXT('BP1'!H36/'BP1'!G36/ROUNDUP('BP1'!H36/'BP1'!G36,0),"0%")&amp;" calendar effort"&amp;IF('BP1'!H36&gt;12," each","")&amp;")",)),CONCATENATE(IF('BP1'!I36&gt;0,TEXT('BP1'!I36,"0.00")&amp;" academic month"&amp;IF('BP1'!I36&gt;1,"s",)&amp;" (or "&amp;TEXT('BP1'!I36/9,"0%")&amp;" academic effort)",),IF(AND('BP1'!I36&gt;0,'BP1'!J36&gt;0)," and ",),IF('BP1'!J36&gt;0,TEXT('BP1'!J36,"0.00")&amp;" summer month"&amp;IF('BP1'!J36&gt;1,"s",)&amp;" (or "&amp;TEXT('BP1'!J36/3,"0%")&amp;" summer effort)",))))),"")),"")</f>
        <v/>
      </c>
      <c r="J27" s="615" t="str">
        <f>IF(SUM('Cumulative Budget'!H36:J36)&gt;0,(IF('BP1'!$K$5&gt;1,((IF('BP2'!H36&gt;0,CONCATENATE(IF('BP2'!H36&gt;0,TEXT('BP2'!H36,"0.00")&amp;" calendar month"&amp;IF('BP2'!H36&gt;1,"s",)&amp;" (or "&amp;TEXT('BP2'!H36/'BP2'!G36/ROUNDUP('BP2'!H36/'BP2'!G36,0),"0%")&amp;" calendar effort"&amp;IF('BP2'!H36&gt;12," each","")&amp;")",)),CONCATENATE(IF('BP2'!I36&gt;0,TEXT('BP2'!I36,"0.00")&amp;" academic month"&amp;IF('BP2'!I36&gt;1,"s",)&amp;" (or "&amp;TEXT('BP2'!I36/9,"0%")&amp;" academic effort)",),IF(AND('BP2'!I36&gt;0,'BP2'!J36&gt;0)," and ",),IF('BP2'!J36&gt;0,TEXT('BP2'!J36,"0.00")&amp;" summer month"&amp;IF('BP2'!J36&gt;1,"s",)&amp;" (or "&amp;TEXT('BP2'!J36/3,"0%")&amp;" summer effort)",))))),"")),"")</f>
        <v/>
      </c>
      <c r="K27" s="615" t="str">
        <f>IF(SUM('Cumulative Budget'!H36:J36)&gt;0,(IF('BP1'!$K$5&gt;2,((IF('BP3'!H36&gt;0,CONCATENATE(IF('BP3'!H36&gt;0,TEXT('BP3'!H36,"0.00")&amp;" calendar month"&amp;IF('BP3'!H36&gt;1,"s",)&amp;" (or "&amp;TEXT('BP3'!H36/'BP3'!G36/ROUNDUP('BP3'!H36/'BP3'!G36,0),"0%")&amp;" calendar effort"&amp;IF('BP3'!H36&gt;12," each","")&amp;")",)),CONCATENATE(IF('BP3'!I36&gt;0,TEXT('BP3'!I36,"0.00")&amp;" academic month"&amp;IF('BP3'!I36&gt;1,"s",)&amp;" (or "&amp;TEXT('BP3'!I36/9,"0%")&amp;" academic effort)",),IF(AND('BP3'!I36&gt;0,'BP3'!J36&gt;0)," and ",),IF('BP3'!J36&gt;0,TEXT('BP3'!J36,"0.00")&amp;" summer month"&amp;IF('BP3'!J36&gt;1,"s",)&amp;" (or "&amp;TEXT('BP3'!J36/3,"0%")&amp;" summer effort)",))))),"")),"")</f>
        <v/>
      </c>
      <c r="L27" s="615" t="str">
        <f>IF(SUM('Cumulative Budget'!H36:J36)&gt;0,(IF('BP1'!$K$5&gt;3,((IF('BP4'!H36&gt;0,CONCATENATE(IF('BP4'!H36&gt;0,TEXT('BP4'!H36,"0.00")&amp;" calendar month"&amp;IF('BP4'!H36&gt;1,"s",)&amp;" (or "&amp;TEXT('BP4'!H36/'BP4'!G36/ROUNDUP('BP4'!H36/'BP4'!G36,0),"0%")&amp;" calendar effort"&amp;IF('BP4'!H36&gt;12," each","")&amp;")",)),CONCATENATE(IF('BP4'!I36&gt;0,TEXT('BP4'!I36,"0.00")&amp;" academic month"&amp;IF('BP4'!I36&gt;1,"s",)&amp;" (or "&amp;TEXT('BP4'!I36/9,"0%")&amp;" academic effort)",),IF(AND('BP4'!I36&gt;0,'BP4'!J36&gt;0)," and ",),IF('BP4'!J36&gt;0,TEXT('BP4'!J36,"0.00")&amp;" summer month"&amp;IF('BP4'!J36&gt;1,"s",)&amp;" (or "&amp;TEXT('BP4'!J36/3,"0%")&amp;" summer effort)",))))),"")),"")</f>
        <v/>
      </c>
      <c r="M27" s="615" t="str">
        <f>IF(SUM('Cumulative Budget'!H36:J36)&gt;0,(IF('BP1'!$K$5&gt;4,((IF('BP5'!H36&gt;0,CONCATENATE(IF('BP5'!H36&gt;0,TEXT('BP5'!H36,"0.00")&amp;" calendar month"&amp;IF('BP5'!H36&gt;1,"s",)&amp;" (or "&amp;TEXT('BP5'!H36/'BP5'!G36/ROUNDUP('BP5'!H36/'BP5'!G36,0),"0%")&amp;" calendar effort"&amp;IF('BP5'!H36&gt;12," each","")&amp;")",)),CONCATENATE(IF('BP5'!I36&gt;0,TEXT('BP5'!I36,"0.00")&amp;" academic month"&amp;IF('BP5'!I36&gt;1,"s",)&amp;" (or "&amp;TEXT('BP5'!I36/9,"0%")&amp;" academic effort)",),IF(AND('BP5'!I36&gt;0,'BP5'!J36&gt;0)," and ",),IF('BP5'!J36&gt;0,TEXT('BP5'!J36,"0.00")&amp;" summer month"&amp;IF('BP5'!J36&gt;1,"s",)&amp;" (or "&amp;TEXT('BP5'!J36/3,"0%")&amp;" summer effort)",))))),"")),"")</f>
        <v/>
      </c>
      <c r="N27" s="615" t="str">
        <f>IF(AND('BP1'!M36&gt;0,'BP1'!$A$5&gt;0),TEXT('BP1'!M36,"0.00")&amp;" cost-shared month"&amp;IF('BP1'!M36&gt;1,"s",)&amp;" (or "&amp;TEXT('BP1'!M36/'BP1'!G36/ROUNDUP('BP1'!M36/'BP1'!G36,0),"0%")&amp;" cost-shared effort"&amp;IF('BP1'!M36&gt;12," each","")&amp;")","")</f>
        <v/>
      </c>
      <c r="O27" s="615" t="str">
        <f>IF(AND('BP2'!M36&gt;0,'BP2'!$A$5&gt;0),TEXT('BP2'!M36,"0.00")&amp;" cost-shared month"&amp;IF('BP2'!M36&gt;1,"s",)&amp;" (or "&amp;TEXT('BP2'!M36/'BP2'!G36/ROUNDUP('BP2'!M36/'BP2'!G36,0),"0%")&amp;" cost-shared effort"&amp;IF('BP2'!M36&gt;12," each","")&amp;")","")</f>
        <v/>
      </c>
      <c r="P27" s="615" t="str">
        <f>IF(AND('BP3'!M36&gt;0,'BP3'!$A$5&gt;0),TEXT('BP3'!M36,"0.00")&amp;" cost-shared month"&amp;IF('BP3'!M36&gt;1,"s",)&amp;" (or "&amp;TEXT('BP3'!M36/'BP3'!G36/ROUNDUP('BP3'!M36/'BP3'!G36,0),"0%")&amp;" cost-shared effort"&amp;IF('BP3'!M36&gt;12," each","")&amp;")","")</f>
        <v/>
      </c>
      <c r="Q27" s="615" t="str">
        <f>IF(AND('BP4'!M36&gt;0,'BP4'!$A$5&gt;0),TEXT('BP4'!M36,"0.00")&amp;" cost-shared month"&amp;IF('BP4'!M36&gt;1,"s",)&amp;" (or "&amp;TEXT('BP4'!M36/'BP4'!G36/ROUNDUP('BP4'!M36/'BP4'!G36,0),"0%")&amp;" cost-shared effort"&amp;IF('BP4'!M36&gt;12," each","")&amp;")","")</f>
        <v/>
      </c>
      <c r="R27" s="615" t="str">
        <f>IF(AND('BP5'!M36&gt;0,'BP5'!$A$5&gt;0),TEXT('BP5'!M36,"0.00")&amp;" cost-shared month"&amp;IF('BP5'!M36&gt;1,"s",)&amp;" (or "&amp;TEXT('BP5'!M36/'BP5'!G36/ROUNDUP('BP5'!M36/'BP5'!G36,0),"0%")&amp;" cost-shared effort"&amp;IF('BP5'!M36&gt;12," each","")&amp;")","")</f>
        <v/>
      </c>
      <c r="S27" s="236" t="str">
        <f>IF(AND('BP1'!$K$5=2,I27&lt;&gt;J27),"Note: Effort changes in the outyears!","")&amp;IF(AND('BP1'!$K$5=3,OR(I27&lt;&gt;J27,I27&lt;&gt;K27,J27&lt;&gt;K27)),"Note: Effort changes in the outyears!","")&amp;IF(AND('BP1'!$K$5=4,OR(I27&lt;&gt;J27,I27&lt;&gt;K27,I27&lt;&gt;L27,J27&lt;&gt;K27,J27&lt;&gt;L27,K27&lt;&gt;L27)),"Note: Effort changes in the outyears!","")&amp;IF(AND('BP1'!$K$5=5,OR(I27&lt;&gt;J27,I27&lt;&gt;K27,I27&lt;&gt;L27,I27&lt;&gt;M27,J27&lt;&gt;K27,J27&lt;&gt;L27,J27&lt;&gt;M27,K27&lt;&gt;L27,K27&lt;&gt;M27,L27&lt;&gt;M27)),"Note: Effort changes in the outyears!","")</f>
        <v/>
      </c>
      <c r="T27" s="236" t="str">
        <f>IF(AND('BP1'!$K$5=2,N27&lt;&gt;O27),"Note: Effort changes in the outyears!","")&amp;IF(AND('BP1'!$K$5=3,OR(N27&lt;&gt;O27,N27&lt;&gt;P27,O27&lt;&gt;P27)),"Note: Effort changes in the outyears!","")&amp;IF(AND('BP1'!$K$5=4,OR(N27&lt;&gt;O27,N27&lt;&gt;P27,N27&lt;&gt;Q27,O27&lt;&gt;P27,O27&lt;&gt;Q27,P27&lt;&gt;Q27)),"Note: Effort changes in the outyears!","")&amp;IF(AND('BP1'!$K$5=5,OR(N27&lt;&gt;O27,N27&lt;&gt;P27,N27&lt;&gt;Q27,N27&lt;&gt;R27,O27&lt;&gt;P27,O27&lt;&gt;Q27,O27&lt;&gt;R27,P27&lt;&gt;Q27,P27&lt;&gt;R27,Q27&lt;&gt;R27)),"Note: Effort changes in the outyears!","")</f>
        <v/>
      </c>
      <c r="U27" s="691" t="str">
        <f t="shared" ca="1" si="1"/>
        <v>Blank</v>
      </c>
    </row>
    <row r="28" spans="1:21" ht="60" customHeight="1">
      <c r="A28" s="991" t="str">
        <f ca="1">IF('Cumulative Budget'!H37+'Cumulative Budget'!I37+'Cumulative Budget'!J37&gt;0,IF(S28="Note: Effort changes in the outyears!",IF(I28&lt;&gt;"",I28&amp;" in Budget Period 1","")&amp;IF(AND(I28&lt;&gt;"",J28&lt;&gt;""),"; ","")&amp;IF(J28&lt;&gt;"",J28&amp;" in Budget Period 2","")&amp;IF(AND(OR(I28&lt;&gt;"",J28&lt;&gt;""),K28&lt;&gt;""),"; ","")&amp;IF(K28&lt;&gt;"",K28&amp;" in Budget Period 3","")&amp;IF(AND(OR(I28&lt;&gt;"",J28&lt;&gt;"",K28&lt;&gt;""),L28&lt;&gt;""),"; ","")&amp;IF(L28&lt;&gt;"",L28&amp;" in Budget Period 4","")&amp;IF(AND(OR(I28&lt;&gt;"",J28&lt;&gt;"",K28&lt;&gt;"",L28&lt;&gt;""),M28&lt;&gt;""),"; ","")&amp;IF(M28&lt;&gt;"",M28&amp;" in Budget Period 5","")&amp;" for "&amp;ROUNDUP('BP1'!H37/'BP1'!G37,0)&amp;" "&amp;'BP1'!D37&amp;" is requested. ",I28&amp;" for "&amp;ROUNDUP('BP1'!H37/'BP1'!G37,0)&amp;" "&amp;'BP1'!D37&amp;" is requested"&amp;IF('BP1'!$K$5&gt;1," each budget period for "&amp;'BP1'!$K$5&amp;" budget periods. ",". ")),"")&amp;IF('Cumulative Budget'!N37&gt;0,IF(T28="Note: Effort changes in the outyears!",IF(N28&lt;&gt;"",N28&amp;" in Budget Period 1","")&amp;IF(AND(N28&lt;&gt;"",O28&lt;&gt;""),"; ","")&amp;IF(O28&lt;&gt;"",O28&amp;" in Budget Period 2","")&amp;IF(AND(OR(N28&lt;&gt;"",O28&lt;&gt;""),P28&lt;&gt;""),"; ","")&amp;IF(P28&lt;&gt;"",P28&amp;" in Budget Period 3","")&amp;IF(AND(OR(N28&lt;&gt;"",O28&lt;&gt;"",P28&lt;&gt;""),Q28&lt;&gt;""),"; ","")&amp;IF(Q28&lt;&gt;"",Q28&amp;" in Budget Period 4","")&amp;IF(AND(OR(N28&lt;&gt;"",O28&lt;&gt;"",P28&lt;&gt;"",Q28&lt;&gt;""),R28&lt;&gt;""),"; ","")&amp;IF(R28&lt;&gt;"",R28&amp;" in Budget Period 5","")&amp;" for "&amp;ROUNDUP('BP1'!M37/'BP1'!G37,0)&amp;" "&amp;'BP1'!D37&amp;" is requested. ",N28&amp;" for "&amp;ROUNDUP('BP1'!M37/'BP1'!G37,0)&amp;" "&amp;'BP1'!D37&amp;" is requested"&amp;IF('BP1'!$K$5&gt;1," each budget period for "&amp;'BP1'!$K$5&amp;" budget periods. ",". ")),"")&amp;IF(AND('BP1'!$K$5&gt;1,'BP1'!$K$7&gt;0,OR('Cumulative Budget'!H37+'Cumulative Budget'!M37&gt;0)),"Salary is inflated by "&amp;('BP1'!$K$7*100)&amp;"% annually each September. ","")&amp;IF(ISBLANK('BP1'!Q37),"",'BP1'!Q37)</f>
        <v/>
      </c>
      <c r="B28" s="991"/>
      <c r="C28" s="991"/>
      <c r="D28" s="991"/>
      <c r="E28" s="991"/>
      <c r="F28" s="991"/>
      <c r="G28" s="991"/>
      <c r="H28" s="991"/>
      <c r="I28" s="615" t="str">
        <f>IF(SUM('Cumulative Budget'!H37:J37)&gt;0,(IF('BP1'!$K$5&gt;0,((IF('BP1'!H37&gt;0,CONCATENATE(IF('BP1'!H37&gt;0,TEXT('BP1'!H37,"0.00")&amp;" calendar month"&amp;IF('BP1'!H37&gt;1,"s",)&amp;" (or "&amp;TEXT('BP1'!H37/'BP1'!G37/ROUNDUP('BP1'!H37/'BP1'!G37,0),"0%")&amp;" calendar effort"&amp;IF('BP1'!H37&gt;12," each","")&amp;")",)),CONCATENATE(IF('BP1'!I37&gt;0,TEXT('BP1'!I37,"0.00")&amp;" academic month"&amp;IF('BP1'!I37&gt;1,"s",)&amp;" (or "&amp;TEXT('BP1'!I37/9,"0%")&amp;" academic effort)",),IF(AND('BP1'!I37&gt;0,'BP1'!J37&gt;0)," and ",),IF('BP1'!J37&gt;0,TEXT('BP1'!J37,"0.00")&amp;" summer month"&amp;IF('BP1'!J37&gt;1,"s",)&amp;" (or "&amp;TEXT('BP1'!J37/3,"0%")&amp;" summer effort)",))))),"")),"")</f>
        <v/>
      </c>
      <c r="J28" s="615" t="str">
        <f>IF(SUM('Cumulative Budget'!H37:J37)&gt;0,(IF('BP1'!$K$5&gt;1,((IF('BP2'!H37&gt;0,CONCATENATE(IF('BP2'!H37&gt;0,TEXT('BP2'!H37,"0.00")&amp;" calendar month"&amp;IF('BP2'!H37&gt;1,"s",)&amp;" (or "&amp;TEXT('BP2'!H37/'BP2'!G37/ROUNDUP('BP2'!H37/'BP2'!G37,0),"0%")&amp;" calendar effort"&amp;IF('BP2'!H37&gt;12," each","")&amp;")",)),CONCATENATE(IF('BP2'!I37&gt;0,TEXT('BP2'!I37,"0.00")&amp;" academic month"&amp;IF('BP2'!I37&gt;1,"s",)&amp;" (or "&amp;TEXT('BP2'!I37/9,"0%")&amp;" academic effort)",),IF(AND('BP2'!I37&gt;0,'BP2'!J37&gt;0)," and ",),IF('BP2'!J37&gt;0,TEXT('BP2'!J37,"0.00")&amp;" summer month"&amp;IF('BP2'!J37&gt;1,"s",)&amp;" (or "&amp;TEXT('BP2'!J37/3,"0%")&amp;" summer effort)",))))),"")),"")</f>
        <v/>
      </c>
      <c r="K28" s="615" t="str">
        <f>IF(SUM('Cumulative Budget'!H37:J37)&gt;0,(IF('BP1'!$K$5&gt;2,((IF('BP3'!H37&gt;0,CONCATENATE(IF('BP3'!H37&gt;0,TEXT('BP3'!H37,"0.00")&amp;" calendar month"&amp;IF('BP3'!H37&gt;1,"s",)&amp;" (or "&amp;TEXT('BP3'!H37/'BP3'!G37/ROUNDUP('BP3'!H37/'BP3'!G37,0),"0%")&amp;" calendar effort"&amp;IF('BP3'!H37&gt;12," each","")&amp;")",)),CONCATENATE(IF('BP3'!I37&gt;0,TEXT('BP3'!I37,"0.00")&amp;" academic month"&amp;IF('BP3'!I37&gt;1,"s",)&amp;" (or "&amp;TEXT('BP3'!I37/9,"0%")&amp;" academic effort)",),IF(AND('BP3'!I37&gt;0,'BP3'!J37&gt;0)," and ",),IF('BP3'!J37&gt;0,TEXT('BP3'!J37,"0.00")&amp;" summer month"&amp;IF('BP3'!J37&gt;1,"s",)&amp;" (or "&amp;TEXT('BP3'!J37/3,"0%")&amp;" summer effort)",))))),"")),"")</f>
        <v/>
      </c>
      <c r="L28" s="615" t="str">
        <f>IF(SUM('Cumulative Budget'!H37:J37)&gt;0,(IF('BP1'!$K$5&gt;3,((IF('BP4'!H37&gt;0,CONCATENATE(IF('BP4'!H37&gt;0,TEXT('BP4'!H37,"0.00")&amp;" calendar month"&amp;IF('BP4'!H37&gt;1,"s",)&amp;" (or "&amp;TEXT('BP4'!H37/'BP4'!G37/ROUNDUP('BP4'!H37/'BP4'!G37,0),"0%")&amp;" calendar effort"&amp;IF('BP4'!H37&gt;12," each","")&amp;")",)),CONCATENATE(IF('BP4'!I37&gt;0,TEXT('BP4'!I37,"0.00")&amp;" academic month"&amp;IF('BP4'!I37&gt;1,"s",)&amp;" (or "&amp;TEXT('BP4'!I37/9,"0%")&amp;" academic effort)",),IF(AND('BP4'!I37&gt;0,'BP4'!J37&gt;0)," and ",),IF('BP4'!J37&gt;0,TEXT('BP4'!J37,"0.00")&amp;" summer month"&amp;IF('BP4'!J37&gt;1,"s",)&amp;" (or "&amp;TEXT('BP4'!J37/3,"0%")&amp;" summer effort)",))))),"")),"")</f>
        <v/>
      </c>
      <c r="M28" s="615" t="str">
        <f>IF(SUM('Cumulative Budget'!H37:J37)&gt;0,(IF('BP1'!$K$5&gt;4,((IF('BP5'!H37&gt;0,CONCATENATE(IF('BP5'!H37&gt;0,TEXT('BP5'!H37,"0.00")&amp;" calendar month"&amp;IF('BP5'!H37&gt;1,"s",)&amp;" (or "&amp;TEXT('BP5'!H37/'BP5'!G37/ROUNDUP('BP5'!H37/'BP5'!G37,0),"0%")&amp;" calendar effort"&amp;IF('BP5'!H37&gt;12," each","")&amp;")",)),CONCATENATE(IF('BP5'!I37&gt;0,TEXT('BP5'!I37,"0.00")&amp;" academic month"&amp;IF('BP5'!I37&gt;1,"s",)&amp;" (or "&amp;TEXT('BP5'!I37/9,"0%")&amp;" academic effort)",),IF(AND('BP5'!I37&gt;0,'BP5'!J37&gt;0)," and ",),IF('BP5'!J37&gt;0,TEXT('BP5'!J37,"0.00")&amp;" summer month"&amp;IF('BP5'!J37&gt;1,"s",)&amp;" (or "&amp;TEXT('BP5'!J37/3,"0%")&amp;" summer effort)",))))),"")),"")</f>
        <v/>
      </c>
      <c r="N28" s="615" t="str">
        <f>IF(AND('BP1'!M37&gt;0,'BP1'!$A$5&gt;0),TEXT('BP1'!M37,"0.00")&amp;" cost-shared month"&amp;IF('BP1'!M37&gt;1,"s",)&amp;" (or "&amp;TEXT('BP1'!M37/'BP1'!G37/ROUNDUP('BP1'!M37/'BP1'!G37,0),"0%")&amp;" cost-shared effort"&amp;IF('BP1'!M37&gt;12," each","")&amp;")","")</f>
        <v/>
      </c>
      <c r="O28" s="615" t="str">
        <f>IF(AND('BP2'!M37&gt;0,'BP2'!$A$5&gt;0),TEXT('BP2'!M37,"0.00")&amp;" cost-shared month"&amp;IF('BP2'!M37&gt;1,"s",)&amp;" (or "&amp;TEXT('BP2'!M37/'BP2'!G37/ROUNDUP('BP2'!M37/'BP2'!G37,0),"0%")&amp;" cost-shared effort"&amp;IF('BP2'!M37&gt;12," each","")&amp;")","")</f>
        <v/>
      </c>
      <c r="P28" s="615" t="str">
        <f>IF(AND('BP3'!M37&gt;0,'BP3'!$A$5&gt;0),TEXT('BP3'!M37,"0.00")&amp;" cost-shared month"&amp;IF('BP3'!M37&gt;1,"s",)&amp;" (or "&amp;TEXT('BP3'!M37/'BP3'!G37/ROUNDUP('BP3'!M37/'BP3'!G37,0),"0%")&amp;" cost-shared effort"&amp;IF('BP3'!M37&gt;12," each","")&amp;")","")</f>
        <v/>
      </c>
      <c r="Q28" s="615" t="str">
        <f>IF(AND('BP4'!M37&gt;0,'BP4'!$A$5&gt;0),TEXT('BP4'!M37,"0.00")&amp;" cost-shared month"&amp;IF('BP4'!M37&gt;1,"s",)&amp;" (or "&amp;TEXT('BP4'!M37/'BP4'!G37/ROUNDUP('BP4'!M37/'BP4'!G37,0),"0%")&amp;" cost-shared effort"&amp;IF('BP4'!M37&gt;12," each","")&amp;")","")</f>
        <v/>
      </c>
      <c r="R28" s="615" t="str">
        <f>IF(AND('BP5'!M37&gt;0,'BP5'!$A$5&gt;0),TEXT('BP5'!M37,"0.00")&amp;" cost-shared month"&amp;IF('BP5'!M37&gt;1,"s",)&amp;" (or "&amp;TEXT('BP5'!M37/'BP5'!G37/ROUNDUP('BP5'!M37/'BP5'!G37,0),"0%")&amp;" cost-shared effort"&amp;IF('BP5'!M37&gt;12," each","")&amp;")","")</f>
        <v/>
      </c>
      <c r="S28" s="236" t="str">
        <f>IF(AND('BP1'!$K$5=2,I28&lt;&gt;J28),"Note: Effort changes in the outyears!","")&amp;IF(AND('BP1'!$K$5=3,OR(I28&lt;&gt;J28,I28&lt;&gt;K28,J28&lt;&gt;K28)),"Note: Effort changes in the outyears!","")&amp;IF(AND('BP1'!$K$5=4,OR(I28&lt;&gt;J28,I28&lt;&gt;K28,I28&lt;&gt;L28,J28&lt;&gt;K28,J28&lt;&gt;L28,K28&lt;&gt;L28)),"Note: Effort changes in the outyears!","")&amp;IF(AND('BP1'!$K$5=5,OR(I28&lt;&gt;J28,I28&lt;&gt;K28,I28&lt;&gt;L28,I28&lt;&gt;M28,J28&lt;&gt;K28,J28&lt;&gt;L28,J28&lt;&gt;M28,K28&lt;&gt;L28,K28&lt;&gt;M28,L28&lt;&gt;M28)),"Note: Effort changes in the outyears!","")</f>
        <v/>
      </c>
      <c r="T28" s="236" t="str">
        <f>IF(AND('BP1'!$K$5=2,N28&lt;&gt;O28),"Note: Effort changes in the outyears!","")&amp;IF(AND('BP1'!$K$5=3,OR(N28&lt;&gt;O28,N28&lt;&gt;P28,O28&lt;&gt;P28)),"Note: Effort changes in the outyears!","")&amp;IF(AND('BP1'!$K$5=4,OR(N28&lt;&gt;O28,N28&lt;&gt;P28,N28&lt;&gt;Q28,O28&lt;&gt;P28,O28&lt;&gt;Q28,P28&lt;&gt;Q28)),"Note: Effort changes in the outyears!","")&amp;IF(AND('BP1'!$K$5=5,OR(N28&lt;&gt;O28,N28&lt;&gt;P28,N28&lt;&gt;Q28,N28&lt;&gt;R28,O28&lt;&gt;P28,O28&lt;&gt;Q28,O28&lt;&gt;R28,P28&lt;&gt;Q28,P28&lt;&gt;R28,Q28&lt;&gt;R28)),"Note: Effort changes in the outyears!","")</f>
        <v/>
      </c>
      <c r="U28" s="691" t="str">
        <f t="shared" ca="1" si="1"/>
        <v>Blank</v>
      </c>
    </row>
    <row r="29" spans="1:21" ht="60" customHeight="1">
      <c r="A29" s="991" t="str">
        <f ca="1">IF('Cumulative Budget'!H38+'Cumulative Budget'!I38+'Cumulative Budget'!J38&gt;0,IF(S29="Note: Effort changes in the outyears!",IF(I29&lt;&gt;"",I29&amp;" in Budget Period 1","")&amp;IF(AND(I29&lt;&gt;"",J29&lt;&gt;""),"; ","")&amp;IF(J29&lt;&gt;"",J29&amp;" in Budget Period 2","")&amp;IF(AND(OR(I29&lt;&gt;"",J29&lt;&gt;""),K29&lt;&gt;""),"; ","")&amp;IF(K29&lt;&gt;"",K29&amp;" in Budget Period 3","")&amp;IF(AND(OR(I29&lt;&gt;"",J29&lt;&gt;"",K29&lt;&gt;""),L29&lt;&gt;""),"; ","")&amp;IF(L29&lt;&gt;"",L29&amp;" in Budget Period 4","")&amp;IF(AND(OR(I29&lt;&gt;"",J29&lt;&gt;"",K29&lt;&gt;"",L29&lt;&gt;""),M29&lt;&gt;""),"; ","")&amp;IF(M29&lt;&gt;"",M29&amp;" in Budget Period 5","")&amp;" for "&amp;ROUNDUP('BP1'!H38/'BP1'!G38,0)&amp;" "&amp;'BP1'!D38&amp;" is requested. ",I29&amp;" for "&amp;ROUNDUP('BP1'!H38/'BP1'!G38,0)&amp;" "&amp;'BP1'!D38&amp;" is requested"&amp;IF('BP1'!$K$5&gt;1," each budget period for "&amp;'BP1'!$K$5&amp;" budget periods. ",". ")),"")&amp;IF('Cumulative Budget'!N38&gt;0,IF(T29="Note: Effort changes in the outyears!",IF(N29&lt;&gt;"",N29&amp;" in Budget Period 1","")&amp;IF(AND(N29&lt;&gt;"",O29&lt;&gt;""),"; ","")&amp;IF(O29&lt;&gt;"",O29&amp;" in Budget Period 2","")&amp;IF(AND(OR(N29&lt;&gt;"",O29&lt;&gt;""),P29&lt;&gt;""),"; ","")&amp;IF(P29&lt;&gt;"",P29&amp;" in Budget Period 3","")&amp;IF(AND(OR(N29&lt;&gt;"",O29&lt;&gt;"",P29&lt;&gt;""),Q29&lt;&gt;""),"; ","")&amp;IF(Q29&lt;&gt;"",Q29&amp;" in Budget Period 4","")&amp;IF(AND(OR(N29&lt;&gt;"",O29&lt;&gt;"",P29&lt;&gt;"",Q29&lt;&gt;""),R29&lt;&gt;""),"; ","")&amp;IF(R29&lt;&gt;"",R29&amp;" in Budget Period 5","")&amp;" for "&amp;ROUNDUP('BP1'!M38/'BP1'!G38,0)&amp;" "&amp;'BP1'!D38&amp;" is requested. ",N29&amp;" for "&amp;ROUNDUP('BP1'!M38/'BP1'!G38,0)&amp;" "&amp;'BP1'!D38&amp;" is requested"&amp;IF('BP1'!$K$5&gt;1," each budget period for "&amp;'BP1'!$K$5&amp;" budget periods. ",". ")),"")&amp;IF(AND('BP1'!$K$5&gt;1,'BP1'!$K$7&gt;0,OR('Cumulative Budget'!H38+'Cumulative Budget'!M38&gt;0)),"Salary is inflated by "&amp;('BP1'!$K$7*100)&amp;"% annually each September. ","")&amp;IF(ISBLANK('BP1'!Q38),"",'BP1'!Q38)</f>
        <v/>
      </c>
      <c r="B29" s="991"/>
      <c r="C29" s="991"/>
      <c r="D29" s="991"/>
      <c r="E29" s="991"/>
      <c r="F29" s="991"/>
      <c r="G29" s="991"/>
      <c r="H29" s="991"/>
      <c r="I29" s="615" t="str">
        <f>IF(SUM('Cumulative Budget'!H38:J38)&gt;0,(IF('BP1'!$K$5&gt;0,((IF('BP1'!H38&gt;0,CONCATENATE(IF('BP1'!H38&gt;0,TEXT('BP1'!H38,"0.00")&amp;" calendar month"&amp;IF('BP1'!H38&gt;1,"s",)&amp;" (or "&amp;TEXT('BP1'!H38/'BP1'!G38/ROUNDUP('BP1'!H38/'BP1'!G38,0),"0%")&amp;" calendar effort"&amp;IF('BP1'!H38&gt;12," each","")&amp;")",)),CONCATENATE(IF('BP1'!I38&gt;0,TEXT('BP1'!I38,"0.00")&amp;" academic month"&amp;IF('BP1'!I38&gt;1,"s",)&amp;" (or "&amp;TEXT('BP1'!I38/9,"0%")&amp;" academic effort)",),IF(AND('BP1'!I38&gt;0,'BP1'!J38&gt;0)," and ",),IF('BP1'!J38&gt;0,TEXT('BP1'!J38,"0.00")&amp;" summer month"&amp;IF('BP1'!J38&gt;1,"s",)&amp;" (or "&amp;TEXT('BP1'!J38/3,"0%")&amp;" summer effort)",))))),"")),"")</f>
        <v/>
      </c>
      <c r="J29" s="615" t="str">
        <f>IF(SUM('Cumulative Budget'!H38:J38)&gt;0,(IF('BP1'!$K$5&gt;1,((IF('BP2'!H38&gt;0,CONCATENATE(IF('BP2'!H38&gt;0,TEXT('BP2'!H38,"0.00")&amp;" calendar month"&amp;IF('BP2'!H38&gt;1,"s",)&amp;" (or "&amp;TEXT('BP2'!H38/'BP2'!G38/ROUNDUP('BP2'!H38/'BP2'!G38,0),"0%")&amp;" calendar effort"&amp;IF('BP2'!H38&gt;12," each","")&amp;")",)),CONCATENATE(IF('BP2'!I38&gt;0,TEXT('BP2'!I38,"0.00")&amp;" academic month"&amp;IF('BP2'!I38&gt;1,"s",)&amp;" (or "&amp;TEXT('BP2'!I38/9,"0%")&amp;" academic effort)",),IF(AND('BP2'!I38&gt;0,'BP2'!J38&gt;0)," and ",),IF('BP2'!J38&gt;0,TEXT('BP2'!J38,"0.00")&amp;" summer month"&amp;IF('BP2'!J38&gt;1,"s",)&amp;" (or "&amp;TEXT('BP2'!J38/3,"0%")&amp;" summer effort)",))))),"")),"")</f>
        <v/>
      </c>
      <c r="K29" s="615" t="str">
        <f>IF(SUM('Cumulative Budget'!H38:J38)&gt;0,(IF('BP1'!$K$5&gt;2,((IF('BP3'!H38&gt;0,CONCATENATE(IF('BP3'!H38&gt;0,TEXT('BP3'!H38,"0.00")&amp;" calendar month"&amp;IF('BP3'!H38&gt;1,"s",)&amp;" (or "&amp;TEXT('BP3'!H38/'BP3'!G38/ROUNDUP('BP3'!H38/'BP3'!G38,0),"0%")&amp;" calendar effort"&amp;IF('BP3'!H38&gt;12," each","")&amp;")",)),CONCATENATE(IF('BP3'!I38&gt;0,TEXT('BP3'!I38,"0.00")&amp;" academic month"&amp;IF('BP3'!I38&gt;1,"s",)&amp;" (or "&amp;TEXT('BP3'!I38/9,"0%")&amp;" academic effort)",),IF(AND('BP3'!I38&gt;0,'BP3'!J38&gt;0)," and ",),IF('BP3'!J38&gt;0,TEXT('BP3'!J38,"0.00")&amp;" summer month"&amp;IF('BP3'!J38&gt;1,"s",)&amp;" (or "&amp;TEXT('BP3'!J38/3,"0%")&amp;" summer effort)",))))),"")),"")</f>
        <v/>
      </c>
      <c r="L29" s="615" t="str">
        <f>IF(SUM('Cumulative Budget'!H38:J38)&gt;0,(IF('BP1'!$K$5&gt;3,((IF('BP4'!H38&gt;0,CONCATENATE(IF('BP4'!H38&gt;0,TEXT('BP4'!H38,"0.00")&amp;" calendar month"&amp;IF('BP4'!H38&gt;1,"s",)&amp;" (or "&amp;TEXT('BP4'!H38/'BP4'!G38/ROUNDUP('BP4'!H38/'BP4'!G38,0),"0%")&amp;" calendar effort"&amp;IF('BP4'!H38&gt;12," each","")&amp;")",)),CONCATENATE(IF('BP4'!I38&gt;0,TEXT('BP4'!I38,"0.00")&amp;" academic month"&amp;IF('BP4'!I38&gt;1,"s",)&amp;" (or "&amp;TEXT('BP4'!I38/9,"0%")&amp;" academic effort)",),IF(AND('BP4'!I38&gt;0,'BP4'!J38&gt;0)," and ",),IF('BP4'!J38&gt;0,TEXT('BP4'!J38,"0.00")&amp;" summer month"&amp;IF('BP4'!J38&gt;1,"s",)&amp;" (or "&amp;TEXT('BP4'!J38/3,"0%")&amp;" summer effort)",))))),"")),"")</f>
        <v/>
      </c>
      <c r="M29" s="615" t="str">
        <f>IF(SUM('Cumulative Budget'!H38:J38)&gt;0,(IF('BP1'!$K$5&gt;4,((IF('BP5'!H38&gt;0,CONCATENATE(IF('BP5'!H38&gt;0,TEXT('BP5'!H38,"0.00")&amp;" calendar month"&amp;IF('BP5'!H38&gt;1,"s",)&amp;" (or "&amp;TEXT('BP5'!H38/'BP5'!G38/ROUNDUP('BP5'!H38/'BP5'!G38,0),"0%")&amp;" calendar effort"&amp;IF('BP5'!H38&gt;12," each","")&amp;")",)),CONCATENATE(IF('BP5'!I38&gt;0,TEXT('BP5'!I38,"0.00")&amp;" academic month"&amp;IF('BP5'!I38&gt;1,"s",)&amp;" (or "&amp;TEXT('BP5'!I38/9,"0%")&amp;" academic effort)",),IF(AND('BP5'!I38&gt;0,'BP5'!J38&gt;0)," and ",),IF('BP5'!J38&gt;0,TEXT('BP5'!J38,"0.00")&amp;" summer month"&amp;IF('BP5'!J38&gt;1,"s",)&amp;" (or "&amp;TEXT('BP5'!J38/3,"0%")&amp;" summer effort)",))))),"")),"")</f>
        <v/>
      </c>
      <c r="N29" s="615" t="str">
        <f>IF(AND('BP1'!M38&gt;0,'BP1'!$A$5&gt;0),TEXT('BP1'!M38,"0.00")&amp;" cost-shared month"&amp;IF('BP1'!M38&gt;1,"s",)&amp;" (or "&amp;TEXT('BP1'!M38/'BP1'!G38/ROUNDUP('BP1'!M38/'BP1'!G38,0),"0%")&amp;" cost-shared effort"&amp;IF('BP1'!M38&gt;12," each","")&amp;")","")</f>
        <v/>
      </c>
      <c r="O29" s="615" t="str">
        <f>IF(AND('BP2'!M38&gt;0,'BP2'!$A$5&gt;0),TEXT('BP2'!M38,"0.00")&amp;" cost-shared month"&amp;IF('BP2'!M38&gt;1,"s",)&amp;" (or "&amp;TEXT('BP2'!M38/'BP2'!G38/ROUNDUP('BP2'!M38/'BP2'!G38,0),"0%")&amp;" cost-shared effort"&amp;IF('BP2'!M38&gt;12," each","")&amp;")","")</f>
        <v/>
      </c>
      <c r="P29" s="615" t="str">
        <f>IF(AND('BP3'!M38&gt;0,'BP3'!$A$5&gt;0),TEXT('BP3'!M38,"0.00")&amp;" cost-shared month"&amp;IF('BP3'!M38&gt;1,"s",)&amp;" (or "&amp;TEXT('BP3'!M38/'BP3'!G38/ROUNDUP('BP3'!M38/'BP3'!G38,0),"0%")&amp;" cost-shared effort"&amp;IF('BP3'!M38&gt;12," each","")&amp;")","")</f>
        <v/>
      </c>
      <c r="Q29" s="615" t="str">
        <f>IF(AND('BP4'!M38&gt;0,'BP4'!$A$5&gt;0),TEXT('BP4'!M38,"0.00")&amp;" cost-shared month"&amp;IF('BP4'!M38&gt;1,"s",)&amp;" (or "&amp;TEXT('BP4'!M38/'BP4'!G38/ROUNDUP('BP4'!M38/'BP4'!G38,0),"0%")&amp;" cost-shared effort"&amp;IF('BP4'!M38&gt;12," each","")&amp;")","")</f>
        <v/>
      </c>
      <c r="R29" s="615" t="str">
        <f>IF(AND('BP5'!M38&gt;0,'BP5'!$A$5&gt;0),TEXT('BP5'!M38,"0.00")&amp;" cost-shared month"&amp;IF('BP5'!M38&gt;1,"s",)&amp;" (or "&amp;TEXT('BP5'!M38/'BP5'!G38/ROUNDUP('BP5'!M38/'BP5'!G38,0),"0%")&amp;" cost-shared effort"&amp;IF('BP5'!M38&gt;12," each","")&amp;")","")</f>
        <v/>
      </c>
      <c r="S29" s="236" t="str">
        <f>IF(AND('BP1'!$K$5=2,I29&lt;&gt;J29),"Note: Effort changes in the outyears!","")&amp;IF(AND('BP1'!$K$5=3,OR(I29&lt;&gt;J29,I29&lt;&gt;K29,J29&lt;&gt;K29)),"Note: Effort changes in the outyears!","")&amp;IF(AND('BP1'!$K$5=4,OR(I29&lt;&gt;J29,I29&lt;&gt;K29,I29&lt;&gt;L29,J29&lt;&gt;K29,J29&lt;&gt;L29,K29&lt;&gt;L29)),"Note: Effort changes in the outyears!","")&amp;IF(AND('BP1'!$K$5=5,OR(I29&lt;&gt;J29,I29&lt;&gt;K29,I29&lt;&gt;L29,I29&lt;&gt;M29,J29&lt;&gt;K29,J29&lt;&gt;L29,J29&lt;&gt;M29,K29&lt;&gt;L29,K29&lt;&gt;M29,L29&lt;&gt;M29)),"Note: Effort changes in the outyears!","")</f>
        <v/>
      </c>
      <c r="T29" s="236" t="str">
        <f>IF(AND('BP1'!$K$5=2,N29&lt;&gt;O29),"Note: Effort changes in the outyears!","")&amp;IF(AND('BP1'!$K$5=3,OR(N29&lt;&gt;O29,N29&lt;&gt;P29,O29&lt;&gt;P29)),"Note: Effort changes in the outyears!","")&amp;IF(AND('BP1'!$K$5=4,OR(N29&lt;&gt;O29,N29&lt;&gt;P29,N29&lt;&gt;Q29,O29&lt;&gt;P29,O29&lt;&gt;Q29,P29&lt;&gt;Q29)),"Note: Effort changes in the outyears!","")&amp;IF(AND('BP1'!$K$5=5,OR(N29&lt;&gt;O29,N29&lt;&gt;P29,N29&lt;&gt;Q29,N29&lt;&gt;R29,O29&lt;&gt;P29,O29&lt;&gt;Q29,O29&lt;&gt;R29,P29&lt;&gt;Q29,P29&lt;&gt;R29,Q29&lt;&gt;R29)),"Note: Effort changes in the outyears!","")</f>
        <v/>
      </c>
      <c r="U29" s="691" t="str">
        <f t="shared" ca="1" si="1"/>
        <v>Blank</v>
      </c>
    </row>
    <row r="30" spans="1:21" ht="60" customHeight="1">
      <c r="A30" s="991" t="str">
        <f ca="1">IF('Cumulative Budget'!H39+'Cumulative Budget'!I39+'Cumulative Budget'!J39&gt;0,IF(S30="Note: Effort changes in the outyears!",IF(I30&lt;&gt;"",I30&amp;" in Budget Period 1","")&amp;IF(AND(I30&lt;&gt;"",J30&lt;&gt;""),"; ","")&amp;IF(J30&lt;&gt;"",J30&amp;" in Budget Period 2","")&amp;IF(AND(OR(I30&lt;&gt;"",J30&lt;&gt;""),K30&lt;&gt;""),"; ","")&amp;IF(K30&lt;&gt;"",K30&amp;" in Budget Period 3","")&amp;IF(AND(OR(I30&lt;&gt;"",J30&lt;&gt;"",K30&lt;&gt;""),L30&lt;&gt;""),"; ","")&amp;IF(L30&lt;&gt;"",L30&amp;" in Budget Period 4","")&amp;IF(AND(OR(I30&lt;&gt;"",J30&lt;&gt;"",K30&lt;&gt;"",L30&lt;&gt;""),M30&lt;&gt;""),"; ","")&amp;IF(M30&lt;&gt;"",M30&amp;" in Budget Period 5","")&amp;" for "&amp;ROUNDUP('BP1'!H39/'BP1'!G39,0)&amp;" "&amp;'BP1'!D39&amp;" is requested. ",I30&amp;" for "&amp;ROUNDUP('BP1'!H39/'BP1'!G39,0)&amp;" "&amp;'BP1'!D39&amp;" is requested"&amp;IF('BP1'!$K$5&gt;1," each budget period for "&amp;'BP1'!$K$5&amp;" budget periods. ",". ")),"")&amp;IF('Cumulative Budget'!N39&gt;0,IF(T30="Note: Effort changes in the outyears!",IF(N30&lt;&gt;"",N30&amp;" in Budget Period 1","")&amp;IF(AND(N30&lt;&gt;"",O30&lt;&gt;""),"; ","")&amp;IF(O30&lt;&gt;"",O30&amp;" in Budget Period 2","")&amp;IF(AND(OR(N30&lt;&gt;"",O30&lt;&gt;""),P30&lt;&gt;""),"; ","")&amp;IF(P30&lt;&gt;"",P30&amp;" in Budget Period 3","")&amp;IF(AND(OR(N30&lt;&gt;"",O30&lt;&gt;"",P30&lt;&gt;""),Q30&lt;&gt;""),"; ","")&amp;IF(Q30&lt;&gt;"",Q30&amp;" in Budget Period 4","")&amp;IF(AND(OR(N30&lt;&gt;"",O30&lt;&gt;"",P30&lt;&gt;"",Q30&lt;&gt;""),R30&lt;&gt;""),"; ","")&amp;IF(R30&lt;&gt;"",R30&amp;" in Budget Period 5","")&amp;" for "&amp;ROUNDUP('BP1'!M39/'BP1'!G39,0)&amp;" "&amp;'BP1'!D39&amp;" is requested. ",N30&amp;" for "&amp;ROUNDUP('BP1'!M39/'BP1'!G39,0)&amp;" "&amp;'BP1'!D39&amp;" is requested"&amp;IF('BP1'!$K$5&gt;1," each budget period for "&amp;'BP1'!$K$5&amp;" budget periods. ",". ")),"")&amp;IF(AND('BP1'!$K$5&gt;1,'BP1'!$K$7&gt;0,OR('Cumulative Budget'!H39+'Cumulative Budget'!M39&gt;0)),"Salary is inflated by "&amp;('BP1'!$K$7*100)&amp;"% annually each September. ","")&amp;IF(ISBLANK('BP1'!Q39),"",'BP1'!Q39)</f>
        <v/>
      </c>
      <c r="B30" s="991"/>
      <c r="C30" s="991"/>
      <c r="D30" s="991"/>
      <c r="E30" s="991"/>
      <c r="F30" s="991"/>
      <c r="G30" s="991"/>
      <c r="H30" s="991"/>
      <c r="I30" s="615" t="str">
        <f>IF(SUM('Cumulative Budget'!H39:J39)&gt;0,(IF('BP1'!$K$5&gt;0,((IF('BP1'!H39&gt;0,CONCATENATE(IF('BP1'!H39&gt;0,TEXT('BP1'!H39,"0.00")&amp;" calendar month"&amp;IF('BP1'!H39&gt;1,"s",)&amp;" (or "&amp;TEXT('BP1'!H39/'BP1'!G39/ROUNDUP('BP1'!H39/'BP1'!G39,0),"0%")&amp;" calendar effort"&amp;IF('BP1'!H39&gt;12," each","")&amp;")",)),CONCATENATE(IF('BP1'!I39&gt;0,TEXT('BP1'!I39,"0.00")&amp;" academic month"&amp;IF('BP1'!I39&gt;1,"s",)&amp;" (or "&amp;TEXT('BP1'!I39/9,"0%")&amp;" academic effort)",),IF(AND('BP1'!I39&gt;0,'BP1'!J39&gt;0)," and ",),IF('BP1'!J39&gt;0,TEXT('BP1'!J39,"0.00")&amp;" summer month"&amp;IF('BP1'!J39&gt;1,"s",)&amp;" (or "&amp;TEXT('BP1'!J39/3,"0%")&amp;" summer effort)",))))),"")),"")</f>
        <v/>
      </c>
      <c r="J30" s="615" t="str">
        <f>IF(SUM('Cumulative Budget'!H39:J39)&gt;0,(IF('BP1'!$K$5&gt;1,((IF('BP2'!H39&gt;0,CONCATENATE(IF('BP2'!H39&gt;0,TEXT('BP2'!H39,"0.00")&amp;" calendar month"&amp;IF('BP2'!H39&gt;1,"s",)&amp;" (or "&amp;TEXT('BP2'!H39/'BP2'!G39/ROUNDUP('BP2'!H39/'BP2'!G39,0),"0%")&amp;" calendar effort"&amp;IF('BP2'!H39&gt;12," each","")&amp;")",)),CONCATENATE(IF('BP2'!I39&gt;0,TEXT('BP2'!I39,"0.00")&amp;" academic month"&amp;IF('BP2'!I39&gt;1,"s",)&amp;" (or "&amp;TEXT('BP2'!I39/9,"0%")&amp;" academic effort)",),IF(AND('BP2'!I39&gt;0,'BP2'!J39&gt;0)," and ",),IF('BP2'!J39&gt;0,TEXT('BP2'!J39,"0.00")&amp;" summer month"&amp;IF('BP2'!J39&gt;1,"s",)&amp;" (or "&amp;TEXT('BP2'!J39/3,"0%")&amp;" summer effort)",))))),"")),"")</f>
        <v/>
      </c>
      <c r="K30" s="615" t="str">
        <f>IF(SUM('Cumulative Budget'!H39:J39)&gt;0,(IF('BP1'!$K$5&gt;2,((IF('BP3'!H39&gt;0,CONCATENATE(IF('BP3'!H39&gt;0,TEXT('BP3'!H39,"0.00")&amp;" calendar month"&amp;IF('BP3'!H39&gt;1,"s",)&amp;" (or "&amp;TEXT('BP3'!H39/'BP3'!G39/ROUNDUP('BP3'!H39/'BP3'!G39,0),"0%")&amp;" calendar effort"&amp;IF('BP3'!H39&gt;12," each","")&amp;")",)),CONCATENATE(IF('BP3'!I39&gt;0,TEXT('BP3'!I39,"0.00")&amp;" academic month"&amp;IF('BP3'!I39&gt;1,"s",)&amp;" (or "&amp;TEXT('BP3'!I39/9,"0%")&amp;" academic effort)",),IF(AND('BP3'!I39&gt;0,'BP3'!J39&gt;0)," and ",),IF('BP3'!J39&gt;0,TEXT('BP3'!J39,"0.00")&amp;" summer month"&amp;IF('BP3'!J39&gt;1,"s",)&amp;" (or "&amp;TEXT('BP3'!J39/3,"0%")&amp;" summer effort)",))))),"")),"")</f>
        <v/>
      </c>
      <c r="L30" s="615" t="str">
        <f>IF(SUM('Cumulative Budget'!H39:J39)&gt;0,(IF('BP1'!$K$5&gt;3,((IF('BP4'!H39&gt;0,CONCATENATE(IF('BP4'!H39&gt;0,TEXT('BP4'!H39,"0.00")&amp;" calendar month"&amp;IF('BP4'!H39&gt;1,"s",)&amp;" (or "&amp;TEXT('BP4'!H39/'BP4'!G39/ROUNDUP('BP4'!H39/'BP4'!G39,0),"0%")&amp;" calendar effort"&amp;IF('BP4'!H39&gt;12," each","")&amp;")",)),CONCATENATE(IF('BP4'!I39&gt;0,TEXT('BP4'!I39,"0.00")&amp;" academic month"&amp;IF('BP4'!I39&gt;1,"s",)&amp;" (or "&amp;TEXT('BP4'!I39/9,"0%")&amp;" academic effort)",),IF(AND('BP4'!I39&gt;0,'BP4'!J39&gt;0)," and ",),IF('BP4'!J39&gt;0,TEXT('BP4'!J39,"0.00")&amp;" summer month"&amp;IF('BP4'!J39&gt;1,"s",)&amp;" (or "&amp;TEXT('BP4'!J39/3,"0%")&amp;" summer effort)",))))),"")),"")</f>
        <v/>
      </c>
      <c r="M30" s="615" t="str">
        <f>IF(SUM('Cumulative Budget'!H39:J39)&gt;0,(IF('BP1'!$K$5&gt;4,((IF('BP5'!H39&gt;0,CONCATENATE(IF('BP5'!H39&gt;0,TEXT('BP5'!H39,"0.00")&amp;" calendar month"&amp;IF('BP5'!H39&gt;1,"s",)&amp;" (or "&amp;TEXT('BP5'!H39/'BP5'!G39/ROUNDUP('BP5'!H39/'BP5'!G39,0),"0%")&amp;" calendar effort"&amp;IF('BP5'!H39&gt;12," each","")&amp;")",)),CONCATENATE(IF('BP5'!I39&gt;0,TEXT('BP5'!I39,"0.00")&amp;" academic month"&amp;IF('BP5'!I39&gt;1,"s",)&amp;" (or "&amp;TEXT('BP5'!I39/9,"0%")&amp;" academic effort)",),IF(AND('BP5'!I39&gt;0,'BP5'!J39&gt;0)," and ",),IF('BP5'!J39&gt;0,TEXT('BP5'!J39,"0.00")&amp;" summer month"&amp;IF('BP5'!J39&gt;1,"s",)&amp;" (or "&amp;TEXT('BP5'!J39/3,"0%")&amp;" summer effort)",))))),"")),"")</f>
        <v/>
      </c>
      <c r="N30" s="615" t="str">
        <f>IF(AND('BP1'!M39&gt;0,'BP1'!$A$5&gt;0),TEXT('BP1'!M39,"0.00")&amp;" cost-shared month"&amp;IF('BP1'!M39&gt;1,"s",)&amp;" (or "&amp;TEXT('BP1'!M39/'BP1'!G39/ROUNDUP('BP1'!M39/'BP1'!G39,0),"0%")&amp;" cost-shared effort"&amp;IF('BP1'!M39&gt;12," each","")&amp;")","")</f>
        <v/>
      </c>
      <c r="O30" s="615" t="str">
        <f>IF(AND('BP2'!M39&gt;0,'BP2'!$A$5&gt;0),TEXT('BP2'!M39,"0.00")&amp;" cost-shared month"&amp;IF('BP2'!M39&gt;1,"s",)&amp;" (or "&amp;TEXT('BP2'!M39/'BP2'!G39/ROUNDUP('BP2'!M39/'BP2'!G39,0),"0%")&amp;" cost-shared effort"&amp;IF('BP2'!M39&gt;12," each","")&amp;")","")</f>
        <v/>
      </c>
      <c r="P30" s="615" t="str">
        <f>IF(AND('BP3'!M39&gt;0,'BP3'!$A$5&gt;0),TEXT('BP3'!M39,"0.00")&amp;" cost-shared month"&amp;IF('BP3'!M39&gt;1,"s",)&amp;" (or "&amp;TEXT('BP3'!M39/'BP3'!G39/ROUNDUP('BP3'!M39/'BP3'!G39,0),"0%")&amp;" cost-shared effort"&amp;IF('BP3'!M39&gt;12," each","")&amp;")","")</f>
        <v/>
      </c>
      <c r="Q30" s="615" t="str">
        <f>IF(AND('BP4'!M39&gt;0,'BP4'!$A$5&gt;0),TEXT('BP4'!M39,"0.00")&amp;" cost-shared month"&amp;IF('BP4'!M39&gt;1,"s",)&amp;" (or "&amp;TEXT('BP4'!M39/'BP4'!G39/ROUNDUP('BP4'!M39/'BP4'!G39,0),"0%")&amp;" cost-shared effort"&amp;IF('BP4'!M39&gt;12," each","")&amp;")","")</f>
        <v/>
      </c>
      <c r="R30" s="615" t="str">
        <f>IF(AND('BP5'!M39&gt;0,'BP5'!$A$5&gt;0),TEXT('BP5'!M39,"0.00")&amp;" cost-shared month"&amp;IF('BP5'!M39&gt;1,"s",)&amp;" (or "&amp;TEXT('BP5'!M39/'BP5'!G39/ROUNDUP('BP5'!M39/'BP5'!G39,0),"0%")&amp;" cost-shared effort"&amp;IF('BP5'!M39&gt;12," each","")&amp;")","")</f>
        <v/>
      </c>
      <c r="S30" s="236" t="str">
        <f>IF(AND('BP1'!$K$5=2,I30&lt;&gt;J30),"Note: Effort changes in the outyears!","")&amp;IF(AND('BP1'!$K$5=3,OR(I30&lt;&gt;J30,I30&lt;&gt;K30,J30&lt;&gt;K30)),"Note: Effort changes in the outyears!","")&amp;IF(AND('BP1'!$K$5=4,OR(I30&lt;&gt;J30,I30&lt;&gt;K30,I30&lt;&gt;L30,J30&lt;&gt;K30,J30&lt;&gt;L30,K30&lt;&gt;L30)),"Note: Effort changes in the outyears!","")&amp;IF(AND('BP1'!$K$5=5,OR(I30&lt;&gt;J30,I30&lt;&gt;K30,I30&lt;&gt;L30,I30&lt;&gt;M30,J30&lt;&gt;K30,J30&lt;&gt;L30,J30&lt;&gt;M30,K30&lt;&gt;L30,K30&lt;&gt;M30,L30&lt;&gt;M30)),"Note: Effort changes in the outyears!","")</f>
        <v/>
      </c>
      <c r="T30" s="236" t="str">
        <f>IF(AND('BP1'!$K$5=2,N30&lt;&gt;O30),"Note: Effort changes in the outyears!","")&amp;IF(AND('BP1'!$K$5=3,OR(N30&lt;&gt;O30,N30&lt;&gt;P30,O30&lt;&gt;P30)),"Note: Effort changes in the outyears!","")&amp;IF(AND('BP1'!$K$5=4,OR(N30&lt;&gt;O30,N30&lt;&gt;P30,N30&lt;&gt;Q30,O30&lt;&gt;P30,O30&lt;&gt;Q30,P30&lt;&gt;Q30)),"Note: Effort changes in the outyears!","")&amp;IF(AND('BP1'!$K$5=5,OR(N30&lt;&gt;O30,N30&lt;&gt;P30,N30&lt;&gt;Q30,N30&lt;&gt;R30,O30&lt;&gt;P30,O30&lt;&gt;Q30,O30&lt;&gt;R30,P30&lt;&gt;Q30,P30&lt;&gt;R30,Q30&lt;&gt;R30)),"Note: Effort changes in the outyears!","")</f>
        <v/>
      </c>
      <c r="U30" s="691" t="str">
        <f t="shared" ca="1" si="1"/>
        <v>Blank</v>
      </c>
    </row>
    <row r="31" spans="1:21" ht="60" customHeight="1">
      <c r="A31" s="991" t="str">
        <f ca="1">IF('Cumulative Budget'!H40+'Cumulative Budget'!I40+'Cumulative Budget'!J40&gt;0,IF(S31="Note: Effort changes in the outyears!",IF(I31&lt;&gt;"",I31&amp;" in Budget Period 1","")&amp;IF(AND(I31&lt;&gt;"",J31&lt;&gt;""),"; ","")&amp;IF(J31&lt;&gt;"",J31&amp;" in Budget Period 2","")&amp;IF(AND(OR(I31&lt;&gt;"",J31&lt;&gt;""),K31&lt;&gt;""),"; ","")&amp;IF(K31&lt;&gt;"",K31&amp;" in Budget Period 3","")&amp;IF(AND(OR(I31&lt;&gt;"",J31&lt;&gt;"",K31&lt;&gt;""),L31&lt;&gt;""),"; ","")&amp;IF(L31&lt;&gt;"",L31&amp;" in Budget Period 4","")&amp;IF(AND(OR(I31&lt;&gt;"",J31&lt;&gt;"",K31&lt;&gt;"",L31&lt;&gt;""),M31&lt;&gt;""),"; ","")&amp;IF(M31&lt;&gt;"",M31&amp;" in Budget Period 5","")&amp;" for "&amp;ROUNDUP('BP1'!H40/'BP1'!G40,0)&amp;" "&amp;'BP1'!D40&amp;" is requested. ",I31&amp;" for "&amp;ROUNDUP('BP1'!H40/'BP1'!G40,0)&amp;" "&amp;'BP1'!D40&amp;" is requested"&amp;IF('BP1'!$K$5&gt;1," each budget period for "&amp;'BP1'!$K$5&amp;" budget periods. ",". ")),"")&amp;IF('Cumulative Budget'!N40&gt;0,IF(T31="Note: Effort changes in the outyears!",IF(N31&lt;&gt;"",N31&amp;" in Budget Period 1","")&amp;IF(AND(N31&lt;&gt;"",O31&lt;&gt;""),"; ","")&amp;IF(O31&lt;&gt;"",O31&amp;" in Budget Period 2","")&amp;IF(AND(OR(N31&lt;&gt;"",O31&lt;&gt;""),P31&lt;&gt;""),"; ","")&amp;IF(P31&lt;&gt;"",P31&amp;" in Budget Period 3","")&amp;IF(AND(OR(N31&lt;&gt;"",O31&lt;&gt;"",P31&lt;&gt;""),Q31&lt;&gt;""),"; ","")&amp;IF(Q31&lt;&gt;"",Q31&amp;" in Budget Period 4","")&amp;IF(AND(OR(N31&lt;&gt;"",O31&lt;&gt;"",P31&lt;&gt;"",Q31&lt;&gt;""),R31&lt;&gt;""),"; ","")&amp;IF(R31&lt;&gt;"",R31&amp;" in Budget Period 5","")&amp;" for "&amp;ROUNDUP('BP1'!M40/'BP1'!G40,0)&amp;" "&amp;'BP1'!D40&amp;" is requested. ",N31&amp;" for "&amp;ROUNDUP('BP1'!M40/'BP1'!G40,0)&amp;" "&amp;'BP1'!D40&amp;" is requested"&amp;IF('BP1'!$K$5&gt;1," each budget period for "&amp;'BP1'!$K$5&amp;" budget periods. ",". ")),"")&amp;IF(AND('BP1'!$K$5&gt;1,'BP1'!$K$7&gt;0,OR('Cumulative Budget'!H40+'Cumulative Budget'!M40&gt;0)),"Salary is inflated by "&amp;('BP1'!$K$7*100)&amp;"% annually each September. ","")&amp;IF(ISBLANK('BP1'!Q40),"",'BP1'!Q40)</f>
        <v/>
      </c>
      <c r="B31" s="991"/>
      <c r="C31" s="991"/>
      <c r="D31" s="991"/>
      <c r="E31" s="991"/>
      <c r="F31" s="991"/>
      <c r="G31" s="991"/>
      <c r="H31" s="991"/>
      <c r="I31" s="615" t="str">
        <f>IF(SUM('Cumulative Budget'!H40:J40)&gt;0,(IF('BP1'!$K$5&gt;0,((IF('BP1'!H40&gt;0,CONCATENATE(IF('BP1'!H40&gt;0,TEXT('BP1'!H40,"0.00")&amp;" calendar month"&amp;IF('BP1'!H40&gt;1,"s",)&amp;" (or "&amp;TEXT('BP1'!H40/'BP1'!G40/ROUNDUP('BP1'!H40/'BP1'!G40,0),"0%")&amp;" calendar effort"&amp;IF('BP1'!H40&gt;12," each","")&amp;")",)),CONCATENATE(IF('BP1'!I40&gt;0,TEXT('BP1'!I40,"0.00")&amp;" academic month"&amp;IF('BP1'!I40&gt;1,"s",)&amp;" (or "&amp;TEXT('BP1'!I40/9,"0%")&amp;" academic effort)",),IF(AND('BP1'!I40&gt;0,'BP1'!J40&gt;0)," and ",),IF('BP1'!J40&gt;0,TEXT('BP1'!J40,"0.00")&amp;" summer month"&amp;IF('BP1'!J40&gt;1,"s",)&amp;" (or "&amp;TEXT('BP1'!J40/3,"0%")&amp;" summer effort)",))))),"")),"")</f>
        <v/>
      </c>
      <c r="J31" s="615" t="str">
        <f>IF(SUM('Cumulative Budget'!H40:J40)&gt;0,(IF('BP1'!$K$5&gt;1,((IF('BP2'!H40&gt;0,CONCATENATE(IF('BP2'!H40&gt;0,TEXT('BP2'!H40,"0.00")&amp;" calendar month"&amp;IF('BP2'!H40&gt;1,"s",)&amp;" (or "&amp;TEXT('BP2'!H40/'BP2'!G40/ROUNDUP('BP2'!H40/'BP2'!G40,0),"0%")&amp;" calendar effort"&amp;IF('BP2'!H40&gt;12," each","")&amp;")",)),CONCATENATE(IF('BP2'!I40&gt;0,TEXT('BP2'!I40,"0.00")&amp;" academic month"&amp;IF('BP2'!I40&gt;1,"s",)&amp;" (or "&amp;TEXT('BP2'!I40/9,"0%")&amp;" academic effort)",),IF(AND('BP2'!I40&gt;0,'BP2'!J40&gt;0)," and ",),IF('BP2'!J40&gt;0,TEXT('BP2'!J40,"0.00")&amp;" summer month"&amp;IF('BP2'!J40&gt;1,"s",)&amp;" (or "&amp;TEXT('BP2'!J40/3,"0%")&amp;" summer effort)",))))),"")),"")</f>
        <v/>
      </c>
      <c r="K31" s="615" t="str">
        <f>IF(SUM('Cumulative Budget'!H40:J40)&gt;0,(IF('BP1'!$K$5&gt;2,((IF('BP3'!H40&gt;0,CONCATENATE(IF('BP3'!H40&gt;0,TEXT('BP3'!H40,"0.00")&amp;" calendar month"&amp;IF('BP3'!H40&gt;1,"s",)&amp;" (or "&amp;TEXT('BP3'!H40/'BP3'!G40/ROUNDUP('BP3'!H40/'BP3'!G40,0),"0%")&amp;" calendar effort"&amp;IF('BP3'!H40&gt;12," each","")&amp;")",)),CONCATENATE(IF('BP3'!I40&gt;0,TEXT('BP3'!I40,"0.00")&amp;" academic month"&amp;IF('BP3'!I40&gt;1,"s",)&amp;" (or "&amp;TEXT('BP3'!I40/9,"0%")&amp;" academic effort)",),IF(AND('BP3'!I40&gt;0,'BP3'!J40&gt;0)," and ",),IF('BP3'!J40&gt;0,TEXT('BP3'!J40,"0.00")&amp;" summer month"&amp;IF('BP3'!J40&gt;1,"s",)&amp;" (or "&amp;TEXT('BP3'!J40/3,"0%")&amp;" summer effort)",))))),"")),"")</f>
        <v/>
      </c>
      <c r="L31" s="615" t="str">
        <f>IF(SUM('Cumulative Budget'!H40:J40)&gt;0,(IF('BP1'!$K$5&gt;3,((IF('BP4'!H40&gt;0,CONCATENATE(IF('BP4'!H40&gt;0,TEXT('BP4'!H40,"0.00")&amp;" calendar month"&amp;IF('BP4'!H40&gt;1,"s",)&amp;" (or "&amp;TEXT('BP4'!H40/'BP4'!G40/ROUNDUP('BP4'!H40/'BP4'!G40,0),"0%")&amp;" calendar effort"&amp;IF('BP4'!H40&gt;12," each","")&amp;")",)),CONCATENATE(IF('BP4'!I40&gt;0,TEXT('BP4'!I40,"0.00")&amp;" academic month"&amp;IF('BP4'!I40&gt;1,"s",)&amp;" (or "&amp;TEXT('BP4'!I40/9,"0%")&amp;" academic effort)",),IF(AND('BP4'!I40&gt;0,'BP4'!J40&gt;0)," and ",),IF('BP4'!J40&gt;0,TEXT('BP4'!J40,"0.00")&amp;" summer month"&amp;IF('BP4'!J40&gt;1,"s",)&amp;" (or "&amp;TEXT('BP4'!J40/3,"0%")&amp;" summer effort)",))))),"")),"")</f>
        <v/>
      </c>
      <c r="M31" s="615" t="str">
        <f>IF(SUM('Cumulative Budget'!H40:J40)&gt;0,(IF('BP1'!$K$5&gt;4,((IF('BP5'!H40&gt;0,CONCATENATE(IF('BP5'!H40&gt;0,TEXT('BP5'!H40,"0.00")&amp;" calendar month"&amp;IF('BP5'!H40&gt;1,"s",)&amp;" (or "&amp;TEXT('BP5'!H40/'BP5'!G40/ROUNDUP('BP5'!H40/'BP5'!G40,0),"0%")&amp;" calendar effort"&amp;IF('BP5'!H40&gt;12," each","")&amp;")",)),CONCATENATE(IF('BP5'!I40&gt;0,TEXT('BP5'!I40,"0.00")&amp;" academic month"&amp;IF('BP5'!I40&gt;1,"s",)&amp;" (or "&amp;TEXT('BP5'!I40/9,"0%")&amp;" academic effort)",),IF(AND('BP5'!I40&gt;0,'BP5'!J40&gt;0)," and ",),IF('BP5'!J40&gt;0,TEXT('BP5'!J40,"0.00")&amp;" summer month"&amp;IF('BP5'!J40&gt;1,"s",)&amp;" (or "&amp;TEXT('BP5'!J40/3,"0%")&amp;" summer effort)",))))),"")),"")</f>
        <v/>
      </c>
      <c r="N31" s="615" t="str">
        <f>IF(AND('BP1'!M40&gt;0,'BP1'!$A$5&gt;0),TEXT('BP1'!M40,"0.00")&amp;" cost-shared month"&amp;IF('BP1'!M40&gt;1,"s",)&amp;" (or "&amp;TEXT('BP1'!M40/'BP1'!G40/ROUNDUP('BP1'!M40/'BP1'!G40,0),"0%")&amp;" cost-shared effort"&amp;IF('BP1'!M40&gt;12," each","")&amp;")","")</f>
        <v/>
      </c>
      <c r="O31" s="615" t="str">
        <f>IF(AND('BP2'!M40&gt;0,'BP2'!$A$5&gt;0),TEXT('BP2'!M40,"0.00")&amp;" cost-shared month"&amp;IF('BP2'!M40&gt;1,"s",)&amp;" (or "&amp;TEXT('BP2'!M40/'BP2'!G40/ROUNDUP('BP2'!M40/'BP2'!G40,0),"0%")&amp;" cost-shared effort"&amp;IF('BP2'!M40&gt;12," each","")&amp;")","")</f>
        <v/>
      </c>
      <c r="P31" s="615" t="str">
        <f>IF(AND('BP3'!M40&gt;0,'BP3'!$A$5&gt;0),TEXT('BP3'!M40,"0.00")&amp;" cost-shared month"&amp;IF('BP3'!M40&gt;1,"s",)&amp;" (or "&amp;TEXT('BP3'!M40/'BP3'!G40/ROUNDUP('BP3'!M40/'BP3'!G40,0),"0%")&amp;" cost-shared effort"&amp;IF('BP3'!M40&gt;12," each","")&amp;")","")</f>
        <v/>
      </c>
      <c r="Q31" s="615" t="str">
        <f>IF(AND('BP4'!M40&gt;0,'BP4'!$A$5&gt;0),TEXT('BP4'!M40,"0.00")&amp;" cost-shared month"&amp;IF('BP4'!M40&gt;1,"s",)&amp;" (or "&amp;TEXT('BP4'!M40/'BP4'!G40/ROUNDUP('BP4'!M40/'BP4'!G40,0),"0%")&amp;" cost-shared effort"&amp;IF('BP4'!M40&gt;12," each","")&amp;")","")</f>
        <v/>
      </c>
      <c r="R31" s="615" t="str">
        <f>IF(AND('BP5'!M40&gt;0,'BP5'!$A$5&gt;0),TEXT('BP5'!M40,"0.00")&amp;" cost-shared month"&amp;IF('BP5'!M40&gt;1,"s",)&amp;" (or "&amp;TEXT('BP5'!M40/'BP5'!G40/ROUNDUP('BP5'!M40/'BP5'!G40,0),"0%")&amp;" cost-shared effort"&amp;IF('BP5'!M40&gt;12," each","")&amp;")","")</f>
        <v/>
      </c>
      <c r="S31" s="236" t="str">
        <f>IF(AND('BP1'!$K$5=2,I31&lt;&gt;J31),"Note: Effort changes in the outyears!","")&amp;IF(AND('BP1'!$K$5=3,OR(I31&lt;&gt;J31,I31&lt;&gt;K31,J31&lt;&gt;K31)),"Note: Effort changes in the outyears!","")&amp;IF(AND('BP1'!$K$5=4,OR(I31&lt;&gt;J31,I31&lt;&gt;K31,I31&lt;&gt;L31,J31&lt;&gt;K31,J31&lt;&gt;L31,K31&lt;&gt;L31)),"Note: Effort changes in the outyears!","")&amp;IF(AND('BP1'!$K$5=5,OR(I31&lt;&gt;J31,I31&lt;&gt;K31,I31&lt;&gt;L31,I31&lt;&gt;M31,J31&lt;&gt;K31,J31&lt;&gt;L31,J31&lt;&gt;M31,K31&lt;&gt;L31,K31&lt;&gt;M31,L31&lt;&gt;M31)),"Note: Effort changes in the outyears!","")</f>
        <v/>
      </c>
      <c r="T31" s="236" t="str">
        <f>IF(AND('BP1'!$K$5=2,N31&lt;&gt;O31),"Note: Effort changes in the outyears!","")&amp;IF(AND('BP1'!$K$5=3,OR(N31&lt;&gt;O31,N31&lt;&gt;P31,O31&lt;&gt;P31)),"Note: Effort changes in the outyears!","")&amp;IF(AND('BP1'!$K$5=4,OR(N31&lt;&gt;O31,N31&lt;&gt;P31,N31&lt;&gt;Q31,O31&lt;&gt;P31,O31&lt;&gt;Q31,P31&lt;&gt;Q31)),"Note: Effort changes in the outyears!","")&amp;IF(AND('BP1'!$K$5=5,OR(N31&lt;&gt;O31,N31&lt;&gt;P31,N31&lt;&gt;Q31,N31&lt;&gt;R31,O31&lt;&gt;P31,O31&lt;&gt;Q31,O31&lt;&gt;R31,P31&lt;&gt;Q31,P31&lt;&gt;R31,Q31&lt;&gt;R31)),"Note: Effort changes in the outyears!","")</f>
        <v/>
      </c>
      <c r="U31" s="691" t="str">
        <f t="shared" ca="1" si="1"/>
        <v>Blank</v>
      </c>
    </row>
    <row r="32" spans="1:21" ht="15" customHeight="1">
      <c r="A32" s="992"/>
      <c r="B32" s="992"/>
      <c r="C32" s="992"/>
      <c r="D32" s="992"/>
      <c r="E32" s="992"/>
      <c r="F32" s="992"/>
      <c r="G32" s="992"/>
      <c r="H32" s="992"/>
      <c r="I32" s="261"/>
      <c r="J32" s="261"/>
      <c r="K32" s="261"/>
      <c r="L32" s="261"/>
      <c r="M32" s="261"/>
      <c r="N32" s="530"/>
      <c r="O32" s="530"/>
      <c r="P32" s="530"/>
      <c r="Q32" s="530"/>
      <c r="R32" s="530"/>
      <c r="S32" s="236"/>
      <c r="T32" s="236"/>
      <c r="U32" s="691" t="str">
        <f ca="1">IF(A22="","Blank","Populate")</f>
        <v>Blank</v>
      </c>
    </row>
    <row r="33" spans="1:30" ht="15" customHeight="1">
      <c r="A33" s="993" t="str">
        <f ca="1">IF(OR('Cumulative Budget'!K42:K42&gt;0,'Cumulative Budget'!N42:N42&gt;0),"Employee Fringe Benefits:","")</f>
        <v/>
      </c>
      <c r="B33" s="993"/>
      <c r="C33" s="993"/>
      <c r="D33" s="993"/>
      <c r="E33" s="993"/>
      <c r="F33" s="993"/>
      <c r="G33" s="993"/>
      <c r="H33" s="993"/>
      <c r="I33" s="262"/>
      <c r="J33" s="262"/>
      <c r="K33" s="262"/>
      <c r="L33" s="262"/>
      <c r="M33" s="262"/>
      <c r="N33" s="531"/>
      <c r="O33" s="531"/>
      <c r="P33" s="531"/>
      <c r="Q33" s="531"/>
      <c r="R33" s="531"/>
      <c r="S33" s="236"/>
      <c r="T33" s="236"/>
      <c r="U33" s="691" t="str">
        <f ca="1">IF(A33="","Blank","Populate")</f>
        <v>Blank</v>
      </c>
    </row>
    <row r="34" spans="1:30" ht="15" customHeight="1">
      <c r="A34" s="991" t="str">
        <f ca="1">IF(OR('Cumulative Budget'!K42:K42&gt;0,'Cumulative Budget'!N42:N42&gt;0),IF('BP1'!K2="Non-Federal","Employee benefits have been calculated based on the following approved rates:","Employee benefits have been calculated based on the following DHHS approved rates:"),"")</f>
        <v/>
      </c>
      <c r="B34" s="991"/>
      <c r="C34" s="991"/>
      <c r="D34" s="991"/>
      <c r="E34" s="991"/>
      <c r="F34" s="991"/>
      <c r="G34" s="991"/>
      <c r="H34" s="991"/>
      <c r="I34" s="260"/>
      <c r="J34" s="260"/>
      <c r="K34" s="260"/>
      <c r="L34" s="260"/>
      <c r="M34" s="260"/>
      <c r="N34" s="529"/>
      <c r="O34" s="529"/>
      <c r="P34" s="529"/>
      <c r="Q34" s="529"/>
      <c r="R34" s="529"/>
      <c r="S34" s="236"/>
      <c r="T34" s="236"/>
      <c r="U34" s="691" t="str">
        <f ca="1">IF(A33="","Blank","Populate")</f>
        <v>Blank</v>
      </c>
      <c r="W34" s="686"/>
    </row>
    <row r="35" spans="1:30" ht="15" customHeight="1">
      <c r="A35" s="990"/>
      <c r="B35" s="990"/>
      <c r="C35" s="991" t="str">
        <f ca="1">IF('Cumulative Budget'!K41-'Cumulative Budget'!K38-'Cumulative Budget'!K39-'Cumulative Budget'!K40&gt;0,"Faculty and Staff","")</f>
        <v/>
      </c>
      <c r="D35" s="991"/>
      <c r="E35" s="991" t="str">
        <f ca="1">IF('Cumulative Budget'!K38&gt;0,"Graduate Students","")</f>
        <v/>
      </c>
      <c r="F35" s="991"/>
      <c r="G35" s="991" t="str">
        <f ca="1">IF('Cumulative Budget'!K40&gt;0,"Other (Statutory)","")</f>
        <v/>
      </c>
      <c r="H35" s="991"/>
      <c r="I35" s="260"/>
      <c r="J35" s="260"/>
      <c r="K35" s="260"/>
      <c r="L35" s="260"/>
      <c r="M35" s="260"/>
      <c r="N35" s="529"/>
      <c r="O35" s="529"/>
      <c r="P35" s="529"/>
      <c r="Q35" s="529"/>
      <c r="R35" s="529"/>
      <c r="S35" s="236"/>
      <c r="T35" s="236"/>
      <c r="U35" s="691" t="str">
        <f ca="1">IF(AND(G35="",E35="", C35=""),"Blank","Populate")</f>
        <v>Blank</v>
      </c>
    </row>
    <row r="36" spans="1:30" ht="15" customHeight="1">
      <c r="A36" s="990" t="str">
        <f ca="1">IF(OR('Cumulative Budget'!K42:K42&gt;0,'Cumulative Budget'!N42:N42&gt;0),"9/1/15 - 8/31/16","")</f>
        <v/>
      </c>
      <c r="B36" s="990"/>
      <c r="C36" s="692" t="str">
        <f ca="1">IF(OR(('Cumulative Budget'!K42:K42-'Cumulative Budget'!L38:L38-'Cumulative Budget'!L40:L40)&gt;0,('Cumulative Budget'!N42:N42-'Cumulative Budget'!O38:O38-'Cumulative Budget'!O40:O40)&gt;0),IF('BP1'!K2="Non-Federal","27.20%","24.70%"),"")</f>
        <v/>
      </c>
      <c r="D36" s="692"/>
      <c r="E36" s="692" t="str">
        <f ca="1">IF(OR('Cumulative Budget'!K38&gt;0,'Cumulative Budget'!N38&gt;0),"2.30%","")</f>
        <v/>
      </c>
      <c r="F36" s="692"/>
      <c r="G36" s="692" t="str">
        <f ca="1">IF('Cumulative Budget'!K40&gt;0,"6.10%","")</f>
        <v/>
      </c>
      <c r="H36" s="692"/>
      <c r="I36" s="688"/>
      <c r="J36" s="688"/>
      <c r="K36" s="688"/>
      <c r="L36" s="688"/>
      <c r="M36" s="688"/>
      <c r="N36" s="688"/>
      <c r="O36" s="688"/>
      <c r="P36" s="688"/>
      <c r="Q36" s="688"/>
      <c r="R36" s="688"/>
      <c r="S36" s="236"/>
      <c r="T36" s="236"/>
      <c r="U36" s="691" t="str">
        <f ca="1">IF(AND(A33&lt;&gt;"",'Cumulative Budget'!K8&lt;=DATE(2016,8,31),'Cumulative Budget'!K10&gt;=DATE(2015,9,1)),"Populate","Blank")</f>
        <v>Blank</v>
      </c>
    </row>
    <row r="37" spans="1:30" ht="15" customHeight="1">
      <c r="A37" s="990" t="str">
        <f ca="1">IF(OR('Cumulative Budget'!K42:K42&gt;0,'Cumulative Budget'!N42:N42&gt;0),"9/1/16 - 8/31/17","")</f>
        <v/>
      </c>
      <c r="B37" s="990"/>
      <c r="C37" s="617" t="str">
        <f ca="1">IF(OR(('Cumulative Budget'!K42:K42-'Cumulative Budget'!L38:L38-'Cumulative Budget'!L40:L40)&gt;0,('Cumulative Budget'!N42:N42-'Cumulative Budget'!O38:O38-'Cumulative Budget'!O40:O40)&gt;0),IF('BP1'!K2="Non-Federal","27.20%","23.60%"),"")</f>
        <v/>
      </c>
      <c r="D37" s="124"/>
      <c r="E37" s="617" t="str">
        <f ca="1">IF(OR('Cumulative Budget'!K38&gt;0,'Cumulative Budget'!N38&gt;0),"2.60%","")</f>
        <v/>
      </c>
      <c r="F37" s="617"/>
      <c r="G37" s="124" t="str">
        <f ca="1">IF('Cumulative Budget'!K40&gt;0,"6.40%","")</f>
        <v/>
      </c>
      <c r="H37" s="617"/>
      <c r="I37" s="400"/>
      <c r="J37" s="400"/>
      <c r="K37" s="400"/>
      <c r="L37" s="400"/>
      <c r="M37" s="400"/>
      <c r="N37" s="528"/>
      <c r="O37" s="528"/>
      <c r="P37" s="528"/>
      <c r="Q37" s="528"/>
      <c r="R37" s="528"/>
      <c r="S37" s="236"/>
      <c r="T37" s="236"/>
      <c r="U37" s="691" t="str">
        <f ca="1">IF(AND(A33&lt;&gt;"",'Cumulative Budget'!K8&lt;=DATE(2017,8,31),'Cumulative Budget'!K10&gt;=DATE(2016,9,1)),"Populate","Blank")</f>
        <v>Blank</v>
      </c>
      <c r="AC37" s="665">
        <v>41516</v>
      </c>
      <c r="AD37" s="666">
        <f>AC37</f>
        <v>41516</v>
      </c>
    </row>
    <row r="38" spans="1:30" ht="15" customHeight="1">
      <c r="A38" s="990" t="str">
        <f ca="1">IF(OR('Cumulative Budget'!K42:K42&gt;0,'Cumulative Budget'!N42:N42&gt;0),"9/1/17 - 8/31/18","")</f>
        <v/>
      </c>
      <c r="B38" s="990"/>
      <c r="C38" s="617" t="str">
        <f ca="1">IF(OR(('Cumulative Budget'!K42:K42-'Cumulative Budget'!L38:L38-'Cumulative Budget'!L40:L40)&gt;0,('Cumulative Budget'!N42:N42-'Cumulative Budget'!O38:O38-'Cumulative Budget'!O40:O40)&gt;0),IF('BP1'!K2="Non-Federal","27.40%","25.70%"),"")</f>
        <v/>
      </c>
      <c r="D38" s="124"/>
      <c r="E38" s="617" t="str">
        <f ca="1">IF(OR('Cumulative Budget'!K38&gt;0,'Cumulative Budget'!N38&gt;0),"2.80%","")</f>
        <v/>
      </c>
      <c r="F38" s="617"/>
      <c r="G38" s="124" t="str">
        <f ca="1">IF('Cumulative Budget'!K40&gt;0,"6.60%","")</f>
        <v/>
      </c>
      <c r="H38" s="617"/>
      <c r="I38" s="400"/>
      <c r="J38" s="400"/>
      <c r="K38" s="400"/>
      <c r="L38" s="400"/>
      <c r="M38" s="400"/>
      <c r="N38" s="528"/>
      <c r="O38" s="528"/>
      <c r="P38" s="528"/>
      <c r="Q38" s="528"/>
      <c r="R38" s="528"/>
      <c r="S38" s="236"/>
      <c r="T38" s="236"/>
      <c r="U38" s="691" t="str">
        <f ca="1">IF(AND(A33&lt;&gt;"",'Cumulative Budget'!K8&lt;=DATE(2018,8,31),'Cumulative Budget'!K10&gt;=DATE(2017,9,1)),"Populate","Blank")</f>
        <v>Blank</v>
      </c>
      <c r="AC38" s="665">
        <v>41881</v>
      </c>
      <c r="AD38" s="666">
        <f>AC38</f>
        <v>41881</v>
      </c>
    </row>
    <row r="39" spans="1:30" ht="15" customHeight="1">
      <c r="A39" s="990" t="str">
        <f ca="1">IF(OR('Cumulative Budget'!K42:K42&gt;0,'Cumulative Budget'!N42:N42&gt;0),"9/1/18 - 8/31/19","")</f>
        <v/>
      </c>
      <c r="B39" s="990"/>
      <c r="C39" s="617" t="str">
        <f ca="1">IF(OR(('Cumulative Budget'!K42:K42-'Cumulative Budget'!L38:L38-'Cumulative Budget'!L40:L40)&gt;0,('Cumulative Budget'!N42:N42-'Cumulative Budget'!O38:O38-'Cumulative Budget'!O40:O40)&gt;0),IF('BP1'!K2="Non-Federal","28.20%","26.20%"),"")</f>
        <v/>
      </c>
      <c r="D39" s="124"/>
      <c r="E39" s="617" t="str">
        <f ca="1">IF(OR('Cumulative Budget'!K38&gt;0,'Cumulative Budget'!N38&gt;0),"2.60%","")</f>
        <v/>
      </c>
      <c r="F39" s="617"/>
      <c r="G39" s="124" t="str">
        <f ca="1">IF('Cumulative Budget'!K40&gt;0,"6.40%","")</f>
        <v/>
      </c>
      <c r="H39" s="617"/>
      <c r="I39" s="667"/>
      <c r="J39" s="667"/>
      <c r="K39" s="667"/>
      <c r="L39" s="667"/>
      <c r="M39" s="667"/>
      <c r="N39" s="667"/>
      <c r="O39" s="667"/>
      <c r="P39" s="667"/>
      <c r="Q39" s="667"/>
      <c r="R39" s="667"/>
      <c r="S39" s="236"/>
      <c r="T39" s="236"/>
      <c r="U39" s="691" t="str">
        <f ca="1">IF(AND(A33&lt;&gt;"",'Cumulative Budget'!K8&lt;=DATE(2019,8,31),'Cumulative Budget'!K10&gt;=DATE(2018,9,1)),"Populate","Blank")</f>
        <v>Blank</v>
      </c>
      <c r="AC39" s="665"/>
      <c r="AD39" s="666"/>
    </row>
    <row r="40" spans="1:30" ht="15" customHeight="1">
      <c r="A40" s="990" t="str">
        <f ca="1">IF(OR('Cumulative Budget'!K42:K42&gt;0,'Cumulative Budget'!N42:N42&gt;0),"9/1/19 - 8/31/20","")</f>
        <v/>
      </c>
      <c r="B40" s="990"/>
      <c r="C40" s="617" t="str">
        <f ca="1">IF(OR(('Cumulative Budget'!K42:K42-'Cumulative Budget'!L38:L38-'Cumulative Budget'!L40:L40)&gt;0,('Cumulative Budget'!N42:N42-'Cumulative Budget'!O38:O38-'Cumulative Budget'!O40:O40)&gt;0),IF('BP1'!K2="Non-Federal","28.60%","26.80%"),"")</f>
        <v/>
      </c>
      <c r="D40" s="124"/>
      <c r="E40" s="617" t="str">
        <f ca="1">IF(OR('Cumulative Budget'!K38&gt;0,'Cumulative Budget'!N38&gt;0),"2.60%","")</f>
        <v/>
      </c>
      <c r="F40" s="617"/>
      <c r="G40" s="124" t="str">
        <f ca="1">IF('Cumulative Budget'!K40&gt;0,"6.60%","")</f>
        <v/>
      </c>
      <c r="H40" s="617"/>
      <c r="I40" s="684"/>
      <c r="J40" s="684"/>
      <c r="K40" s="684"/>
      <c r="L40" s="684"/>
      <c r="M40" s="684"/>
      <c r="N40" s="684"/>
      <c r="O40" s="684"/>
      <c r="P40" s="684"/>
      <c r="Q40" s="684"/>
      <c r="R40" s="684"/>
      <c r="S40" s="236"/>
      <c r="T40" s="236"/>
      <c r="U40" s="691" t="str">
        <f ca="1">IF(AND(A33&lt;&gt;"",'Cumulative Budget'!K8&lt;=DATE(2020,8,31),'Cumulative Budget'!K10&gt;=DATE(2019,9,1)),"Populate","Blank")</f>
        <v>Blank</v>
      </c>
      <c r="AC40" s="665"/>
      <c r="AD40" s="666"/>
    </row>
    <row r="41" spans="1:30" ht="30" customHeight="1">
      <c r="A41" s="991" t="str">
        <f ca="1">IF(OR('Cumulative Budget'!K42:K42&gt;0,'Cumulative Budget'!N42:N42&gt;0),"9/1/20 - 8/31/21
and thereafter","")</f>
        <v/>
      </c>
      <c r="B41" s="991"/>
      <c r="C41" s="617" t="str">
        <f ca="1">IF(OR(('Cumulative Budget'!K42:K42-'Cumulative Budget'!L38:L38-'Cumulative Budget'!L40:L40)&gt;0,('Cumulative Budget'!N42:N42-'Cumulative Budget'!O38:O38-'Cumulative Budget'!O40:O40)&gt;0),IF('BP1'!K2="Non-Federal","28.60%","26.80%"),"")</f>
        <v/>
      </c>
      <c r="D41" s="124" t="str">
        <f ca="1">IF(OR(('Cumulative Budget'!K42:K42-'Cumulative Budget'!L38:L38-'Cumulative Budget'!L40:L40)&gt;0,('Cumulative Budget'!N42:N42-'Cumulative Budget'!O38:O38-'Cumulative Budget'!O40:O40)&gt;0),"(provisional)","")</f>
        <v/>
      </c>
      <c r="E41" s="617" t="str">
        <f ca="1">IF(OR('Cumulative Budget'!K38&gt;0,'Cumulative Budget'!N38&gt;0),"2.60%","")</f>
        <v/>
      </c>
      <c r="F41" s="617" t="str">
        <f ca="1">IF('Cumulative Budget'!K38&gt;0,"(provisional)","")</f>
        <v/>
      </c>
      <c r="G41" s="124" t="str">
        <f ca="1">IF('Cumulative Budget'!K40&gt;0,"6.60%","")</f>
        <v/>
      </c>
      <c r="H41" s="617" t="str">
        <f ca="1">IF('Cumulative Budget'!K40&gt;0,"(provisional)","")</f>
        <v/>
      </c>
      <c r="I41" s="400"/>
      <c r="J41" s="400"/>
      <c r="K41" s="400"/>
      <c r="L41" s="400"/>
      <c r="M41" s="400"/>
      <c r="N41" s="528"/>
      <c r="O41" s="528"/>
      <c r="P41" s="528"/>
      <c r="Q41" s="528"/>
      <c r="R41" s="528"/>
      <c r="S41" s="236"/>
      <c r="T41" s="236"/>
      <c r="U41" s="691" t="str">
        <f ca="1">IF(AND(A33&lt;&gt;"",'Cumulative Budget'!K10&gt;=DATE(2020,9,1)),"Populate","Blank")</f>
        <v>Blank</v>
      </c>
    </row>
    <row r="42" spans="1:30" ht="15" customHeight="1">
      <c r="A42" s="992"/>
      <c r="B42" s="992"/>
      <c r="C42" s="992"/>
      <c r="D42" s="992"/>
      <c r="E42" s="992"/>
      <c r="F42" s="992"/>
      <c r="G42" s="992"/>
      <c r="H42" s="992"/>
      <c r="I42" s="261"/>
      <c r="J42" s="261"/>
      <c r="K42" s="261"/>
      <c r="L42" s="261"/>
      <c r="M42" s="261"/>
      <c r="N42" s="530"/>
      <c r="O42" s="530"/>
      <c r="P42" s="530"/>
      <c r="Q42" s="530"/>
      <c r="R42" s="530"/>
      <c r="S42" s="236"/>
      <c r="T42" s="236"/>
      <c r="U42" s="691" t="str">
        <f ca="1">IF(A33="","Blank","Populate")</f>
        <v>Blank</v>
      </c>
    </row>
    <row r="43" spans="1:30" ht="15" customHeight="1">
      <c r="A43" s="993" t="str">
        <f>IF(OR('Cumulative Budget'!K50:K50&gt;0,'Cumulative Budget'!N50:N50&gt;0),"Equipment:","")</f>
        <v/>
      </c>
      <c r="B43" s="993"/>
      <c r="C43" s="993"/>
      <c r="D43" s="993"/>
      <c r="E43" s="993"/>
      <c r="F43" s="993"/>
      <c r="G43" s="993"/>
      <c r="H43" s="993"/>
      <c r="I43" s="262"/>
      <c r="J43" s="262"/>
      <c r="K43" s="262"/>
      <c r="L43" s="262"/>
      <c r="M43" s="262"/>
      <c r="N43" s="531"/>
      <c r="O43" s="531"/>
      <c r="P43" s="531"/>
      <c r="Q43" s="531"/>
      <c r="R43" s="531"/>
      <c r="S43" s="236"/>
      <c r="T43" s="236"/>
      <c r="U43" s="691" t="str">
        <f>IF(A43="","Blank","Populate")</f>
        <v>Blank</v>
      </c>
    </row>
    <row r="44" spans="1:30" ht="30" customHeight="1">
      <c r="A44" s="991" t="str">
        <f>IF(OR('Cumulative Budget'!K50&gt;0,'Cumulative Budget'!N50&gt;0),"Support is requested for the following items of capital equipment: "&amp;IF('BP1'!B45&gt;0,'BP1'!B45,"")&amp;IF('BP1'!B46&gt;0,"; "&amp;'BP1'!B46,"")&amp;IF('BP1'!B47&gt;0,"; "&amp;'BP1'!B47,"")&amp;IF('BP1'!B48&gt;0,"; "&amp;'BP1'!B48,"") &amp;IF('BP1'!B49&gt;0,"; "&amp;'BP1'!B49,"")&amp;IF('BP2'!B45&gt;0,"; "&amp;'BP2'!B45,"")&amp;IF('BP2'!B46&gt;0,"; "&amp;'BP2'!B46,"")&amp;IF('BP2'!B47&gt;0,"; "&amp;'BP2'!B47,"")&amp;IF('BP2'!B48&gt;0,"; "&amp;'BP2'!B48,"")&amp;IF('BP2'!B49&gt;0,"; "&amp;'BP2'!B49,"")&amp;IF('BP3'!B45&gt;0,"; "&amp;'BP3'!B45,"")&amp;IF('BP3'!B46&gt;0,"; "&amp;'BP3'!B46,"")&amp;IF('BP3'!B47&gt;0,"; "&amp;'BP3'!B47,"")&amp;IF('BP3'!B48&gt;0,"; "&amp;'BP3'!B48,"")&amp;IF('BP3'!B49&gt;0,"; "&amp;'BP3'!B49,"")&amp;IF('BP4'!B45&gt;0,"; "&amp;'BP4'!B45,"")&amp;IF('BP4'!B46&gt;0,"; "&amp;'BP4'!B46,"")&amp;IF('BP4'!B47&gt;0,"; "&amp;'BP4'!B47,"")&amp;IF('BP4'!B48&gt;0,"; "&amp;'BP4'!B48,"")&amp;IF('BP4'!B49&gt;0,"; "&amp;'BP4'!B49,"")&amp;IF('BP5'!B45&gt;0,"; "&amp;'BP5'!B45,"")&amp;IF('BP5'!B46&gt;0,"; "&amp;'BP5'!B46,"")&amp;IF('BP5'!B47&gt;0,"; "&amp;'BP5'!B47,"")&amp;IF('BP5'!B48&gt;0,"; "&amp;'BP5'!B48,"")&amp;IF('BP5'!B49&gt;0,"; "&amp;'BP5'!B49,"")&amp;". "&amp;'BP1'!P45,"")</f>
        <v/>
      </c>
      <c r="B44" s="991"/>
      <c r="C44" s="991"/>
      <c r="D44" s="991"/>
      <c r="E44" s="991"/>
      <c r="F44" s="991"/>
      <c r="G44" s="991"/>
      <c r="H44" s="991"/>
      <c r="I44" s="260">
        <f>IF('BP1'!$K$5&gt;0,IF('BP1'!K50&gt;0,'BP1'!K50,0),0)</f>
        <v>0</v>
      </c>
      <c r="J44" s="260">
        <f>IF('BP1'!$K$5&gt;1,IF('BP2'!K50&gt;0,'BP2'!K50,0),0)</f>
        <v>0</v>
      </c>
      <c r="K44" s="260">
        <f>IF('BP1'!$K$5&gt;2,IF('BP3'!K50&gt;0,'BP3'!K50,0),0)</f>
        <v>0</v>
      </c>
      <c r="L44" s="260">
        <f>IF('BP1'!$K$5&gt;3,IF('BP4'!K50&gt;0,'BP4'!K50,0),0)</f>
        <v>0</v>
      </c>
      <c r="M44" s="260">
        <f>IF('BP1'!$K$5&gt;4,IF('BP5'!K50&gt;0,'BP5'!K50,0),0)</f>
        <v>0</v>
      </c>
      <c r="N44" s="529">
        <f>IF('BP1'!$K$5&gt;0,IF('BP1'!N50&gt;0,'BP1'!N50,0),0)</f>
        <v>0</v>
      </c>
      <c r="O44" s="529">
        <f>IF('BP1'!$K$5&gt;0,IF('BP2'!N50&gt;0,'BP2'!N50,0),0)</f>
        <v>0</v>
      </c>
      <c r="P44" s="529">
        <f>IF('BP1'!$K$5&gt;0,IF('BP3'!N50&gt;0,'BP3'!N50,0),0)</f>
        <v>0</v>
      </c>
      <c r="Q44" s="529">
        <f>IF('BP1'!$K$5&gt;0,IF('BP4'!N50&gt;0,'BP4'!N50,0),0)</f>
        <v>0</v>
      </c>
      <c r="R44" s="529">
        <f>IF('BP1'!$K$5&gt;0,IF('BP5'!N50&gt;0,'BP5'!N50,0),0)</f>
        <v>0</v>
      </c>
      <c r="S44" s="236" t="str">
        <f>IF(AND('BP1'!$K$5=2,I44&lt;&gt;J44),"Note: Funds change in the outyears!","")&amp;IF(AND('BP1'!$K$5=3,OR(I44&lt;&gt;J44,I44&lt;&gt;K44,J44&lt;&gt;K44)),"Note: Funds change in the outyears!","")&amp;IF(AND('BP1'!$K$5=4,OR(I44&lt;&gt;J44,I44&lt;&gt;K44,I44&lt;&gt;L44,J44&lt;&gt;K44,J44&lt;&gt;L44,K44&lt;&gt;L44)),"Note: Funds change in the outyears!","")&amp;IF(AND('BP1'!$K$5=5,OR(I44&lt;&gt;J44,I44&lt;&gt;K44,I44&lt;&gt;L44,I44&lt;&gt;M44,J44&lt;&gt;K44,J44&lt;&gt;L44,J44&lt;&gt;M44,K44&lt;&gt;L44,K44&lt;&gt;M44,L44&lt;&gt;M44)),"Note: Funds change in the outyears!","")</f>
        <v/>
      </c>
      <c r="T44" s="236" t="str">
        <f>IF(AND('BP1'!$K$5=2,N44&lt;&gt;O44),"Note: Funds change in the outyears!","")&amp;IF(AND('BP1'!$K$5=3,OR(N44&lt;&gt;O44,N44&lt;&gt;P44,O44&lt;&gt;P44)),"Note: Funds change in the outyears!","")&amp;IF(AND('BP1'!$K$5=4,OR(N44&lt;&gt;O44,N44&lt;&gt;P44,N44&lt;&gt;Q44,O44&lt;&gt;P44,O44&lt;&gt;Q44,P44&lt;&gt;Q44)),"Note: Funds change in the outyears!","")&amp;IF(AND('BP1'!$K$5=5,OR(N44&lt;&gt;O44,N44&lt;&gt;P44,N44&lt;&gt;Q44,N44&lt;&gt;R44,O44&lt;&gt;P44,O44&lt;&gt;Q44,O44&lt;&gt;R44,P44&lt;&gt;Q44,P44&lt;&gt;R44,Q44&lt;&gt;R44)),"Note: Funds change in the outyears!","")</f>
        <v/>
      </c>
      <c r="U44" s="691" t="str">
        <f>IF(A44="","Blank","Populate")</f>
        <v>Blank</v>
      </c>
    </row>
    <row r="45" spans="1:30" ht="15" customHeight="1">
      <c r="A45" s="992"/>
      <c r="B45" s="992"/>
      <c r="C45" s="992"/>
      <c r="D45" s="992"/>
      <c r="E45" s="992"/>
      <c r="F45" s="992"/>
      <c r="G45" s="992"/>
      <c r="H45" s="992"/>
      <c r="I45" s="261"/>
      <c r="J45" s="261"/>
      <c r="K45" s="261"/>
      <c r="L45" s="261"/>
      <c r="M45" s="261"/>
      <c r="N45" s="530"/>
      <c r="O45" s="530"/>
      <c r="P45" s="530"/>
      <c r="Q45" s="530"/>
      <c r="R45" s="530"/>
      <c r="S45" s="236"/>
      <c r="T45" s="236"/>
      <c r="U45" s="691" t="str">
        <f>IF(A43="","Blank","Populate")</f>
        <v>Blank</v>
      </c>
    </row>
    <row r="46" spans="1:30" ht="15" customHeight="1">
      <c r="A46" s="993" t="str">
        <f>IF(OR('Cumulative Budget'!K53:K53&gt;0,'Cumulative Budget'!N53:N53&gt;0),"Travel:","")</f>
        <v/>
      </c>
      <c r="B46" s="993"/>
      <c r="C46" s="993"/>
      <c r="D46" s="993"/>
      <c r="E46" s="993"/>
      <c r="F46" s="993"/>
      <c r="G46" s="993"/>
      <c r="H46" s="993"/>
      <c r="I46" s="262"/>
      <c r="J46" s="262"/>
      <c r="K46" s="262"/>
      <c r="L46" s="262"/>
      <c r="M46" s="262"/>
      <c r="N46" s="531"/>
      <c r="O46" s="531"/>
      <c r="P46" s="531"/>
      <c r="Q46" s="531"/>
      <c r="R46" s="531"/>
      <c r="S46" s="236"/>
      <c r="T46" s="236"/>
      <c r="U46" s="691" t="str">
        <f>IF(A46="","Blank","Populate")</f>
        <v>Blank</v>
      </c>
    </row>
    <row r="47" spans="1:30" ht="45" customHeight="1">
      <c r="A47" s="991" t="str">
        <f>IF(OR('Cumulative Budget'!K53&gt;0,'Cumulative Budget'!N53&gt;0),"Support is requested to cover the cost of transportation, accommodation, and subsistence for "&amp;IF('Cumulative Budget'!K51+'Cumulative Budget'!N51&gt;0,"domestic travel","")&amp;IF(AND('Cumulative Budget'!K51+'Cumulative Budget'!N51&gt;0,'Cumulative Budget'!K52+'Cumulative Budget'!N52&gt;0)," and ","")&amp;IF('Cumulative Budget'!K52+'Cumulative Budget'!N52&gt;0,"foreign travel","")&amp;". "&amp;'BP1'!P53&amp;"
M&amp;IE is charged at 75% on the first and last days of travel per Northwestern policy.","")</f>
        <v/>
      </c>
      <c r="B47" s="991"/>
      <c r="C47" s="991"/>
      <c r="D47" s="991"/>
      <c r="E47" s="991"/>
      <c r="F47" s="991"/>
      <c r="G47" s="991"/>
      <c r="H47" s="991"/>
      <c r="I47" s="260">
        <f>IF('BP1'!$K$5&gt;0,IF('BP1'!K53&gt;0,'BP1'!K53,0),0)</f>
        <v>0</v>
      </c>
      <c r="J47" s="260">
        <f>IF('BP1'!$K$5&gt;1,IF('BP2'!K53&gt;0,'BP2'!K53,0),0)</f>
        <v>0</v>
      </c>
      <c r="K47" s="260">
        <f>IF('BP1'!$K$5&gt;2,IF('BP3'!K53&gt;0,'BP3'!K53,0),0)</f>
        <v>0</v>
      </c>
      <c r="L47" s="260">
        <f>IF('BP1'!$K$5&gt;3,IF('BP4'!K53&gt;0,'BP4'!K53,0),0)</f>
        <v>0</v>
      </c>
      <c r="M47" s="260">
        <f>IF('BP1'!$K$5&gt;4,IF('BP5'!K53&gt;0,'BP5'!K53,0),0)</f>
        <v>0</v>
      </c>
      <c r="N47" s="529">
        <f>IF('BP1'!$K$5&gt;0,IF('BP1'!N53&gt;0,'BP1'!N53,0),0)</f>
        <v>0</v>
      </c>
      <c r="O47" s="529">
        <f>IF('BP1'!$K$5&gt;0,IF('BP2'!N53&gt;0,'BP2'!N53,0),0)</f>
        <v>0</v>
      </c>
      <c r="P47" s="529">
        <f>IF('BP1'!$K$5&gt;0,IF('BP3'!N53&gt;0,'BP3'!N53,0),0)</f>
        <v>0</v>
      </c>
      <c r="Q47" s="529">
        <f>IF('BP1'!$K$5&gt;0,IF('BP4'!N53&gt;0,'BP4'!N53,0),0)</f>
        <v>0</v>
      </c>
      <c r="R47" s="529">
        <f>IF('BP1'!$K$5&gt;0,IF('BP5'!N53&gt;0,'BP5'!N53,0),0)</f>
        <v>0</v>
      </c>
      <c r="S47" s="236" t="str">
        <f>IF(AND('BP1'!$K$5=2,I47&lt;&gt;J47),"Note: Funds change in the outyears!","")&amp;IF(AND('BP1'!$K$5=3,OR(I47&lt;&gt;J47,I47&lt;&gt;K47,J47&lt;&gt;K47)),"Note: Funds change in the outyears!","")&amp;IF(AND('BP1'!$K$5=4,OR(I47&lt;&gt;J47,I47&lt;&gt;K47,I47&lt;&gt;L47,J47&lt;&gt;K47,J47&lt;&gt;L47,K47&lt;&gt;L47)),"Note: Funds change in the outyears!","")&amp;IF(AND('BP1'!$K$5=5,OR(I47&lt;&gt;J47,I47&lt;&gt;K47,I47&lt;&gt;L47,I47&lt;&gt;M47,J47&lt;&gt;K47,J47&lt;&gt;L47,J47&lt;&gt;M47,K47&lt;&gt;L47,K47&lt;&gt;M47,L47&lt;&gt;M47)),"Note: Funds change in the outyears!","")</f>
        <v/>
      </c>
      <c r="T47" s="236" t="str">
        <f>IF(AND('BP1'!$K$5=2,N47&lt;&gt;O47),"Note: Funds changes in the outyears!","")&amp;IF(AND('BP1'!$K$5=3,OR(N47&lt;&gt;O47,N47&lt;&gt;P47,O47&lt;&gt;P47)),"Note: Funds changes in the outyears!","")&amp;IF(AND('BP1'!$K$5=4,OR(N47&lt;&gt;O47,N47&lt;&gt;P47,N47&lt;&gt;Q47,O47&lt;&gt;P47,O47&lt;&gt;Q47,P47&lt;&gt;Q47)),"Note: Funds changes in the outyears!","")&amp;IF(AND('BP1'!$K$5=5,OR(N47&lt;&gt;O47,N47&lt;&gt;P47,N47&lt;&gt;Q47,N47&lt;&gt;R47,O47&lt;&gt;P47,O47&lt;&gt;Q47,O47&lt;&gt;R47,P47&lt;&gt;Q47,P47&lt;&gt;R47,Q47&lt;&gt;R47)),"Note: Funds changes in the outyears!","")</f>
        <v/>
      </c>
      <c r="U47" s="691" t="str">
        <f>IF(A47="","Blank","Populate")</f>
        <v>Blank</v>
      </c>
    </row>
    <row r="48" spans="1:30" ht="15" customHeight="1">
      <c r="A48" s="992"/>
      <c r="B48" s="992"/>
      <c r="C48" s="992"/>
      <c r="D48" s="992"/>
      <c r="E48" s="992"/>
      <c r="F48" s="992"/>
      <c r="G48" s="992"/>
      <c r="H48" s="992"/>
      <c r="I48" s="261"/>
      <c r="J48" s="261"/>
      <c r="K48" s="261"/>
      <c r="L48" s="261"/>
      <c r="M48" s="261"/>
      <c r="N48" s="530"/>
      <c r="O48" s="530"/>
      <c r="P48" s="530"/>
      <c r="Q48" s="530"/>
      <c r="R48" s="530"/>
      <c r="S48" s="236"/>
      <c r="T48" s="236"/>
      <c r="U48" s="691" t="str">
        <f>IF(A46="","Blank","Populate")</f>
        <v>Blank</v>
      </c>
    </row>
    <row r="49" spans="1:21" ht="15" customHeight="1">
      <c r="A49" s="993" t="str">
        <f>IF(OR('Cumulative Budget'!K74:K74&gt;0,'Cumulative Budget'!N74:N74&gt;0),"Other Direct Costs:","")</f>
        <v/>
      </c>
      <c r="B49" s="993"/>
      <c r="C49" s="993"/>
      <c r="D49" s="993"/>
      <c r="E49" s="993"/>
      <c r="F49" s="993"/>
      <c r="G49" s="993"/>
      <c r="H49" s="993"/>
      <c r="I49" s="262"/>
      <c r="J49" s="262"/>
      <c r="K49" s="262"/>
      <c r="L49" s="262"/>
      <c r="M49" s="262"/>
      <c r="N49" s="531"/>
      <c r="O49" s="531"/>
      <c r="P49" s="531"/>
      <c r="Q49" s="531"/>
      <c r="R49" s="531"/>
      <c r="S49" s="236"/>
      <c r="T49" s="236"/>
      <c r="U49" s="691" t="str">
        <f>IF(A49="","Blank","Populate")</f>
        <v>Blank</v>
      </c>
    </row>
    <row r="50" spans="1:21" ht="30" customHeight="1">
      <c r="A50" s="991" t="str">
        <f>IF(OR('Cumulative Budget'!K55&gt;0,'Cumulative Budget'!N55&gt;0),"Materials and Supplies: Support is requested to cover expendable materials and supplies costs. "&amp;'BP1'!P55,"")</f>
        <v/>
      </c>
      <c r="B50" s="991"/>
      <c r="C50" s="991"/>
      <c r="D50" s="991"/>
      <c r="E50" s="991"/>
      <c r="F50" s="991"/>
      <c r="G50" s="991"/>
      <c r="H50" s="991"/>
      <c r="I50" s="260">
        <f>IF('BP1'!$K$5&gt;0,IF('BP1'!K55&gt;0,'BP1'!K55,0),0)</f>
        <v>0</v>
      </c>
      <c r="J50" s="266">
        <f>IF('BP1'!$K$5&gt;1,IF('BP2'!K55&gt;0,'BP2'!K55,0),0)</f>
        <v>0</v>
      </c>
      <c r="K50" s="266">
        <f>IF('BP1'!$K$5&gt;2,IF('BP3'!K55&gt;0,'BP3'!K55,0),0)</f>
        <v>0</v>
      </c>
      <c r="L50" s="266">
        <f>IF('BP1'!$K$5&gt;3,IF('BP4'!K55&gt;0,'BP4'!K55,0),0)</f>
        <v>0</v>
      </c>
      <c r="M50" s="266">
        <f>IF('BP1'!$K$5&gt;4,IF('BP5'!K55&gt;0,'BP5'!K55,0),0)</f>
        <v>0</v>
      </c>
      <c r="N50" s="529">
        <f>IF('BP1'!$K$5&gt;0,IF('BP1'!N55&gt;0,'BP1'!N55,0),0)</f>
        <v>0</v>
      </c>
      <c r="O50" s="529">
        <f>IF('BP1'!$K$5&gt;0,IF('BP2'!N55&gt;0,'BP2'!N55,0),0)</f>
        <v>0</v>
      </c>
      <c r="P50" s="529">
        <f>IF('BP1'!$K$5&gt;0,IF('BP3'!N55&gt;0,'BP3'!N55,0),0)</f>
        <v>0</v>
      </c>
      <c r="Q50" s="529">
        <f>IF('BP1'!$K$5&gt;0,IF('BP4'!N55&gt;0,'BP4'!N55,0),0)</f>
        <v>0</v>
      </c>
      <c r="R50" s="529">
        <f>IF('BP1'!$K$5&gt;0,IF('BP5'!N55&gt;0,'BP5'!N55,0),0)</f>
        <v>0</v>
      </c>
      <c r="S50" s="236" t="str">
        <f>IF(AND('BP1'!$K$5=2,I50&lt;&gt;J50),"Note: Funds change in the outyears!","")&amp;IF(AND('BP1'!$K$5=3,OR(I50&lt;&gt;J50,I50&lt;&gt;K50,J50&lt;&gt;K50)),"Note: Funds change in the outyears!","")&amp;IF(AND('BP1'!$K$5=4,OR(I50&lt;&gt;J50,I50&lt;&gt;K50,I50&lt;&gt;L50,J50&lt;&gt;K50,J50&lt;&gt;L50,K50&lt;&gt;L50)),"Note: Funds change in the outyears!","")&amp;IF(AND('BP1'!$K$5=5,OR(I50&lt;&gt;J50,I50&lt;&gt;K50,I50&lt;&gt;L50,I50&lt;&gt;M50,J50&lt;&gt;K50,J50&lt;&gt;L50,J50&lt;&gt;M50,K50&lt;&gt;L50,K50&lt;&gt;M50,L50&lt;&gt;M50)),"Note: Funds change in the outyears!","")</f>
        <v/>
      </c>
      <c r="T50" s="236" t="str">
        <f>IF(AND('BP1'!$K$5=2,N50&lt;&gt;O50),"Note: Funds changes in the outyears!","")&amp;IF(AND('BP1'!$K$5=3,OR(N50&lt;&gt;O50,N50&lt;&gt;P50,O50&lt;&gt;P50)),"Note: Funds changes in the outyears!","")&amp;IF(AND('BP1'!$K$5=4,OR(N50&lt;&gt;O50,N50&lt;&gt;P50,N50&lt;&gt;Q50,O50&lt;&gt;P50,O50&lt;&gt;Q50,P50&lt;&gt;Q50)),"Note: Funds changes in the outyears!","")&amp;IF(AND('BP1'!$K$5=5,OR(N50&lt;&gt;O50,N50&lt;&gt;P50,N50&lt;&gt;Q50,N50&lt;&gt;R50,O50&lt;&gt;P50,O50&lt;&gt;Q50,O50&lt;&gt;R50,P50&lt;&gt;Q50,P50&lt;&gt;R50,Q50&lt;&gt;R50)),"Note: Funds changes in the outyears!","")</f>
        <v/>
      </c>
      <c r="U50" s="691" t="str">
        <f>IF(A50="","Blank","Populate")</f>
        <v>Blank</v>
      </c>
    </row>
    <row r="51" spans="1:21" ht="15" customHeight="1">
      <c r="A51" s="992"/>
      <c r="B51" s="992"/>
      <c r="C51" s="992"/>
      <c r="D51" s="992"/>
      <c r="E51" s="992"/>
      <c r="F51" s="992"/>
      <c r="G51" s="992"/>
      <c r="H51" s="992"/>
      <c r="I51" s="261"/>
      <c r="J51" s="261"/>
      <c r="K51" s="261"/>
      <c r="L51" s="261"/>
      <c r="M51" s="261"/>
      <c r="N51" s="530"/>
      <c r="O51" s="530"/>
      <c r="P51" s="530"/>
      <c r="Q51" s="530"/>
      <c r="R51" s="530"/>
      <c r="S51" s="236"/>
      <c r="T51" s="236"/>
      <c r="U51" s="691" t="str">
        <f>IF(A50="","Blank","Populate")</f>
        <v>Blank</v>
      </c>
    </row>
    <row r="52" spans="1:21" ht="30" customHeight="1">
      <c r="A52" s="991" t="str">
        <f>IF(OR('Cumulative Budget'!K56&gt;0,'Cumulative Budget'!N56&gt;0),"Publication Costs: Support is requested to cover the costs of publications. "&amp;'BP1'!P56,"")</f>
        <v/>
      </c>
      <c r="B52" s="991"/>
      <c r="C52" s="991"/>
      <c r="D52" s="991"/>
      <c r="E52" s="991"/>
      <c r="F52" s="991"/>
      <c r="G52" s="991"/>
      <c r="H52" s="991"/>
      <c r="I52" s="266">
        <f>IF('BP1'!$K$5&gt;0,IF('BP1'!K56&gt;0,'BP1'!K56,0),0)</f>
        <v>0</v>
      </c>
      <c r="J52" s="266">
        <f>IF('BP1'!$K$5&gt;1,IF('BP2'!K56&gt;0,'BP2'!K56,0),0)</f>
        <v>0</v>
      </c>
      <c r="K52" s="266">
        <f>IF('BP1'!$K$5&gt;2,IF('BP3'!K56&gt;0,'BP3'!K56,0),0)</f>
        <v>0</v>
      </c>
      <c r="L52" s="266">
        <f>IF('BP1'!$K$5&gt;3,IF('BP4'!K56&gt;0,'BP4'!K56,0),0)</f>
        <v>0</v>
      </c>
      <c r="M52" s="266">
        <f>IF('BP1'!$K$5&gt;4,IF('BP5'!K56&gt;0,'BP5'!K56,0),0)</f>
        <v>0</v>
      </c>
      <c r="N52" s="529">
        <f>IF('BP1'!$K$5&gt;0,IF('BP1'!N56&gt;0,'BP1'!N56,0),0)</f>
        <v>0</v>
      </c>
      <c r="O52" s="529">
        <f>IF('BP1'!$K$5&gt;0,IF('BP2'!N56&gt;0,'BP2'!N56,0),0)</f>
        <v>0</v>
      </c>
      <c r="P52" s="529">
        <f>IF('BP1'!$K$5&gt;0,IF('BP3'!N56&gt;0,'BP3'!N56,0),0)</f>
        <v>0</v>
      </c>
      <c r="Q52" s="529">
        <f>IF('BP1'!$K$5&gt;0,IF('BP4'!N56&gt;0,'BP4'!N56,0),0)</f>
        <v>0</v>
      </c>
      <c r="R52" s="529">
        <f>IF('BP1'!$K$5&gt;0,IF('BP5'!N56&gt;0,'BP5'!N56,0),0)</f>
        <v>0</v>
      </c>
      <c r="S52" s="236" t="str">
        <f>IF(AND('BP1'!$K$5=2,I52&lt;&gt;J52),"Note: Funds change in the outyears!","")&amp;IF(AND('BP1'!$K$5=3,OR(I52&lt;&gt;J52,I52&lt;&gt;K52,J52&lt;&gt;K52)),"Note: Funds change in the outyears!","")&amp;IF(AND('BP1'!$K$5=4,OR(I52&lt;&gt;J52,I52&lt;&gt;K52,I52&lt;&gt;L52,J52&lt;&gt;K52,J52&lt;&gt;L52,K52&lt;&gt;L52)),"Note: Funds change in the outyears!","")&amp;IF(AND('BP1'!$K$5=5,OR(I52&lt;&gt;J52,I52&lt;&gt;K52,I52&lt;&gt;L52,I52&lt;&gt;M52,J52&lt;&gt;K52,J52&lt;&gt;L52,J52&lt;&gt;M52,K52&lt;&gt;L52,K52&lt;&gt;M52,L52&lt;&gt;M52)),"Note: Funds change in the outyears!","")</f>
        <v/>
      </c>
      <c r="T52" s="236" t="str">
        <f>IF(AND('BP1'!$K$5=2,N52&lt;&gt;O52),"Note: Funds changes in the outyears!","")&amp;IF(AND('BP1'!$K$5=3,OR(N52&lt;&gt;O52,N52&lt;&gt;P52,O52&lt;&gt;P52)),"Note: Funds changes in the outyears!","")&amp;IF(AND('BP1'!$K$5=4,OR(N52&lt;&gt;O52,N52&lt;&gt;P52,N52&lt;&gt;Q52,O52&lt;&gt;P52,O52&lt;&gt;Q52,P52&lt;&gt;Q52)),"Note: Funds changes in the outyears!","")&amp;IF(AND('BP1'!$K$5=5,OR(N52&lt;&gt;O52,N52&lt;&gt;P52,N52&lt;&gt;Q52,N52&lt;&gt;R52,O52&lt;&gt;P52,O52&lt;&gt;Q52,O52&lt;&gt;R52,P52&lt;&gt;Q52,P52&lt;&gt;R52,Q52&lt;&gt;R52)),"Note: Funds changes in the outyears!","")</f>
        <v/>
      </c>
      <c r="U52" s="691" t="str">
        <f>IF(A52="","Blank","Populate")</f>
        <v>Blank</v>
      </c>
    </row>
    <row r="53" spans="1:21" ht="15" customHeight="1">
      <c r="A53" s="992"/>
      <c r="B53" s="992"/>
      <c r="C53" s="992"/>
      <c r="D53" s="992"/>
      <c r="E53" s="992"/>
      <c r="F53" s="992"/>
      <c r="G53" s="992"/>
      <c r="H53" s="992"/>
      <c r="I53" s="261"/>
      <c r="J53" s="261"/>
      <c r="K53" s="261"/>
      <c r="L53" s="261"/>
      <c r="M53" s="261"/>
      <c r="N53" s="530"/>
      <c r="O53" s="530"/>
      <c r="P53" s="530"/>
      <c r="Q53" s="530"/>
      <c r="R53" s="530"/>
      <c r="S53" s="236"/>
      <c r="T53" s="236"/>
      <c r="U53" s="691" t="str">
        <f>IF(A52="","Blank","Populate")</f>
        <v>Blank</v>
      </c>
    </row>
    <row r="54" spans="1:21" ht="30" customHeight="1">
      <c r="A54" s="991" t="str">
        <f>IF(OR('Cumulative Budget'!K57&gt;0,'Cumulative Budget'!N57&gt;0),"Consultant Services: Support is requested for consultant services. "&amp;'BP1'!P57,"")</f>
        <v/>
      </c>
      <c r="B54" s="991"/>
      <c r="C54" s="991"/>
      <c r="D54" s="991"/>
      <c r="E54" s="991"/>
      <c r="F54" s="991"/>
      <c r="G54" s="991"/>
      <c r="H54" s="991"/>
      <c r="I54" s="266">
        <f>IF('BP1'!$K$5&gt;0,IF('BP1'!K57&gt;0,'BP1'!K57,0),0)</f>
        <v>0</v>
      </c>
      <c r="J54" s="266">
        <f>IF('BP1'!$K$5&gt;1,IF('BP2'!K57&gt;0,'BP2'!K57,0),0)</f>
        <v>0</v>
      </c>
      <c r="K54" s="266">
        <f>IF('BP1'!$K$5&gt;2,IF('BP3'!K57&gt;0,'BP3'!K57,0),0)</f>
        <v>0</v>
      </c>
      <c r="L54" s="266">
        <f>IF('BP1'!$K$5&gt;3,IF('BP4'!K57&gt;0,'BP4'!K57,0),0)</f>
        <v>0</v>
      </c>
      <c r="M54" s="266">
        <f>IF('BP1'!$K$5&gt;4,IF('BP5'!K57&gt;0,'BP5'!K57,0),0)</f>
        <v>0</v>
      </c>
      <c r="N54" s="529">
        <f>IF('BP1'!$K$5&gt;0,IF('BP1'!N57&gt;0,'BP1'!N57,0),0)</f>
        <v>0</v>
      </c>
      <c r="O54" s="529">
        <f>IF('BP1'!$K$5&gt;0,IF('BP2'!N57&gt;0,'BP2'!N57,0),0)</f>
        <v>0</v>
      </c>
      <c r="P54" s="529">
        <f>IF('BP1'!$K$5&gt;0,IF('BP3'!N57&gt;0,'BP3'!N57,0),0)</f>
        <v>0</v>
      </c>
      <c r="Q54" s="529">
        <f>IF('BP1'!$K$5&gt;0,IF('BP4'!N57&gt;0,'BP4'!N57,0),0)</f>
        <v>0</v>
      </c>
      <c r="R54" s="529">
        <f>IF('BP1'!$K$5&gt;0,IF('BP5'!N57&gt;0,'BP5'!N57,0),0)</f>
        <v>0</v>
      </c>
      <c r="S54" s="236" t="str">
        <f>IF(AND('BP1'!$K$5=2,I54&lt;&gt;J54),"Note: Funds change in the outyears!","")&amp;IF(AND('BP1'!$K$5=3,OR(I54&lt;&gt;J54,I54&lt;&gt;K54,J54&lt;&gt;K54)),"Note: Funds change in the outyears!","")&amp;IF(AND('BP1'!$K$5=4,OR(I54&lt;&gt;J54,I54&lt;&gt;K54,I54&lt;&gt;L54,J54&lt;&gt;K54,J54&lt;&gt;L54,K54&lt;&gt;L54)),"Note: Funds change in the outyears!","")&amp;IF(AND('BP1'!$K$5=5,OR(I54&lt;&gt;J54,I54&lt;&gt;K54,I54&lt;&gt;L54,I54&lt;&gt;M54,J54&lt;&gt;K54,J54&lt;&gt;L54,J54&lt;&gt;M54,K54&lt;&gt;L54,K54&lt;&gt;M54,L54&lt;&gt;M54)),"Note: Funds change in the outyears!","")</f>
        <v/>
      </c>
      <c r="T54" s="236" t="str">
        <f>IF(AND('BP1'!$K$5=2,N54&lt;&gt;O54),"Note: Funds changes in the outyears!","")&amp;IF(AND('BP1'!$K$5=3,OR(N54&lt;&gt;O54,N54&lt;&gt;P54,O54&lt;&gt;P54)),"Note: Funds changes in the outyears!","")&amp;IF(AND('BP1'!$K$5=4,OR(N54&lt;&gt;O54,N54&lt;&gt;P54,N54&lt;&gt;Q54,O54&lt;&gt;P54,O54&lt;&gt;Q54,P54&lt;&gt;Q54)),"Note: Funds changes in the outyears!","")&amp;IF(AND('BP1'!$K$5=5,OR(N54&lt;&gt;O54,N54&lt;&gt;P54,N54&lt;&gt;Q54,N54&lt;&gt;R54,O54&lt;&gt;P54,O54&lt;&gt;Q54,O54&lt;&gt;R54,P54&lt;&gt;Q54,P54&lt;&gt;R54,Q54&lt;&gt;R54)),"Note: Funds changes in the outyears!","")</f>
        <v/>
      </c>
      <c r="U54" s="691" t="str">
        <f>IF(A54="","Blank","Populate")</f>
        <v>Blank</v>
      </c>
    </row>
    <row r="55" spans="1:21" ht="15" customHeight="1">
      <c r="A55" s="992"/>
      <c r="B55" s="992"/>
      <c r="C55" s="992"/>
      <c r="D55" s="992"/>
      <c r="E55" s="992"/>
      <c r="F55" s="992"/>
      <c r="G55" s="992"/>
      <c r="H55" s="992"/>
      <c r="I55" s="261"/>
      <c r="J55" s="261"/>
      <c r="K55" s="261"/>
      <c r="L55" s="261"/>
      <c r="M55" s="261"/>
      <c r="N55" s="530"/>
      <c r="O55" s="530"/>
      <c r="P55" s="530"/>
      <c r="Q55" s="530"/>
      <c r="R55" s="530"/>
      <c r="S55" s="236"/>
      <c r="T55" s="236"/>
      <c r="U55" s="691" t="str">
        <f>IF(A54="","Blank","Populate")</f>
        <v>Blank</v>
      </c>
    </row>
    <row r="56" spans="1:21" ht="30" customHeight="1">
      <c r="A56" s="991" t="str">
        <f>IF(OR('Cumulative Budget'!K58&gt;0,'Cumulative Budget'!N58&gt;0),"Computer Services: Support is requested for computer services. "&amp;'BP1'!P58,"")</f>
        <v/>
      </c>
      <c r="B56" s="991"/>
      <c r="C56" s="991"/>
      <c r="D56" s="991"/>
      <c r="E56" s="991"/>
      <c r="F56" s="991"/>
      <c r="G56" s="991"/>
      <c r="H56" s="991"/>
      <c r="I56" s="266">
        <f>IF('BP1'!$K$5&gt;0,IF('BP1'!K58&gt;0,'BP1'!K58,0),0)</f>
        <v>0</v>
      </c>
      <c r="J56" s="266">
        <f>IF('BP1'!$K$5&gt;1,IF('BP2'!K58&gt;0,'BP2'!K58,0),0)</f>
        <v>0</v>
      </c>
      <c r="K56" s="266">
        <f>IF('BP1'!$K$5&gt;2,IF('BP3'!K58&gt;0,'BP3'!K58,0),0)</f>
        <v>0</v>
      </c>
      <c r="L56" s="266">
        <f>IF('BP1'!$K$5&gt;3,IF('BP4'!K58&gt;0,'BP4'!K58,0),0)</f>
        <v>0</v>
      </c>
      <c r="M56" s="266">
        <f>IF('BP1'!$K$5&gt;4,IF('BP5'!K58&gt;0,'BP5'!K58,0),0)</f>
        <v>0</v>
      </c>
      <c r="N56" s="529">
        <f>IF('BP1'!$K$5&gt;0,IF('BP1'!N58&gt;0,'BP1'!N58,0),0)</f>
        <v>0</v>
      </c>
      <c r="O56" s="529">
        <f>IF('BP1'!$K$5&gt;0,IF('BP2'!N58&gt;0,'BP2'!N58,0),0)</f>
        <v>0</v>
      </c>
      <c r="P56" s="529">
        <f>IF('BP1'!$K$5&gt;0,IF('BP3'!N58&gt;0,'BP3'!N58,0),0)</f>
        <v>0</v>
      </c>
      <c r="Q56" s="529">
        <f>IF('BP1'!$K$5&gt;0,IF('BP4'!N58&gt;0,'BP4'!N58,0),0)</f>
        <v>0</v>
      </c>
      <c r="R56" s="529">
        <f>IF('BP1'!$K$5&gt;0,IF('BP5'!N58&gt;0,'BP5'!N58,0),0)</f>
        <v>0</v>
      </c>
      <c r="S56" s="236" t="str">
        <f>IF(AND('BP1'!$K$5=2,I56&lt;&gt;J56),"Note: Funds change in the outyears!","")&amp;IF(AND('BP1'!$K$5=3,OR(I56&lt;&gt;J56,I56&lt;&gt;K56,J56&lt;&gt;K56)),"Note: Funds change in the outyears!","")&amp;IF(AND('BP1'!$K$5=4,OR(I56&lt;&gt;J56,I56&lt;&gt;K56,I56&lt;&gt;L56,J56&lt;&gt;K56,J56&lt;&gt;L56,K56&lt;&gt;L56)),"Note: Funds change in the outyears!","")&amp;IF(AND('BP1'!$K$5=5,OR(I56&lt;&gt;J56,I56&lt;&gt;K56,I56&lt;&gt;L56,I56&lt;&gt;M56,J56&lt;&gt;K56,J56&lt;&gt;L56,J56&lt;&gt;M56,K56&lt;&gt;L56,K56&lt;&gt;M56,L56&lt;&gt;M56)),"Note: Funds change in the outyears!","")</f>
        <v/>
      </c>
      <c r="T56" s="236" t="str">
        <f>IF(AND('BP1'!$K$5=2,N56&lt;&gt;O56),"Note: Funds changes in the outyears!","")&amp;IF(AND('BP1'!$K$5=3,OR(N56&lt;&gt;O56,N56&lt;&gt;P56,O56&lt;&gt;P56)),"Note: Funds changes in the outyears!","")&amp;IF(AND('BP1'!$K$5=4,OR(N56&lt;&gt;O56,N56&lt;&gt;P56,N56&lt;&gt;Q56,O56&lt;&gt;P56,O56&lt;&gt;Q56,P56&lt;&gt;Q56)),"Note: Funds changes in the outyears!","")&amp;IF(AND('BP1'!$K$5=5,OR(N56&lt;&gt;O56,N56&lt;&gt;P56,N56&lt;&gt;Q56,N56&lt;&gt;R56,O56&lt;&gt;P56,O56&lt;&gt;Q56,O56&lt;&gt;R56,P56&lt;&gt;Q56,P56&lt;&gt;R56,Q56&lt;&gt;R56)),"Note: Funds changes in the outyears!","")</f>
        <v/>
      </c>
      <c r="U56" s="691" t="str">
        <f>IF(A56="","Blank","Populate")</f>
        <v>Blank</v>
      </c>
    </row>
    <row r="57" spans="1:21" ht="15" customHeight="1">
      <c r="A57" s="992"/>
      <c r="B57" s="992"/>
      <c r="C57" s="992"/>
      <c r="D57" s="992"/>
      <c r="E57" s="992"/>
      <c r="F57" s="992"/>
      <c r="G57" s="992"/>
      <c r="H57" s="992"/>
      <c r="I57" s="261"/>
      <c r="J57" s="261"/>
      <c r="K57" s="261"/>
      <c r="L57" s="261"/>
      <c r="M57" s="261"/>
      <c r="N57" s="530"/>
      <c r="O57" s="530"/>
      <c r="P57" s="530"/>
      <c r="Q57" s="530"/>
      <c r="R57" s="530"/>
      <c r="S57" s="236"/>
      <c r="T57" s="236"/>
      <c r="U57" s="691" t="str">
        <f>IF(A56="","Blank","Populate")</f>
        <v>Blank</v>
      </c>
    </row>
    <row r="58" spans="1:21" ht="30" customHeight="1">
      <c r="A58" s="991" t="str">
        <f>IF(OR('Cumulative Budget'!K59&gt;0,'Cumulative Budget'!N59&gt;0),"Tuition: Support is requested to cover the cost of graduate student tuition. Tuition is inflated 5% each University fiscal year starting in September.","")</f>
        <v/>
      </c>
      <c r="B58" s="991"/>
      <c r="C58" s="991"/>
      <c r="D58" s="991"/>
      <c r="E58" s="991"/>
      <c r="F58" s="991"/>
      <c r="G58" s="991"/>
      <c r="H58" s="991"/>
      <c r="I58" s="269">
        <f>IF('BP1'!$K$5&gt;0,IF('BP1'!K59&gt;0,1,0),0)</f>
        <v>0</v>
      </c>
      <c r="J58" s="269">
        <f>IF('BP1'!$K$5&gt;1,IF('BP2'!K59&gt;0,1,0),0)</f>
        <v>0</v>
      </c>
      <c r="K58" s="269">
        <f>IF('BP1'!$K$5&gt;2,IF('BP3'!K59&gt;0,1,0),0)</f>
        <v>0</v>
      </c>
      <c r="L58" s="269">
        <f>IF('BP1'!$K$5&gt;3,IF('BP4'!K59&gt;0,1,0),0)</f>
        <v>0</v>
      </c>
      <c r="M58" s="269">
        <f>IF('BP1'!$K$5&gt;4,IF('BP5'!K59&gt;0,1,0),0)</f>
        <v>0</v>
      </c>
      <c r="N58" s="529">
        <f>IF('BP1'!$K$5&gt;0,IF('BP1'!N59&gt;0,1,0),0)</f>
        <v>0</v>
      </c>
      <c r="O58" s="529">
        <f>IF('BP1'!$K$5&gt;1,IF('BP2'!N59&gt;0,1,0),0)</f>
        <v>0</v>
      </c>
      <c r="P58" s="529">
        <f>IF('BP1'!$K$5&gt;2,IF('BP3'!N59&gt;0,1,0),0)</f>
        <v>0</v>
      </c>
      <c r="Q58" s="529">
        <f>IF('BP1'!$K$5&gt;3,IF('BP4'!N59&gt;0,1,0),0)</f>
        <v>0</v>
      </c>
      <c r="R58" s="529">
        <f>IF('BP1'!$K$5&gt;4,IF('BP5'!N59&gt;0,1,0),0)</f>
        <v>0</v>
      </c>
      <c r="S58" s="236" t="str">
        <f>IF(AND('BP1'!$K$5=2,I58&lt;&gt;J58),"Note: Students not requested in all years!","")&amp;IF(AND('BP1'!$K$5=3,OR(I58&lt;&gt;J58,I58&lt;&gt;K58,J58&lt;&gt;K58)),"Note: Students not requested in all years!","")&amp;IF(AND('BP1'!$K$5=4,OR(I58&lt;&gt;J58,I58&lt;&gt;K58,I58&lt;&gt;L58,J58&lt;&gt;K58,J58&lt;&gt;L58,K58&lt;&gt;L58)),"Note: Students not requested in all years!","")&amp;IF(AND('BP1'!$K$5=5,OR(I58&lt;&gt;J58,I58&lt;&gt;K58,I58&lt;&gt;L58,I58&lt;&gt;M58,J58&lt;&gt;K58,J58&lt;&gt;L58,J58&lt;&gt;M58,K58&lt;&gt;L58,K58&lt;&gt;M58,L58&lt;&gt;M58)),"Note: Students not requested in all years!","")</f>
        <v/>
      </c>
      <c r="T58" s="236" t="str">
        <f>IF(AND('BP1'!$K$5=2,N58&lt;&gt;O58),"Note: Funds changes in the outyears!","")&amp;IF(AND('BP1'!$K$5=3,OR(N58&lt;&gt;O58,N58&lt;&gt;P58,O58&lt;&gt;P58)),"Note: Funds changes in the outyears!","")&amp;IF(AND('BP1'!$K$5=4,OR(N58&lt;&gt;O58,N58&lt;&gt;P58,N58&lt;&gt;Q58,O58&lt;&gt;P58,O58&lt;&gt;Q58,P58&lt;&gt;Q58)),"Note: Funds changes in the outyears!","")&amp;IF(AND('BP1'!$K$5=5,OR(N58&lt;&gt;O58,N58&lt;&gt;P58,N58&lt;&gt;Q58,N58&lt;&gt;R58,O58&lt;&gt;P58,O58&lt;&gt;Q58,O58&lt;&gt;R58,P58&lt;&gt;Q58,P58&lt;&gt;R58,Q58&lt;&gt;R58)),"Note: Funds changes in the outyears!","")</f>
        <v/>
      </c>
      <c r="U58" s="691" t="str">
        <f>IF(A58="","Blank","Populate")</f>
        <v>Blank</v>
      </c>
    </row>
    <row r="59" spans="1:21" ht="15" customHeight="1">
      <c r="A59" s="992"/>
      <c r="B59" s="992"/>
      <c r="C59" s="992"/>
      <c r="D59" s="992"/>
      <c r="E59" s="992"/>
      <c r="F59" s="992"/>
      <c r="G59" s="992"/>
      <c r="H59" s="992"/>
      <c r="I59" s="261"/>
      <c r="J59" s="261"/>
      <c r="K59" s="261"/>
      <c r="L59" s="261"/>
      <c r="M59" s="261"/>
      <c r="N59" s="530"/>
      <c r="O59" s="530"/>
      <c r="P59" s="530"/>
      <c r="Q59" s="530"/>
      <c r="R59" s="530"/>
      <c r="S59" s="236"/>
      <c r="T59" s="236"/>
      <c r="U59" s="691" t="str">
        <f>IF(A58="","Blank","Populate")</f>
        <v>Blank</v>
      </c>
    </row>
    <row r="60" spans="1:21" ht="30" customHeight="1">
      <c r="A60" s="991" t="str">
        <f>IF(OR('Cumulative Budget'!K60+'Cumulative Budget'!K61&gt;0,'Cumulative Budget'!N60+'Cumulative Budget'!N61&gt;0),"Other: Support is requested to cover other direct costs. "&amp;'BP1'!P60,"")</f>
        <v/>
      </c>
      <c r="B60" s="991"/>
      <c r="C60" s="991"/>
      <c r="D60" s="991"/>
      <c r="E60" s="991"/>
      <c r="F60" s="991"/>
      <c r="G60" s="991"/>
      <c r="H60" s="991"/>
      <c r="I60" s="266">
        <f>IF('BP1'!$K$5&gt;0,IF('BP1'!K60+'BP1'!K61&gt;0,'BP1'!K60+'BP1'!K61,0),0)</f>
        <v>0</v>
      </c>
      <c r="J60" s="266">
        <f>IF('BP1'!$K$5&gt;1,IF('BP2'!K60+'BP2'!K61&gt;0,'BP2'!K60+'BP2'!K61,0),0)</f>
        <v>0</v>
      </c>
      <c r="K60" s="266">
        <f>IF('BP1'!$K$5&gt;2,IF('BP3'!K60+'BP3'!K61&gt;0,'BP3'!K60+'BP3'!K61,0),0)</f>
        <v>0</v>
      </c>
      <c r="L60" s="266">
        <f>IF('BP1'!$K$5&gt;3,IF('BP4'!K60+'BP4'!K61&gt;0,'BP4'!K60+'BP4'!K61,0),0)</f>
        <v>0</v>
      </c>
      <c r="M60" s="266">
        <f>IF('BP1'!$K$5&gt;4,IF('BP5'!K60+'BP5'!K61&gt;0,'BP5'!K60+'BP5'!K61,0),0)</f>
        <v>0</v>
      </c>
      <c r="N60" s="529">
        <f>IF('BP1'!$K$5&gt;0,IF('BP1'!N60+'BP1'!N61&gt;0,'BP1'!N60+'BP1'!N61,0),0)</f>
        <v>0</v>
      </c>
      <c r="O60" s="529">
        <f>IF('BP1'!$K$5&gt;1,IF('BP2'!N60+'BP2'!N61&gt;0,'BP2'!N60+'BP2'!N61,0),0)</f>
        <v>0</v>
      </c>
      <c r="P60" s="529">
        <f>IF('BP1'!$K$5&gt;2,IF('BP3'!N60+'BP3'!N61&gt;0,'BP3'!N60+'BP3'!N61,0),0)</f>
        <v>0</v>
      </c>
      <c r="Q60" s="529">
        <f>IF('BP1'!$K$5&gt;3,IF('BP4'!N60+'BP4'!N61&gt;0,'BP4'!N60+'BP4'!N61,0),0)</f>
        <v>0</v>
      </c>
      <c r="R60" s="529">
        <f>IF('BP1'!$K$5&gt;4,IF('BP5'!N60+'BP5'!N61&gt;0,'BP5'!N60+'BP5'!N61,0),0)</f>
        <v>0</v>
      </c>
      <c r="S60" s="236" t="str">
        <f>IF(AND('BP1'!$K$5=2,I60&lt;&gt;J60),"Note: Funds change in the outyears!","")&amp;IF(AND('BP1'!$K$5=3,OR(I60&lt;&gt;J60,I60&lt;&gt;K60,J60&lt;&gt;K60)),"Note: Funds change in the outyears!","")&amp;IF(AND('BP1'!$K$5=4,OR(I60&lt;&gt;J60,I60&lt;&gt;K60,I60&lt;&gt;L60,J60&lt;&gt;K60,J60&lt;&gt;L60,K60&lt;&gt;L60)),"Note: Funds change in the outyears!","")&amp;IF(AND('BP1'!$K$5=5,OR(I60&lt;&gt;J60,I60&lt;&gt;K60,I60&lt;&gt;L60,I60&lt;&gt;M60,J60&lt;&gt;K60,J60&lt;&gt;L60,J60&lt;&gt;M60,K60&lt;&gt;L60,K60&lt;&gt;M60,L60&lt;&gt;M60)),"Note: Funds change in the outyears!","")</f>
        <v/>
      </c>
      <c r="T60" s="236" t="str">
        <f>IF(AND('BP1'!$K$5=2,N60&lt;&gt;O60),"Note: Funds changes in the outyears!","")&amp;IF(AND('BP1'!$K$5=3,OR(N60&lt;&gt;O60,N60&lt;&gt;P60,O60&lt;&gt;P60)),"Note: Funds changes in the outyears!","")&amp;IF(AND('BP1'!$K$5=4,OR(N60&lt;&gt;O60,N60&lt;&gt;P60,N60&lt;&gt;Q60,O60&lt;&gt;P60,O60&lt;&gt;Q60,P60&lt;&gt;Q60)),"Note: Funds changes in the outyears!","")&amp;IF(AND('BP1'!$K$5=5,OR(N60&lt;&gt;O60,N60&lt;&gt;P60,N60&lt;&gt;Q60,N60&lt;&gt;R60,O60&lt;&gt;P60,O60&lt;&gt;Q60,O60&lt;&gt;R60,P60&lt;&gt;Q60,P60&lt;&gt;R60,Q60&lt;&gt;R60)),"Note: Funds changes in the outyears!","")</f>
        <v/>
      </c>
      <c r="U60" s="691" t="str">
        <f>IF(A60="","Blank","Populate")</f>
        <v>Blank</v>
      </c>
    </row>
    <row r="61" spans="1:21" ht="15" customHeight="1">
      <c r="A61" s="992"/>
      <c r="B61" s="992"/>
      <c r="C61" s="992"/>
      <c r="D61" s="992"/>
      <c r="E61" s="992"/>
      <c r="F61" s="992"/>
      <c r="G61" s="992"/>
      <c r="H61" s="992"/>
      <c r="I61" s="261"/>
      <c r="J61" s="261"/>
      <c r="K61" s="261"/>
      <c r="L61" s="261"/>
      <c r="M61" s="261"/>
      <c r="N61" s="530"/>
      <c r="O61" s="530"/>
      <c r="P61" s="530"/>
      <c r="Q61" s="530"/>
      <c r="R61" s="530"/>
      <c r="S61" s="236"/>
      <c r="T61" s="236"/>
      <c r="U61" s="691" t="str">
        <f>IF(A60="","Blank","Populate")</f>
        <v>Blank</v>
      </c>
    </row>
    <row r="62" spans="1:21" ht="60" customHeight="1">
      <c r="A62" s="991" t="str">
        <f>IF(SUM('Cumulative Budget'!K62:'Cumulative Budget'!K73)&gt;0,"Subaward"&amp;IF(SUM('Cumulative Budget'!K63:'Cumulative Budget'!K73)&gt;0,"s","")&amp;": Support is requested for "&amp;IF(SUM('Cumulative Budget'!K63:'Cumulative Budget'!K73)&gt;0,"the following subawards: ","a subaward at ")&amp;IF('Cumulative Budget'!K62&gt;0,'BP1'!G62&amp;", led by SubK PI "&amp;'BP1'!P62&amp;". "&amp;'BP1'!Q62,"")&amp;IF('Cumulative Budget'!K63&gt;0,"; "&amp;'BP1'!G63&amp;", led by SubK PI "&amp;'BP1'!P63&amp;". "&amp;'BP1'!Q63,"")&amp;IF('Cumulative Budget'!K64&gt;0,"; "&amp;'BP1'!G64&amp;", led by SubK PI "&amp;'BP1'!P64&amp;". "&amp;'BP1'!Q64,"")&amp;IF('Cumulative Budget'!K65&gt;0,"; "&amp;'BP1'!G65&amp;", led by SubK PI "&amp;'BP1'!P65&amp;". "&amp;'BP1'!Q65,"")&amp;IF('Cumulative Budget'!K66&gt;0,"; "&amp;'BP1'!G66&amp;", led by SubK PI "&amp;'BP1'!P66&amp;". "&amp;'BP1'!Q66,"")&amp;IF('Cumulative Budget'!K67&gt;0,"; "&amp;'BP1'!G67&amp;", led by SubK PI "&amp;'BP1'!P67&amp;". "&amp;'BP1'!Q67,""&amp;IF('Cumulative Budget'!K68&gt;0,"; "&amp;'BP1'!G68&amp;", led by SubK PI "&amp;'BP1'!P68&amp;". "&amp;'BP1'!Q68,""))&amp;IF('Cumulative Budget'!K69&gt;0,"; "&amp;'BP1'!G69&amp;", led by SubK PI "&amp;'BP1'!P69&amp;". "&amp;'BP1'!Q69,"")&amp;IF('Cumulative Budget'!K70&gt;0,"; "&amp;'BP1'!G70&amp;", led by SubK PI "&amp;'BP1'!P70&amp;". "&amp;'BP1'!Q70,"")&amp;IF('Cumulative Budget'!K71&gt;0,"; "&amp;'BP1'!G71&amp;", led by SubK PI "&amp;'BP1'!P71&amp;". "&amp;'BP1'!Q71&amp;IF(ISBLANK('BP1'!Q71),," "),"")&amp;IF('Cumulative Budget'!K72&gt;0,"; "&amp;'BP1'!G72&amp;", led by SubK PI "&amp;'BP1'!P72&amp;". "&amp;'BP1'!Q72,"")&amp;IF('Cumulative Budget'!K73&gt;0,"; "&amp;'BP1'!G73&amp;", led by SubK PI "&amp;'BP1'!P73&amp;". "&amp;'BP1'!Q73,"")&amp;IF('BP1'!K3="MTDC",IF(SUM('Cumulative Budget'!K62:'Cumulative Budget'!K73)&gt;0,". F&amp;A only accrues on the first $25,000 of each subaward.",""),""),"")</f>
        <v/>
      </c>
      <c r="B62" s="991"/>
      <c r="C62" s="991"/>
      <c r="D62" s="991"/>
      <c r="E62" s="991"/>
      <c r="F62" s="991"/>
      <c r="G62" s="991"/>
      <c r="H62" s="991"/>
      <c r="I62" s="266">
        <f>IF('BP1'!$K$5&gt;0,IF(SUM('BP1'!K62:'BP1'!K73)&gt;0,SUM('BP1'!K62:'BP1'!K73),0),0)</f>
        <v>0</v>
      </c>
      <c r="J62" s="260">
        <f>IF('BP1'!$K$5&gt;1,IF(SUM('BP2'!K62:'BP2'!K73)&gt;0,SUM('BP2'!K62:'BP2'!K73),0),0)</f>
        <v>0</v>
      </c>
      <c r="K62" s="260">
        <f>IF('BP1'!$K$5&gt;2,IF(SUM('BP3'!K62:'BP3'!K73)&gt;0,SUM('BP3'!K62:'BP3'!K73),0),0)</f>
        <v>0</v>
      </c>
      <c r="L62" s="260">
        <f>IF('BP1'!$K$5&gt;3,IF(SUM('BP4'!K62:'BP4'!K73)&gt;0,SUM('BP4'!K62:'BP4'!K73),0),0)</f>
        <v>0</v>
      </c>
      <c r="M62" s="260">
        <f>IF('BP1'!$K$5&gt;4,IF(SUM('BP5'!K62:'BP5'!K73)&gt;0,SUM('BP5'!K62:'BP5'!K73),0),0)</f>
        <v>0</v>
      </c>
      <c r="N62" s="586">
        <f>IF('BP1'!$K$5&gt;0,IF(SUM('BP1'!N62:'BP1'!N73)&gt;0,SUM('BP1'!N62:'BP1'!N73),0),0)</f>
        <v>0</v>
      </c>
      <c r="O62" s="586">
        <f>IF('BP1'!$K$5&gt;1,IF(SUM('BP2'!N62:'BP2'!N73)&gt;0,SUM('BP2'!N62:'BP2'!N73),0),0)</f>
        <v>0</v>
      </c>
      <c r="P62" s="586">
        <f>IF('BP1'!$K$5&gt;2,IF(SUM('BP3'!N62:'BP3'!N73)&gt;0,SUM('BP3'!N62:'BP3'!N73),0),0)</f>
        <v>0</v>
      </c>
      <c r="Q62" s="586">
        <f>IF('BP1'!$K$5&gt;3,IF(SUM('BP4'!N62:'BP4'!N73)&gt;0,SUM('BP4'!N62:'BP4'!N73),0),0)</f>
        <v>0</v>
      </c>
      <c r="R62" s="586">
        <f>IF('BP1'!$K$5&gt;4,IF(SUM('BP5'!N62:'BP5'!N73)&gt;0,SUM('BP5'!N62:'BP5'!N73),0),0)</f>
        <v>0</v>
      </c>
      <c r="S62" s="236" t="str">
        <f>IF(AND('BP1'!$K$5=2,I62&lt;&gt;J62),"Note: Funds change in the outyears!","")&amp;IF(AND('BP1'!$K$5=3,OR(I62&lt;&gt;J62,I62&lt;&gt;K62,J62&lt;&gt;K62)),"Note: Funds change in the outyears!","")&amp;IF(AND('BP1'!$K$5=4,OR(I62&lt;&gt;J62,I62&lt;&gt;K62,I62&lt;&gt;L62,J62&lt;&gt;K62,J62&lt;&gt;L62,K62&lt;&gt;L62)),"Note: Funds change in the outyears!","")&amp;IF(AND('BP1'!$K$5=5,OR(I62&lt;&gt;J62,I62&lt;&gt;K62,I62&lt;&gt;L62,I62&lt;&gt;M62,J62&lt;&gt;K62,J62&lt;&gt;L62,J62&lt;&gt;M62,K62&lt;&gt;L62,K62&lt;&gt;M62,L62&lt;&gt;M62)),"Note: Funds change in the outyears!","")</f>
        <v/>
      </c>
      <c r="T62" s="236" t="str">
        <f>IF(AND('BP1'!$K$5=2,N62&lt;&gt;O62),"Note: Funds changes in the outyears!","")&amp;IF(AND('BP1'!$K$5=3,OR(N62&lt;&gt;O62,N62&lt;&gt;P62,O62&lt;&gt;P62)),"Note: Funds changes in the outyears!","")&amp;IF(AND('BP1'!$K$5=4,OR(N62&lt;&gt;O62,N62&lt;&gt;P62,N62&lt;&gt;Q62,O62&lt;&gt;P62,O62&lt;&gt;Q62,P62&lt;&gt;Q62)),"Note: Funds changes in the outyears!","")&amp;IF(AND('BP1'!$K$5=5,OR(N62&lt;&gt;O62,N62&lt;&gt;P62,N62&lt;&gt;Q62,N62&lt;&gt;R62,O62&lt;&gt;P62,O62&lt;&gt;Q62,O62&lt;&gt;R62,P62&lt;&gt;Q62,P62&lt;&gt;R62,Q62&lt;&gt;R62)),"Note: Funds changes in the outyears!","")</f>
        <v/>
      </c>
      <c r="U62" s="691" t="str">
        <f>IF(A62="","Blank","Populate")</f>
        <v>Blank</v>
      </c>
    </row>
    <row r="63" spans="1:21" ht="15" customHeight="1">
      <c r="A63" s="992"/>
      <c r="B63" s="992"/>
      <c r="C63" s="992"/>
      <c r="D63" s="992"/>
      <c r="E63" s="992"/>
      <c r="F63" s="992"/>
      <c r="G63" s="992"/>
      <c r="H63" s="992"/>
      <c r="I63" s="261"/>
      <c r="J63" s="261"/>
      <c r="K63" s="261"/>
      <c r="L63" s="261"/>
      <c r="M63" s="261"/>
      <c r="N63" s="530"/>
      <c r="O63" s="530"/>
      <c r="P63" s="530"/>
      <c r="Q63" s="530"/>
      <c r="R63" s="530"/>
      <c r="S63" s="236"/>
      <c r="T63" s="236"/>
      <c r="U63" s="691" t="str">
        <f>IF(A62="","Blank","Populate")</f>
        <v>Blank</v>
      </c>
    </row>
    <row r="64" spans="1:21" ht="15" customHeight="1">
      <c r="A64" s="993" t="s">
        <v>176</v>
      </c>
      <c r="B64" s="993"/>
      <c r="C64" s="993"/>
      <c r="D64" s="993"/>
      <c r="E64" s="993"/>
      <c r="F64" s="993"/>
      <c r="G64" s="993"/>
      <c r="H64" s="993"/>
      <c r="I64" s="262"/>
      <c r="J64" s="262"/>
      <c r="K64" s="262"/>
      <c r="L64" s="262"/>
      <c r="M64" s="262"/>
      <c r="N64" s="531"/>
      <c r="O64" s="531"/>
      <c r="P64" s="531"/>
      <c r="Q64" s="531"/>
      <c r="R64" s="531"/>
      <c r="S64" s="236"/>
      <c r="T64" s="236"/>
      <c r="U64" s="691" t="str">
        <f>IF(A64="","Blank","Populate")</f>
        <v>Populate</v>
      </c>
    </row>
    <row r="65" spans="1:21" ht="15" customHeight="1">
      <c r="A65" s="990" t="str">
        <f ca="1">IF(AND('Cumulative Budget'!K79=0,'Cumulative Budget'!N79&gt;0),"Per sponsor guidelines, no F&amp;A is allowed on the sponsor budget. Unrecovered F&amp;A has been calculated based on the following approved rates:",IF('BP1'!K2="Federal",IF('BP1'!L2="Off Campus","F&amp;A has been calculated based on the following DHHS approved rates:",IF('BP1'!L2="DoD Contract","F&amp;A has been calculated based on the following DHHS approved rates:",IF('BP1'!L2="No F&amp;A","Per sponsor guidelines, no F&amp;A is allowed.",IF('BP1'!L2="Custom","Per sponsor guidelines, F&amp;A has been capped at "&amp;TEXT('BP1'!I77,"0.00%")&amp;".","F&amp;A has been calculated based on the following DHHS approved rates:")))),IF('BP1'!L2="Off Campus","F&amp;A has been calculated based on the following approved rates:",IF('BP1'!L2="No F&amp;A","Per sponsor guidelines, no F&amp;A is allowed.",IF('BP1'!L2="Custom","Per sponsor guidelines, F&amp;A has been capped at "&amp;TEXT('BP1'!I77,"0.00%")&amp;".","F&amp;A has been calculated based on the following approved rates:")))))</f>
        <v>F&amp;A has been calculated based on the following DHHS approved rates:</v>
      </c>
      <c r="B65" s="990"/>
      <c r="C65" s="990"/>
      <c r="D65" s="990"/>
      <c r="E65" s="990"/>
      <c r="F65" s="990"/>
      <c r="G65" s="990"/>
      <c r="H65" s="990"/>
      <c r="I65" s="263"/>
      <c r="J65" s="263"/>
      <c r="K65" s="263"/>
      <c r="L65" s="263"/>
      <c r="M65" s="263"/>
      <c r="N65" s="528"/>
      <c r="O65" s="528"/>
      <c r="P65" s="528"/>
      <c r="Q65" s="528"/>
      <c r="R65" s="528"/>
      <c r="S65" s="236"/>
      <c r="T65" s="236"/>
      <c r="U65" s="691" t="str">
        <f ca="1">IF(A65="","Blank","Populate")</f>
        <v>Populate</v>
      </c>
    </row>
    <row r="66" spans="1:21" ht="15" customHeight="1">
      <c r="A66" s="477" t="str">
        <f>IF('BP1'!K2="Federal",IF('BP1'!L2="Off Campus","26.00%",IF('BP1'!L2="DoD Contract","55.50%",IF('BP1'!L2="No F&amp;A","",IF('BP1'!L2="Custom","","55.50%")))),IF('BP1'!L2="Off Campus","32.80%",IF('BP1'!L2="No F&amp;A","",IF('BP1'!L2="Custom","","68.90%"))))</f>
        <v>55.50%</v>
      </c>
      <c r="B66" s="990" t="str">
        <f>IF('BP1'!K3="MTDC",IF('BP1'!K2="Federal",IF('BP1'!L2="Off Campus","- MTDC 9/1/15-8/31/16 - Predetermined (Off Campus)",IF('BP1'!L2="DoD Contract","- MTDC 9/1/15-8/31/16 - Predetermined (DoD Contract)",IF('BP1'!L2="No F&amp;A","",IF('BP1'!L2="Custom","","- MTDC 9/1/15-8/31/16 - Predetermined")))),IF('BP1'!L2="Off Campus","- MTDC 9/1/15-8/31/16 - Predetermined (Off Campus)",IF('BP1'!L2="No F&amp;A","",IF('BP1'!L2="Custom","","- MTDC 9/1/15-8/31/16 - Predetermined")))),IF('BP1'!K2="Federal",IF('BP1'!L2="Off Campus","- TDC 9/1/15-8/31/16 - Predetermined (Off Campus)",IF('BP1'!L2="DoD Contract","- TDC 9/1/15-8/31/16 - Predetermined (DoD Contract)",IF('BP1'!L2="No F&amp;A","",IF('BP1'!L2="Custom","","- TDC 9/1/15-8/31/16 - Predetermined")))),IF('BP1'!L2="Off Campus","- TDC 9/1/15-8/31/16 Predetermined (Off Campus)",IF('BP1'!L2="No F&amp;A","",IF('BP1'!L2="Custom","","- TDC 9/1/15-8/31/16 Predetermined")))))</f>
        <v>- MTDC 9/1/15-8/31/16 - Predetermined</v>
      </c>
      <c r="C66" s="990"/>
      <c r="D66" s="990"/>
      <c r="E66" s="990"/>
      <c r="F66" s="990"/>
      <c r="G66" s="990"/>
      <c r="H66" s="990"/>
      <c r="I66" s="263"/>
      <c r="J66" s="263"/>
      <c r="K66" s="263"/>
      <c r="L66" s="263"/>
      <c r="M66" s="263"/>
      <c r="N66" s="528"/>
      <c r="O66" s="528"/>
      <c r="P66" s="528"/>
      <c r="Q66" s="528"/>
      <c r="R66" s="528"/>
      <c r="S66" s="236"/>
      <c r="T66" s="236"/>
      <c r="U66" s="691" t="str">
        <f ca="1">IF(AND(A66&lt;&gt;"",'Cumulative Budget'!K8&lt;=DATE(2016,8,31),'Cumulative Budget'!K10&gt;=DATE(2015,9,1)),"Populate","Blank")</f>
        <v>Blank</v>
      </c>
    </row>
    <row r="67" spans="1:21" ht="15" customHeight="1">
      <c r="A67" s="477" t="str">
        <f>IF('BP1'!K2="Federal",IF('BP1'!L2="Off Campus","26.00%",IF('BP1'!L2="DoD Contract","57.50%",IF('BP1'!L2="No F&amp;A","",IF('BP1'!L2="Custom","","56.50%")))),IF('BP1'!L2="Off Campus","32.80%",IF('BP1'!L2="No F&amp;A","",IF('BP1'!L2="Custom","","68.90%"))))</f>
        <v>56.50%</v>
      </c>
      <c r="B67" s="990" t="str">
        <f>IF('BP1'!K3="MTDC",IF('BP1'!K2="Federal",IF('BP1'!L2="Off Campus","- MTDC 9/1/16-8/31/17 - Predetermined (Off Campus)",IF('BP1'!L2="DoD Contract","- MTDC 9/1/16-8/31/17 - Predetermined (DoD Contract)",IF('BP1'!L2="No F&amp;A","",IF('BP1'!L2="Custom","","- MTDC 9/1/16-8/31/17 - Predetermined")))),IF('BP1'!L2="Off Campus","- MTDC 9/1/16-8/31/17 - Predetermined (Off Campus)",IF('BP1'!L2="No F&amp;A","",IF('BP1'!L2="Custom","","- MTDC 9/1/16-8/31/17 - Predetermined")))),IF('BP1'!K2="Federal",IF('BP1'!L2="Off Campus","- TDC 9/1/16-8/31/17 - Predetermined (Off Campus)",IF('BP1'!L2="DoD Contract","- TDC 9/1/16-8/31/17 - Predetermined (DoD Contract)",IF('BP1'!L2="No F&amp;A","",IF('BP1'!L2="Custom","","- TDC 9/1/16-8/31/17 - Predetermined")))),IF('BP1'!L2="Off Campus","- TDC 9/1/16-8/31/17 - Predetermined (Off Campus)",IF('BP1'!L2="No F&amp;A","",IF('BP1'!L2="Custom","","- TDC 9/1/16-8/31/17 - Predetermined")))))</f>
        <v>- MTDC 9/1/16-8/31/17 - Predetermined</v>
      </c>
      <c r="C67" s="990"/>
      <c r="D67" s="990"/>
      <c r="E67" s="990"/>
      <c r="F67" s="990"/>
      <c r="G67" s="990"/>
      <c r="H67" s="990"/>
      <c r="I67" s="400"/>
      <c r="J67" s="400"/>
      <c r="K67" s="400"/>
      <c r="L67" s="400"/>
      <c r="M67" s="400"/>
      <c r="N67" s="528"/>
      <c r="O67" s="528"/>
      <c r="P67" s="528"/>
      <c r="Q67" s="528"/>
      <c r="R67" s="528"/>
      <c r="S67" s="236"/>
      <c r="T67" s="236"/>
      <c r="U67" s="691" t="str">
        <f ca="1">IF(AND(A67&lt;&gt;"",'Cumulative Budget'!K8&lt;=DATE(2017,8,31),'Cumulative Budget'!K10&gt;=DATE(2016,9,1)),"Populate","Blank")</f>
        <v>Blank</v>
      </c>
    </row>
    <row r="68" spans="1:21" ht="15" customHeight="1">
      <c r="A68" s="477" t="str">
        <f>IF('BP1'!K2="Federal",IF('BP1'!L2="Off Campus","26.00%",IF('BP1'!L2="DoD Contract","59.00%",IF('BP1'!L2="No F&amp;A","",IF('BP1'!L2="Custom","","58.00%")))),IF('BP1'!L2="Off Campus","32.80%",IF('BP1'!L2="No F&amp;A","",IF('BP1'!L2="Custom","","68.90%"))))</f>
        <v>58.00%</v>
      </c>
      <c r="B68" s="990" t="str">
        <f>IF('BP1'!K3="MTDC",IF('BP1'!K2="Federal",IF('BP1'!L2="Off Campus","- MTDC 9/1/17-8/31/18 - Predetermined (Off Campus)",IF('BP1'!L2="DoD Contract","- MTDC 9/1/17-8/31/18 - Predetermined (DoD Contract)",IF('BP1'!L2="No F&amp;A","",IF('BP1'!L2="Custom","","- MTDC 9/1/17-8/31/18 - Predetermined")))),IF('BP1'!L2="Off Campus","- MTDC 9/1/17-8/31/18 - Predetermined (Off Campus)",IF('BP1'!L2="No F&amp;A","",IF('BP1'!L2="Custom","","- MTDC 9/1/17-8/31/18 - Predetermined")))),IF('BP1'!K2="Federal",IF('BP1'!L2="Off Campus","- TDC 9/1/17-8/31/18 - Predetermined (Off Campus)",IF('BP1'!L2="DoD Contract","- TDC 9/1/17-8/31/18 - Predetermined (DoD Contract)",IF('BP1'!L2="No F&amp;A","",IF('BP1'!L2="Custom","","- TDC 9/1/17-8/31/18 - Predetermined")))),IF('BP1'!L2="Off Campus","- TDC 9/1/17-8/31/18 - Predetermined (Off Campus)",IF('BP1'!L2="No F&amp;A","",IF('BP1'!L2="Custom","","- TDC 9/1/17-8/31/18 - Predetermined")))))</f>
        <v>- MTDC 9/1/17-8/31/18 - Predetermined</v>
      </c>
      <c r="C68" s="990"/>
      <c r="D68" s="990"/>
      <c r="E68" s="990"/>
      <c r="F68" s="990"/>
      <c r="G68" s="990"/>
      <c r="H68" s="990"/>
      <c r="I68" s="263"/>
      <c r="J68" s="263"/>
      <c r="K68" s="263"/>
      <c r="L68" s="263"/>
      <c r="M68" s="263"/>
      <c r="N68" s="528"/>
      <c r="O68" s="528"/>
      <c r="P68" s="528"/>
      <c r="Q68" s="528"/>
      <c r="R68" s="528"/>
      <c r="S68" s="236"/>
      <c r="T68" s="236"/>
      <c r="U68" s="691" t="str">
        <f ca="1">IF(AND(A68&lt;&gt;"",'Cumulative Budget'!K8&lt;=DATE(2018,8,31),'Cumulative Budget'!K10&gt;=DATE(2017,9,1)),"Populate","Blank")</f>
        <v>Blank</v>
      </c>
    </row>
    <row r="69" spans="1:21" ht="15" customHeight="1">
      <c r="A69" s="477" t="str">
        <f>IF('BP1'!K2="Federal",IF('BP1'!L2="Off Campus","26.00%",IF('BP1'!L2="DoD Contract","59.00%",IF('BP1'!L2="No F&amp;A","",IF('BP1'!L2="Custom","","58.00%")))),IF('BP1'!L2="Off Campus","32.80%",IF('BP1'!L2="No F&amp;A","",IF('BP1'!L2="Custom","","68.90%"))))</f>
        <v>58.00%</v>
      </c>
      <c r="B69" s="990" t="str">
        <f>IF('BP1'!K3="MTDC",IF('BP1'!K2="Federal",IF('BP1'!L2="Off Campus","- MTDC 9/1/18-8/31/19 - Predetermined (Off Campus)",IF('BP1'!L2="DoD Contract","- MTDC 9/1/18-8/31/19 - Predetermined (DoD Contract)",IF('BP1'!L2="No F&amp;A","",IF('BP1'!L2="Custom","","- MTDC 9/1/18-8/31/19 - Predetermined")))),IF('BP1'!L2="Off Campus","- MTDC 9/1/18-8/31/19 - Predetermined (Off Campus)",IF('BP1'!L2="No F&amp;A","",IF('BP1'!L2="Custom","","- MTDC 9/1/18-8/31/19 - Predetermined")))),IF('BP1'!K2="Federal",IF('BP1'!L2="Off Campus","- TDC 9/1/18-8/31/19 - Predetermined (Off Campus)",IF('BP1'!L2="DoD Contract","- TDC 9/1/18-8/31/19 - Predetermined (DoD Contract)",IF('BP1'!L2="No F&amp;A","",IF('BP1'!L2="Custom","","- TDC 9/1/18-8/31/19 - Predetermined")))),IF('BP1'!L2="Off Campus","- TDC 9/1/18-8/31/19 - Predetermined (Off Campus)",IF('BP1'!L2="No F&amp;A","",IF('BP1'!L2="Custom","","- TDC 9/1/18-8/31/19 - Predetermined")))))</f>
        <v>- MTDC 9/1/18-8/31/19 - Predetermined</v>
      </c>
      <c r="C69" s="990"/>
      <c r="D69" s="990"/>
      <c r="E69" s="990"/>
      <c r="F69" s="990"/>
      <c r="G69" s="990"/>
      <c r="H69" s="990"/>
      <c r="I69" s="689"/>
      <c r="J69" s="689"/>
      <c r="K69" s="689"/>
      <c r="L69" s="689"/>
      <c r="M69" s="689"/>
      <c r="N69" s="689"/>
      <c r="O69" s="689"/>
      <c r="P69" s="689"/>
      <c r="Q69" s="689"/>
      <c r="R69" s="689"/>
      <c r="S69" s="236"/>
      <c r="T69" s="236"/>
      <c r="U69" s="691" t="str">
        <f ca="1">IF(AND(A69&lt;&gt;"",'Cumulative Budget'!K8&lt;=DATE(2019,8,31),'Cumulative Budget'!K10&gt;=DATE(2018,9,1)),"Populate","Blank")</f>
        <v>Blank</v>
      </c>
    </row>
    <row r="70" spans="1:21" ht="15" customHeight="1">
      <c r="A70" s="477" t="str">
        <f>IF('BP1'!K2="Federal",IF('BP1'!L2="Off Campus","26.00%",IF('BP1'!L2="DoD Contract","59.00%",IF('BP1'!L2="No F&amp;A","",IF('BP1'!L2="Custom","","58.00%")))),IF('BP1'!L2="Off Campus","34.62%",IF('BP1'!L2="No F&amp;A","",IF('BP1'!L2="Custom","","69.64%"))))</f>
        <v>58.00%</v>
      </c>
      <c r="B70" s="990" t="str">
        <f>IF('BP1'!K3="MTDC",IF('BP1'!K2="Federal",IF('BP1'!L2="Off Campus","- MTDC 9/1/19-8/31/20 - Predetermined (Off Campus)",IF('BP1'!L2="DoD Contract","- MTDC 9/1/19-8/31/20 - Predetermined (DoD Contract)",IF('BP1'!L2="No F&amp;A","",IF('BP1'!L2="Custom","","- MTDC 9/1/19-8/31/20 - Predetermined")))),IF('BP1'!L2="Off Campus","- MTDC 9/1/19-8/31/20 - Predetermined (Off Campus)",IF('BP1'!L2="No F&amp;A","",IF('BP1'!L2="Custom","","- MTDC 9/1/19-8/31/20 - Predetermined")))),IF('BP1'!K2="Federal",IF('BP1'!L2="Off Campus","- TDC 9/1/19-8/31/20 - Predetermined (Off Campus)",IF('BP1'!L2="DoD Contract","- TDC 9/1/19-8/31/20 - Predetermined (DoD Contract)",IF('BP1'!L2="No F&amp;A","",IF('BP1'!L2="Custom","","- TDC 9/1/19-8/31/20 - Predetermined")))),IF('BP1'!L2="Off Campus","- TDC 9/1/19-8/31/20 - Predetermined (Off Campus)",IF('BP1'!L2="No F&amp;A","",IF('BP1'!L2="Custom","","- TDC 9/1/19-8/31/20 - Predetermined")))))</f>
        <v>- MTDC 9/1/19-8/31/20 - Predetermined</v>
      </c>
      <c r="C70" s="990"/>
      <c r="D70" s="990"/>
      <c r="E70" s="990"/>
      <c r="F70" s="990"/>
      <c r="G70" s="990"/>
      <c r="H70" s="990"/>
      <c r="I70" s="687"/>
      <c r="J70" s="687"/>
      <c r="K70" s="687"/>
      <c r="L70" s="687"/>
      <c r="M70" s="687"/>
      <c r="N70" s="687"/>
      <c r="O70" s="687"/>
      <c r="P70" s="687"/>
      <c r="Q70" s="687"/>
      <c r="R70" s="687"/>
      <c r="S70" s="236"/>
      <c r="T70" s="236"/>
      <c r="U70" s="691" t="str">
        <f ca="1">IF(AND(A70&lt;&gt;"",'Cumulative Budget'!K8&lt;=DATE(2020,8,31),'Cumulative Budget'!K10&gt;=DATE(2019,9,1)),"Populate","Blank")</f>
        <v>Populate</v>
      </c>
    </row>
    <row r="71" spans="1:21" ht="15" customHeight="1">
      <c r="A71" s="477" t="str">
        <f>IF('BP1'!K2="Federal",IF('BP1'!L2="Off Campus","26.00%",IF('BP1'!L2="DoD Contract","59.00%",IF('BP1'!L2="No F&amp;A","",IF('BP1'!L2="Custom","","58.00%")))),IF('BP1'!L2="Off Campus","34.62%",IF('BP1'!L2="No F&amp;A","",IF('BP1'!L2="Custom","","69.64%"))))</f>
        <v>58.00%</v>
      </c>
      <c r="B71" s="990" t="str">
        <f>IF('BP1'!K3="MTDC",IF('BP1'!K2="Federal",IF('BP1'!L2="Off Campus","- MTDC 9/1/20-8/31/21 - Predetermined (Off Campus)",IF('BP1'!L2="DoD Contract","- MTDC 9/1/20-8/31/21 - Predetermined (DoD Contract)",IF('BP1'!L2="No F&amp;A","",IF('BP1'!L2="Custom","","- MTDC 9/1/20-8/31/21 - Predetermined")))),IF('BP1'!L2="Off Campus","- MTDC 9/1/20-8/31/21 - Predetermined (Off Campus)",IF('BP1'!L2="No F&amp;A","",IF('BP1'!L2="Custom","","- MTDC 9/1/20-8/31/21 - Predetermined")))),IF('BP1'!K2="Federal",IF('BP1'!L2="Off Campus","- TDC 9/1/20-8/31/21 - Predetermined (Off Campus)",IF('BP1'!L2="DoD Contract","- TDC 9/1/20-8/31/21 - Predetermined (DoD Contract)",IF('BP1'!L2="No F&amp;A","",IF('BP1'!L2="Custom","","- TDC 9/1/20-8/31/21 - Predetermined")))),IF('BP1'!L2="Off Campus","- TDC 9/1/20-8/31/21 - Predetermined (Off Campus)",IF('BP1'!L2="No F&amp;A","",IF('BP1'!L2="Custom","","- TDC 9/1/20-8/31/21 - Predetermined")))))</f>
        <v>- MTDC 9/1/20-8/31/21 - Predetermined</v>
      </c>
      <c r="C71" s="990"/>
      <c r="D71" s="990"/>
      <c r="E71" s="990"/>
      <c r="F71" s="990"/>
      <c r="G71" s="990"/>
      <c r="H71" s="990"/>
      <c r="I71" s="689"/>
      <c r="J71" s="689"/>
      <c r="K71" s="689"/>
      <c r="L71" s="689"/>
      <c r="M71" s="689"/>
      <c r="N71" s="689"/>
      <c r="O71" s="689"/>
      <c r="P71" s="689"/>
      <c r="Q71" s="689"/>
      <c r="R71" s="689"/>
      <c r="S71" s="236"/>
      <c r="T71" s="236"/>
      <c r="U71" s="691" t="str">
        <f ca="1">IF(AND(A71&lt;&gt;"",'Cumulative Budget'!K8&lt;=DATE(2021,8,31),'Cumulative Budget'!K10&gt;=DATE(2020,9,1)),"Populate","Blank")</f>
        <v>Blank</v>
      </c>
    </row>
    <row r="72" spans="1:21" ht="15" customHeight="1">
      <c r="A72" s="477" t="str">
        <f>IF('BP1'!K2="Federal",IF('BP1'!L2="Off Campus","26.00%",IF('BP1'!L2="DoD Contract","61.00%",IF('BP1'!L2="No F&amp;A","",IF('BP1'!L2="Custom","","60.00%")))),IF('BP1'!L2="Off Campus","34.62%",IF('BP1'!L2="No F&amp;A","",IF('BP1'!L2="Custom","","69.64%"))))</f>
        <v>60.00%</v>
      </c>
      <c r="B72" s="990" t="str">
        <f>IF('BP1'!K3="MTDC",IF('BP1'!K2="Federal",IF('BP1'!L2="Off Campus","- MTDC 9/1/21-8/31/23 - Predetermined (Off Campus)",IF('BP1'!L2="DoD Contract","- MTDC 9/1/21-8/31/23 - Predetermined (DoD Contract)",IF('BP1'!L2="No F&amp;A","",IF('BP1'!L2="Custom","","- MTDC 9/1/21-8/31/23 - Predetermined")))),IF('BP1'!L2="Off Campus","- MTDC 9/1/21-8/31/23 - Predetermined (Off Campus)",IF('BP1'!L2="No F&amp;A","",IF('BP1'!L2="Custom","","- MTDC 9/1/21-8/31/23 - Predetermined")))),IF('BP1'!K2="Federal",IF('BP1'!L2="Off Campus","- TDC 9/1/21-8/31/23 - Predetermined (Off Campus)",IF('BP1'!L2="DoD Contract","- TDC 9/1/21-8/31/23 - Predetermined (DoD Contract)",IF('BP1'!L2="No F&amp;A","",IF('BP1'!L2="Custom","","- TDC 9/1/21-8/31/23 - Predetermined")))),IF('BP1'!L2="Off Campus","- TDC 9/1/21-8/31/23 - Predetermined (Off Campus)",IF('BP1'!L2="No F&amp;A","",IF('BP1'!L2="Custom","","- TDC 9/1/21-8/31/23 - Predetermined")))))</f>
        <v>- MTDC 9/1/21-8/31/23 - Predetermined</v>
      </c>
      <c r="C72" s="990"/>
      <c r="D72" s="990"/>
      <c r="E72" s="990"/>
      <c r="F72" s="990"/>
      <c r="G72" s="990"/>
      <c r="H72" s="990"/>
      <c r="I72" s="689"/>
      <c r="J72" s="689"/>
      <c r="K72" s="689"/>
      <c r="L72" s="689"/>
      <c r="M72" s="689"/>
      <c r="N72" s="689"/>
      <c r="O72" s="689"/>
      <c r="P72" s="689"/>
      <c r="Q72" s="689"/>
      <c r="R72" s="689"/>
      <c r="S72" s="236"/>
      <c r="T72" s="236"/>
      <c r="U72" s="691" t="str">
        <f ca="1">IF(AND(A72&lt;&gt;"",'Cumulative Budget'!K8&lt;=DATE(2023,8,31),'Cumulative Budget'!K10&gt;=DATE(2021,9,1)),"Populate","Blank")</f>
        <v>Blank</v>
      </c>
    </row>
    <row r="73" spans="1:21" ht="15" customHeight="1">
      <c r="A73" s="477" t="str">
        <f>IF('BP1'!K2="Federal",IF('BP1'!L2="Off Campus","26.00%",IF('BP1'!L2="DoD Contract","61.00%",IF('BP1'!L2="No F&amp;A","",IF('BP1'!L2="Custom","","60.00%")))),IF('BP1'!L2="Off Campus","34.62%",IF('BP1'!L2="No F&amp;A","",IF('BP1'!L2="Custom","","69.64%"))))</f>
        <v>60.00%</v>
      </c>
      <c r="B73" s="990" t="str">
        <f>IF('BP1'!K3="MTDC",IF('BP1'!K2="Federal",IF('BP1'!L2="Off Campus","- MTDC 9/1/23-8/31/24 and thereafter - Provisional (Off Campus)",IF('BP1'!L2="DoD Contract","- MTDC 9/1/23-8/31/24 and thereafter - Provisional (DoD Contract)",IF('BP1'!L2="No F&amp;A","",IF('BP1'!L2="Custom","","- MTDC 9/1/23-8/31/24 and thereafter - Provisional")))),IF('BP1'!L2="Off Campus","- MTDC 9/1/23-8/31/24 and thereafter - Provisional (Off Campus)",IF('BP1'!L2="No F&amp;A","",IF('BP1'!L2="Custom","","- MTDC 9/1/23-8/31/24 and thereafter - Provisional")))),IF('BP1'!K2="Federal",IF('BP1'!L2="Off Campus","- TDC 9/1/23-8/31/24 and thereafter - Provisional (Off Campus)",IF('BP1'!L2="DoD Contract","- TDC 9/1/23-8/31/24 and thereafter - Provisional (DoD Contract)",IF('BP1'!L2="No F&amp;A","",IF('BP1'!L2="Custom","","- TDC 9/1/23-8/31/24 and thereafter - Provisional")))),IF('BP1'!L2="Off Campus","- TDC 9/1/23-8/31/24 and thereafter - Provisional (Off Campus)",IF('BP1'!L2="No F&amp;A","",IF('BP1'!L2="Custom","","- TDC 9/1/23-8/31/24 and thereafter - Provisional")))))</f>
        <v>- MTDC 9/1/23-8/31/24 and thereafter - Provisional</v>
      </c>
      <c r="C73" s="990"/>
      <c r="D73" s="990"/>
      <c r="E73" s="990"/>
      <c r="F73" s="990"/>
      <c r="G73" s="990"/>
      <c r="H73" s="990"/>
      <c r="I73" s="687"/>
      <c r="J73" s="687"/>
      <c r="K73" s="687"/>
      <c r="L73" s="687"/>
      <c r="M73" s="687"/>
      <c r="N73" s="687"/>
      <c r="O73" s="687"/>
      <c r="P73" s="687"/>
      <c r="Q73" s="687"/>
      <c r="R73" s="687"/>
      <c r="S73" s="236"/>
      <c r="T73" s="236"/>
      <c r="U73" s="691" t="str">
        <f ca="1">IF(AND(A73&lt;&gt;"",'Cumulative Budget'!K10&gt;=DATE(2023,9,1)),"Populate","Blank")</f>
        <v>Blank</v>
      </c>
    </row>
    <row r="74" spans="1:21" ht="15" customHeight="1">
      <c r="A74" s="991" t="str">
        <f>IF(OR('BP1'!E9="National Science Foundation",'BP1'!E9="NSF",'BP1'!E11="National Science Foundation",'BP1'!E11="NSF"),"Total F&amp;A budgeted is "&amp;TEXT('Summary of All Budget Periods'!G92,"$#,##0")&amp;".","")</f>
        <v/>
      </c>
      <c r="B74" s="991"/>
      <c r="C74" s="991"/>
      <c r="D74" s="991"/>
      <c r="E74" s="991"/>
      <c r="F74" s="991"/>
      <c r="G74" s="991"/>
      <c r="H74" s="991"/>
      <c r="I74" s="616"/>
      <c r="J74" s="616"/>
      <c r="K74" s="616"/>
      <c r="L74" s="616"/>
      <c r="M74" s="616"/>
      <c r="N74" s="616"/>
      <c r="O74" s="616"/>
      <c r="P74" s="616"/>
      <c r="Q74" s="616"/>
      <c r="R74" s="616"/>
      <c r="S74" s="236"/>
      <c r="T74" s="236"/>
      <c r="U74" s="691" t="str">
        <f>IF(A74="","Blank","Populate")</f>
        <v>Blank</v>
      </c>
    </row>
    <row r="75" spans="1:21" ht="14.25">
      <c r="A75" s="990" t="str">
        <f>IF(AND(OR('BP1'!E9="National Science Foundation",'BP1'!E9="NSF",'BP1'!E11="National Science Foundation",'BP1'!E11="NSF"),'BP1'!K5&gt;0),"   Period 1 F&amp;A budgeted is "&amp;TEXT('Summary of All Budget Periods'!B92,"$#,##0")&amp;".","")</f>
        <v/>
      </c>
      <c r="B75" s="990"/>
      <c r="C75" s="990"/>
      <c r="D75" s="990"/>
      <c r="E75" s="990"/>
      <c r="F75" s="990"/>
      <c r="G75" s="990"/>
      <c r="H75" s="990"/>
      <c r="U75" s="691" t="str">
        <f>IF(AND(OR('BP1'!E9="National Science Foundation",'BP1'!E9="NSF",'BP1'!E11="National Science Foundation",'BP1'!E11="NSF"),'BP1'!K5&gt;0),"Populate","Blank")</f>
        <v>Blank</v>
      </c>
    </row>
    <row r="76" spans="1:21" ht="14.25">
      <c r="A76" s="990" t="str">
        <f>IF(AND(OR('BP1'!E9="National Science Foundation",'BP1'!E9="NSF",'BP1'!E11="National Science Foundation",'BP1'!E11="NSF"),'BP1'!K5&gt;1),"   Period 2 F&amp;A budgeted is "&amp;TEXT('Summary of All Budget Periods'!C92,"$#,##0")&amp;".","")</f>
        <v/>
      </c>
      <c r="B76" s="990"/>
      <c r="C76" s="990"/>
      <c r="D76" s="990"/>
      <c r="E76" s="990"/>
      <c r="F76" s="990"/>
      <c r="G76" s="990"/>
      <c r="H76" s="990"/>
      <c r="U76" s="691" t="str">
        <f>IF(AND(OR('BP1'!E9="National Science Foundation",'BP1'!E9="NSF",'BP1'!E11="National Science Foundation",'BP1'!E11="NSF"),'BP1'!K5&gt;1),"Populate","Blank")</f>
        <v>Blank</v>
      </c>
    </row>
    <row r="77" spans="1:21" ht="14.25">
      <c r="A77" s="990" t="str">
        <f>IF(AND(OR('BP1'!E9="National Science Foundation",'BP1'!E9="NSF",'BP1'!E11="National Science Foundation",'BP1'!E11="NSF"),'BP1'!K5&gt;2),"   Period 3 F&amp;A budgeted is "&amp;TEXT('Summary of All Budget Periods'!D92,"$#,##0")&amp;".","")</f>
        <v/>
      </c>
      <c r="B77" s="990"/>
      <c r="C77" s="990"/>
      <c r="D77" s="990"/>
      <c r="E77" s="990"/>
      <c r="F77" s="990"/>
      <c r="G77" s="990"/>
      <c r="H77" s="990"/>
      <c r="U77" s="691" t="str">
        <f>IF(AND(OR('BP1'!E9="National Science Foundation",'BP1'!E9="NSF",'BP1'!E11="National Science Foundation",'BP1'!E11="NSF"),'BP1'!K5&gt;2),"Populate","Blank")</f>
        <v>Blank</v>
      </c>
    </row>
    <row r="78" spans="1:21" ht="14.25">
      <c r="A78" s="990" t="str">
        <f>IF(AND(OR('BP1'!E9="National Science Foundation",'BP1'!E9="NSF",'BP1'!E11="National Science Foundation",'BP1'!E11="NSF"),'BP1'!K5&gt;3),"   Period 4 F&amp;A budgeted is "&amp;TEXT('Summary of All Budget Periods'!E92,"$#,##0")&amp;".","")</f>
        <v/>
      </c>
      <c r="B78" s="990"/>
      <c r="C78" s="990"/>
      <c r="D78" s="990"/>
      <c r="E78" s="990"/>
      <c r="F78" s="990"/>
      <c r="G78" s="990"/>
      <c r="H78" s="990"/>
      <c r="U78" s="691" t="str">
        <f>IF(AND(OR('BP1'!E9="National Science Foundation",'BP1'!E9="NSF",'BP1'!E11="National Science Foundation",'BP1'!E11="NSF"),'BP1'!K5&gt;3),"Populate","Blank")</f>
        <v>Blank</v>
      </c>
    </row>
    <row r="79" spans="1:21" ht="14.25">
      <c r="A79" s="990" t="str">
        <f>IF(AND(OR('BP1'!E9="National Science Foundation",'BP1'!E9="NSF",'BP1'!E11="National Science Foundation",'BP1'!E11="NSF"),'BP1'!K5&gt;4),"   Period 5 F&amp;A budgeted is "&amp;TEXT('Summary of All Budget Periods'!F92,"$#,##0")&amp;".","")</f>
        <v/>
      </c>
      <c r="B79" s="990"/>
      <c r="C79" s="990"/>
      <c r="D79" s="990"/>
      <c r="E79" s="990"/>
      <c r="F79" s="990"/>
      <c r="G79" s="990"/>
      <c r="H79" s="990"/>
      <c r="U79" s="691" t="str">
        <f>IF(AND(OR('BP1'!E9="National Science Foundation",'BP1'!E9="NSF",'BP1'!E11="National Science Foundation",'BP1'!E11="NSF"),'BP1'!K5&gt;4),"Populate","Blank")</f>
        <v>Blank</v>
      </c>
    </row>
    <row r="80" spans="1:21" ht="14.25">
      <c r="A80" s="61"/>
      <c r="B80" s="61"/>
      <c r="C80" s="61"/>
      <c r="D80" s="61"/>
      <c r="E80" s="61"/>
      <c r="F80" s="61"/>
      <c r="G80" s="61"/>
      <c r="H80" s="61"/>
      <c r="U80" s="685"/>
    </row>
    <row r="81" spans="1:21" ht="14.25">
      <c r="A81" s="61"/>
      <c r="B81" s="61"/>
      <c r="C81" s="61"/>
      <c r="D81" s="61"/>
      <c r="E81" s="61"/>
      <c r="F81" s="61"/>
      <c r="G81" s="61"/>
      <c r="H81" s="61"/>
      <c r="U81" s="685"/>
    </row>
    <row r="82" spans="1:21" ht="14.25">
      <c r="A82" s="61"/>
      <c r="B82" s="61"/>
      <c r="C82" s="61"/>
      <c r="D82" s="61"/>
      <c r="E82" s="61"/>
      <c r="F82" s="61"/>
      <c r="G82" s="61"/>
      <c r="H82" s="61"/>
      <c r="U82" s="685"/>
    </row>
    <row r="83" spans="1:21" ht="14.25">
      <c r="A83" s="61"/>
      <c r="B83" s="61"/>
      <c r="C83" s="61"/>
      <c r="D83" s="61"/>
      <c r="E83" s="61"/>
      <c r="F83" s="61"/>
      <c r="G83" s="61"/>
      <c r="H83" s="61"/>
      <c r="U83" s="685"/>
    </row>
    <row r="84" spans="1:21" ht="14.25">
      <c r="A84" s="61"/>
      <c r="B84" s="61"/>
      <c r="C84" s="61"/>
      <c r="D84" s="61"/>
      <c r="E84" s="61"/>
      <c r="F84" s="61"/>
      <c r="G84" s="61"/>
      <c r="H84" s="61"/>
      <c r="U84" s="685"/>
    </row>
    <row r="85" spans="1:21" ht="14.25">
      <c r="A85" s="61"/>
      <c r="B85" s="61"/>
      <c r="C85" s="61"/>
      <c r="D85" s="61"/>
      <c r="E85" s="61"/>
      <c r="F85" s="61"/>
      <c r="G85" s="61"/>
      <c r="H85" s="61"/>
      <c r="U85" s="685"/>
    </row>
    <row r="86" spans="1:21" ht="14.25">
      <c r="A86" s="61"/>
      <c r="B86" s="61"/>
      <c r="C86" s="61"/>
      <c r="D86" s="61"/>
      <c r="E86" s="61"/>
      <c r="F86" s="61"/>
      <c r="G86" s="61"/>
      <c r="H86" s="61"/>
      <c r="U86" s="685"/>
    </row>
    <row r="87" spans="1:21" ht="14.25">
      <c r="A87" s="61"/>
      <c r="B87" s="61"/>
      <c r="C87" s="61"/>
      <c r="D87" s="61"/>
      <c r="E87" s="61"/>
      <c r="F87" s="61"/>
      <c r="G87" s="61"/>
      <c r="H87" s="61"/>
      <c r="U87" s="685"/>
    </row>
    <row r="88" spans="1:21" ht="14.25">
      <c r="A88" s="61"/>
      <c r="B88" s="61"/>
      <c r="C88" s="61"/>
      <c r="D88" s="61"/>
      <c r="E88" s="61"/>
      <c r="F88" s="61"/>
      <c r="G88" s="61"/>
      <c r="H88" s="61"/>
      <c r="U88" s="685"/>
    </row>
    <row r="89" spans="1:21" ht="14.25">
      <c r="A89" s="61"/>
      <c r="B89" s="61"/>
      <c r="C89" s="61"/>
      <c r="D89" s="61"/>
      <c r="E89" s="61"/>
      <c r="F89" s="61"/>
      <c r="G89" s="61"/>
      <c r="H89" s="61"/>
      <c r="U89" s="685"/>
    </row>
    <row r="90" spans="1:21" ht="14.25">
      <c r="A90" s="61"/>
      <c r="B90" s="61"/>
      <c r="C90" s="61"/>
      <c r="D90" s="61"/>
      <c r="E90" s="61"/>
      <c r="F90" s="61"/>
      <c r="G90" s="61"/>
      <c r="H90" s="61"/>
      <c r="U90" s="685"/>
    </row>
    <row r="91" spans="1:21" ht="14.25">
      <c r="A91" s="61"/>
      <c r="B91" s="61"/>
      <c r="C91" s="61"/>
      <c r="D91" s="61"/>
      <c r="E91" s="61"/>
      <c r="F91" s="61"/>
      <c r="G91" s="61"/>
      <c r="H91" s="61"/>
    </row>
    <row r="92" spans="1:21" ht="14.25">
      <c r="A92" s="61"/>
      <c r="B92" s="61"/>
      <c r="C92" s="61"/>
      <c r="D92" s="61"/>
      <c r="E92" s="61"/>
      <c r="F92" s="61"/>
      <c r="G92" s="61"/>
      <c r="H92" s="61"/>
    </row>
    <row r="93" spans="1:21" ht="14.25">
      <c r="A93" s="61"/>
      <c r="B93" s="61"/>
      <c r="C93" s="61"/>
      <c r="D93" s="61"/>
      <c r="E93" s="61"/>
      <c r="F93" s="61"/>
      <c r="G93" s="61"/>
      <c r="H93" s="61"/>
    </row>
    <row r="94" spans="1:21" ht="14.25">
      <c r="A94" s="61"/>
      <c r="B94" s="61"/>
      <c r="C94" s="61"/>
      <c r="D94" s="61"/>
      <c r="E94" s="61"/>
      <c r="F94" s="61"/>
      <c r="G94" s="61"/>
      <c r="H94" s="61"/>
    </row>
    <row r="95" spans="1:21" ht="14.25">
      <c r="A95" s="61"/>
      <c r="B95" s="61"/>
      <c r="C95" s="61"/>
      <c r="D95" s="61"/>
      <c r="E95" s="61"/>
      <c r="F95" s="61"/>
      <c r="G95" s="61"/>
      <c r="H95" s="61"/>
    </row>
    <row r="96" spans="1:21" ht="14.25">
      <c r="A96" s="61"/>
      <c r="B96" s="61"/>
      <c r="C96" s="61"/>
      <c r="D96" s="61"/>
      <c r="E96" s="61"/>
      <c r="F96" s="61"/>
      <c r="G96" s="61"/>
      <c r="H96" s="61"/>
    </row>
    <row r="97" spans="1:8" ht="14.25">
      <c r="A97" s="61"/>
      <c r="B97" s="61"/>
      <c r="C97" s="61"/>
      <c r="D97" s="61"/>
      <c r="E97" s="61"/>
      <c r="F97" s="61"/>
      <c r="G97" s="61"/>
      <c r="H97" s="61"/>
    </row>
    <row r="98" spans="1:8" ht="14.25">
      <c r="A98" s="61"/>
      <c r="B98" s="61"/>
      <c r="C98" s="61"/>
      <c r="D98" s="61"/>
      <c r="E98" s="61"/>
      <c r="F98" s="61"/>
      <c r="G98" s="61"/>
      <c r="H98" s="61"/>
    </row>
    <row r="99" spans="1:8" ht="14.25">
      <c r="A99" s="61"/>
      <c r="B99" s="61"/>
      <c r="C99" s="61"/>
      <c r="D99" s="61"/>
      <c r="E99" s="61"/>
      <c r="F99" s="61"/>
      <c r="G99" s="61"/>
      <c r="H99" s="61"/>
    </row>
    <row r="100" spans="1:8" ht="14.25">
      <c r="A100" s="61"/>
      <c r="B100" s="61"/>
      <c r="C100" s="61"/>
      <c r="D100" s="61"/>
      <c r="E100" s="61"/>
      <c r="F100" s="61"/>
      <c r="G100" s="61"/>
      <c r="H100" s="61"/>
    </row>
    <row r="101" spans="1:8" ht="14.25">
      <c r="A101" s="61"/>
      <c r="B101" s="61"/>
      <c r="C101" s="61"/>
      <c r="D101" s="61"/>
      <c r="E101" s="61"/>
      <c r="F101" s="61"/>
      <c r="G101" s="61"/>
      <c r="H101" s="61"/>
    </row>
    <row r="102" spans="1:8" ht="14.25">
      <c r="A102" s="61"/>
      <c r="B102" s="61"/>
      <c r="C102" s="61"/>
      <c r="D102" s="61"/>
      <c r="E102" s="61"/>
      <c r="F102" s="61"/>
      <c r="G102" s="61"/>
      <c r="H102" s="61"/>
    </row>
    <row r="103" spans="1:8" ht="14.25">
      <c r="A103" s="61"/>
      <c r="B103" s="61"/>
      <c r="C103" s="61"/>
      <c r="D103" s="61"/>
      <c r="E103" s="61"/>
      <c r="F103" s="61"/>
      <c r="G103" s="61"/>
      <c r="H103" s="61"/>
    </row>
    <row r="104" spans="1:8" ht="14.25">
      <c r="A104" s="61"/>
      <c r="B104" s="61"/>
      <c r="C104" s="61"/>
      <c r="D104" s="61"/>
      <c r="E104" s="61"/>
      <c r="F104" s="61"/>
      <c r="G104" s="61"/>
      <c r="H104" s="61"/>
    </row>
    <row r="105" spans="1:8" ht="14.25">
      <c r="A105" s="61"/>
      <c r="B105" s="61"/>
      <c r="C105" s="61"/>
      <c r="D105" s="61"/>
      <c r="E105" s="61"/>
      <c r="F105" s="61"/>
      <c r="G105" s="61"/>
      <c r="H105" s="61"/>
    </row>
    <row r="106" spans="1:8" ht="14.25">
      <c r="A106" s="61"/>
      <c r="B106" s="61"/>
      <c r="C106" s="61"/>
      <c r="D106" s="61"/>
      <c r="E106" s="61"/>
      <c r="F106" s="61"/>
      <c r="G106" s="61"/>
      <c r="H106" s="61"/>
    </row>
    <row r="107" spans="1:8" ht="14.25">
      <c r="A107" s="61"/>
      <c r="B107" s="61"/>
      <c r="C107" s="61"/>
      <c r="D107" s="61"/>
      <c r="E107" s="61"/>
      <c r="F107" s="61"/>
      <c r="G107" s="61"/>
      <c r="H107" s="61"/>
    </row>
    <row r="108" spans="1:8" ht="14.25">
      <c r="A108" s="61"/>
      <c r="B108" s="61"/>
      <c r="C108" s="61"/>
      <c r="D108" s="61"/>
      <c r="E108" s="61"/>
      <c r="F108" s="61"/>
      <c r="G108" s="61"/>
      <c r="H108" s="61"/>
    </row>
    <row r="109" spans="1:8" ht="14.25">
      <c r="A109" s="61"/>
      <c r="B109" s="61"/>
      <c r="C109" s="61"/>
      <c r="D109" s="61"/>
      <c r="E109" s="61"/>
      <c r="F109" s="61"/>
      <c r="G109" s="61"/>
      <c r="H109" s="61"/>
    </row>
    <row r="110" spans="1:8" ht="14.25">
      <c r="A110" s="61"/>
      <c r="B110" s="61"/>
      <c r="C110" s="61"/>
      <c r="D110" s="61"/>
      <c r="E110" s="61"/>
      <c r="F110" s="61"/>
      <c r="G110" s="61"/>
      <c r="H110" s="61"/>
    </row>
    <row r="111" spans="1:8" ht="14.25">
      <c r="A111" s="61"/>
      <c r="B111" s="61"/>
      <c r="C111" s="61"/>
      <c r="D111" s="61"/>
      <c r="E111" s="61"/>
      <c r="F111" s="61"/>
      <c r="G111" s="61"/>
      <c r="H111" s="61"/>
    </row>
    <row r="112" spans="1:8" ht="14.25">
      <c r="A112" s="61"/>
      <c r="B112" s="61"/>
      <c r="C112" s="61"/>
      <c r="D112" s="61"/>
      <c r="E112" s="61"/>
      <c r="F112" s="61"/>
      <c r="G112" s="61"/>
      <c r="H112" s="61"/>
    </row>
    <row r="113" spans="1:8" ht="14.25">
      <c r="A113" s="61"/>
      <c r="B113" s="61"/>
      <c r="C113" s="61"/>
      <c r="D113" s="61"/>
      <c r="E113" s="61"/>
      <c r="F113" s="61"/>
      <c r="G113" s="61"/>
      <c r="H113" s="61"/>
    </row>
    <row r="114" spans="1:8" ht="14.25">
      <c r="A114" s="61"/>
      <c r="B114" s="61"/>
      <c r="C114" s="61"/>
      <c r="D114" s="61"/>
      <c r="E114" s="61"/>
      <c r="F114" s="61"/>
      <c r="G114" s="61"/>
      <c r="H114" s="61"/>
    </row>
    <row r="115" spans="1:8" ht="14.25">
      <c r="A115" s="61"/>
      <c r="B115" s="61"/>
      <c r="C115" s="61"/>
      <c r="D115" s="61"/>
      <c r="E115" s="61"/>
      <c r="F115" s="61"/>
      <c r="G115" s="61"/>
      <c r="H115" s="61"/>
    </row>
    <row r="116" spans="1:8" ht="14.25">
      <c r="A116" s="61"/>
      <c r="B116" s="61"/>
      <c r="C116" s="61"/>
      <c r="D116" s="61"/>
      <c r="E116" s="61"/>
      <c r="F116" s="61"/>
      <c r="G116" s="61"/>
      <c r="H116" s="61"/>
    </row>
    <row r="117" spans="1:8" ht="14.25">
      <c r="A117" s="61"/>
      <c r="B117" s="61"/>
      <c r="C117" s="61"/>
      <c r="D117" s="61"/>
      <c r="E117" s="61"/>
      <c r="F117" s="61"/>
      <c r="G117" s="61"/>
      <c r="H117" s="61"/>
    </row>
    <row r="118" spans="1:8" ht="14.25">
      <c r="A118" s="61"/>
      <c r="B118" s="61"/>
      <c r="C118" s="61"/>
      <c r="D118" s="61"/>
      <c r="E118" s="61"/>
      <c r="F118" s="61"/>
      <c r="G118" s="61"/>
      <c r="H118" s="61"/>
    </row>
    <row r="119" spans="1:8" ht="14.25">
      <c r="A119" s="61"/>
      <c r="B119" s="61"/>
      <c r="C119" s="61"/>
      <c r="D119" s="61"/>
      <c r="E119" s="61"/>
      <c r="F119" s="61"/>
      <c r="G119" s="61"/>
      <c r="H119" s="61"/>
    </row>
    <row r="120" spans="1:8" ht="14.25">
      <c r="A120" s="61"/>
      <c r="B120" s="61"/>
      <c r="C120" s="61"/>
      <c r="D120" s="61"/>
      <c r="E120" s="61"/>
      <c r="F120" s="61"/>
      <c r="G120" s="61"/>
      <c r="H120" s="61"/>
    </row>
    <row r="121" spans="1:8" ht="14.25">
      <c r="A121" s="61"/>
      <c r="B121" s="61"/>
      <c r="C121" s="61"/>
      <c r="D121" s="61"/>
      <c r="E121" s="61"/>
      <c r="F121" s="61"/>
      <c r="G121" s="61"/>
      <c r="H121" s="61"/>
    </row>
    <row r="122" spans="1:8" ht="14.25">
      <c r="A122" s="61"/>
      <c r="B122" s="61"/>
      <c r="C122" s="61"/>
      <c r="D122" s="61"/>
      <c r="E122" s="61"/>
      <c r="F122" s="61"/>
      <c r="G122" s="61"/>
      <c r="H122" s="61"/>
    </row>
    <row r="123" spans="1:8" ht="14.25">
      <c r="A123" s="61"/>
      <c r="B123" s="61"/>
      <c r="C123" s="61"/>
      <c r="D123" s="61"/>
      <c r="E123" s="61"/>
      <c r="F123" s="61"/>
      <c r="G123" s="61"/>
      <c r="H123" s="61"/>
    </row>
    <row r="124" spans="1:8" ht="14.25">
      <c r="A124" s="61"/>
      <c r="B124" s="61"/>
      <c r="C124" s="61"/>
      <c r="D124" s="61"/>
      <c r="E124" s="61"/>
      <c r="F124" s="61"/>
      <c r="G124" s="61"/>
      <c r="H124" s="61"/>
    </row>
    <row r="125" spans="1:8" ht="14.25">
      <c r="A125" s="61"/>
      <c r="B125" s="61"/>
      <c r="C125" s="61"/>
      <c r="D125" s="61"/>
      <c r="E125" s="61"/>
      <c r="F125" s="61"/>
      <c r="G125" s="61"/>
      <c r="H125" s="61"/>
    </row>
    <row r="126" spans="1:8" ht="14.25">
      <c r="A126" s="61"/>
      <c r="B126" s="61"/>
      <c r="C126" s="61"/>
      <c r="D126" s="61"/>
      <c r="E126" s="61"/>
      <c r="F126" s="61"/>
      <c r="G126" s="61"/>
      <c r="H126" s="61"/>
    </row>
    <row r="127" spans="1:8" ht="14.25">
      <c r="A127" s="61"/>
      <c r="B127" s="61"/>
      <c r="C127" s="61"/>
      <c r="D127" s="61"/>
      <c r="E127" s="61"/>
      <c r="F127" s="61"/>
      <c r="G127" s="61"/>
      <c r="H127" s="61"/>
    </row>
    <row r="128" spans="1:8" ht="14.25">
      <c r="A128" s="61"/>
      <c r="B128" s="61"/>
      <c r="C128" s="61"/>
      <c r="D128" s="61"/>
      <c r="E128" s="61"/>
      <c r="F128" s="61"/>
      <c r="G128" s="61"/>
      <c r="H128" s="61"/>
    </row>
    <row r="129" spans="1:8" ht="14.25">
      <c r="A129" s="61"/>
      <c r="B129" s="61"/>
      <c r="C129" s="61"/>
      <c r="D129" s="61"/>
      <c r="E129" s="61"/>
      <c r="F129" s="61"/>
      <c r="G129" s="61"/>
      <c r="H129" s="61"/>
    </row>
    <row r="130" spans="1:8" ht="14.25">
      <c r="A130" s="61"/>
      <c r="B130" s="61"/>
      <c r="C130" s="61"/>
      <c r="D130" s="61"/>
      <c r="E130" s="61"/>
      <c r="F130" s="61"/>
      <c r="G130" s="61"/>
      <c r="H130" s="61"/>
    </row>
    <row r="131" spans="1:8" ht="14.25">
      <c r="A131" s="61"/>
      <c r="B131" s="61"/>
      <c r="C131" s="61"/>
      <c r="D131" s="61"/>
      <c r="E131" s="61"/>
      <c r="F131" s="61"/>
      <c r="G131" s="61"/>
      <c r="H131" s="61"/>
    </row>
    <row r="132" spans="1:8" ht="14.25">
      <c r="A132" s="61"/>
      <c r="B132" s="61"/>
      <c r="C132" s="61"/>
      <c r="D132" s="61"/>
      <c r="E132" s="61"/>
      <c r="F132" s="61"/>
      <c r="G132" s="61"/>
      <c r="H132" s="61"/>
    </row>
    <row r="133" spans="1:8" ht="14.25">
      <c r="A133" s="61"/>
      <c r="B133" s="61"/>
      <c r="C133" s="61"/>
      <c r="D133" s="61"/>
      <c r="E133" s="61"/>
      <c r="F133" s="61"/>
      <c r="G133" s="61"/>
      <c r="H133" s="61"/>
    </row>
    <row r="134" spans="1:8" ht="14.25">
      <c r="A134" s="61"/>
      <c r="B134" s="61"/>
      <c r="C134" s="61"/>
      <c r="D134" s="61"/>
      <c r="E134" s="61"/>
      <c r="F134" s="61"/>
      <c r="G134" s="61"/>
      <c r="H134" s="61"/>
    </row>
    <row r="135" spans="1:8" ht="14.25">
      <c r="A135" s="61"/>
      <c r="B135" s="61"/>
      <c r="C135" s="61"/>
      <c r="D135" s="61"/>
      <c r="E135" s="61"/>
      <c r="F135" s="61"/>
      <c r="G135" s="61"/>
      <c r="H135" s="61"/>
    </row>
    <row r="136" spans="1:8" ht="14.25">
      <c r="A136" s="61"/>
      <c r="B136" s="61"/>
      <c r="C136" s="61"/>
      <c r="D136" s="61"/>
      <c r="E136" s="61"/>
      <c r="F136" s="61"/>
      <c r="G136" s="61"/>
      <c r="H136" s="61"/>
    </row>
    <row r="137" spans="1:8" ht="14.25">
      <c r="A137" s="61"/>
      <c r="B137" s="61"/>
      <c r="C137" s="61"/>
      <c r="D137" s="61"/>
      <c r="E137" s="61"/>
      <c r="F137" s="61"/>
      <c r="G137" s="61"/>
      <c r="H137" s="61"/>
    </row>
    <row r="138" spans="1:8" ht="14.25">
      <c r="A138" s="61"/>
      <c r="B138" s="61"/>
      <c r="C138" s="61"/>
      <c r="D138" s="61"/>
      <c r="E138" s="61"/>
      <c r="F138" s="61"/>
      <c r="G138" s="61"/>
      <c r="H138" s="61"/>
    </row>
    <row r="139" spans="1:8" ht="14.25">
      <c r="A139" s="61"/>
      <c r="B139" s="61"/>
      <c r="C139" s="61"/>
      <c r="D139" s="61"/>
      <c r="E139" s="61"/>
      <c r="F139" s="61"/>
      <c r="G139" s="61"/>
      <c r="H139" s="61"/>
    </row>
    <row r="140" spans="1:8" ht="14.25">
      <c r="A140" s="61"/>
      <c r="B140" s="61"/>
      <c r="C140" s="61"/>
      <c r="D140" s="61"/>
      <c r="E140" s="61"/>
      <c r="F140" s="61"/>
      <c r="G140" s="61"/>
      <c r="H140" s="61"/>
    </row>
    <row r="141" spans="1:8" ht="14.25">
      <c r="A141" s="61"/>
      <c r="B141" s="61"/>
      <c r="C141" s="61"/>
      <c r="D141" s="61"/>
      <c r="E141" s="61"/>
      <c r="F141" s="61"/>
      <c r="G141" s="61"/>
      <c r="H141" s="61"/>
    </row>
    <row r="142" spans="1:8" ht="14.25">
      <c r="A142" s="61"/>
      <c r="B142" s="61"/>
      <c r="C142" s="61"/>
      <c r="D142" s="61"/>
      <c r="E142" s="61"/>
      <c r="F142" s="61"/>
      <c r="G142" s="61"/>
      <c r="H142" s="61"/>
    </row>
    <row r="143" spans="1:8" ht="14.25">
      <c r="A143" s="61"/>
      <c r="B143" s="61"/>
      <c r="C143" s="61"/>
      <c r="D143" s="61"/>
      <c r="E143" s="61"/>
      <c r="F143" s="61"/>
      <c r="G143" s="61"/>
      <c r="H143" s="61"/>
    </row>
    <row r="144" spans="1:8" ht="14.25">
      <c r="A144" s="61"/>
      <c r="B144" s="61"/>
      <c r="C144" s="61"/>
      <c r="D144" s="61"/>
      <c r="E144" s="61"/>
      <c r="F144" s="61"/>
      <c r="G144" s="61"/>
      <c r="H144" s="61"/>
    </row>
    <row r="145" spans="1:8" ht="14.25">
      <c r="A145" s="61"/>
      <c r="B145" s="61"/>
      <c r="C145" s="61"/>
      <c r="D145" s="61"/>
      <c r="E145" s="61"/>
      <c r="F145" s="61"/>
      <c r="G145" s="61"/>
      <c r="H145" s="61"/>
    </row>
    <row r="146" spans="1:8" ht="14.25">
      <c r="A146" s="61"/>
      <c r="B146" s="61"/>
      <c r="C146" s="61"/>
      <c r="D146" s="61"/>
      <c r="E146" s="61"/>
      <c r="F146" s="61"/>
      <c r="G146" s="61"/>
      <c r="H146" s="61"/>
    </row>
    <row r="147" spans="1:8" ht="14.25">
      <c r="A147" s="61"/>
      <c r="B147" s="61"/>
      <c r="C147" s="61"/>
      <c r="D147" s="61"/>
      <c r="E147" s="61"/>
      <c r="F147" s="61"/>
      <c r="G147" s="61"/>
      <c r="H147" s="61"/>
    </row>
    <row r="148" spans="1:8" ht="14.25">
      <c r="A148" s="61"/>
      <c r="B148" s="61"/>
      <c r="C148" s="61"/>
      <c r="D148" s="61"/>
      <c r="E148" s="61"/>
      <c r="F148" s="61"/>
      <c r="G148" s="61"/>
      <c r="H148" s="61"/>
    </row>
    <row r="149" spans="1:8" ht="14.25">
      <c r="A149" s="61"/>
      <c r="B149" s="61"/>
      <c r="C149" s="61"/>
      <c r="D149" s="61"/>
      <c r="E149" s="61"/>
      <c r="F149" s="61"/>
      <c r="G149" s="61"/>
      <c r="H149" s="61"/>
    </row>
    <row r="150" spans="1:8" ht="14.25">
      <c r="A150" s="61"/>
      <c r="B150" s="61"/>
      <c r="C150" s="61"/>
      <c r="D150" s="61"/>
      <c r="E150" s="61"/>
      <c r="F150" s="61"/>
      <c r="G150" s="61"/>
      <c r="H150" s="61"/>
    </row>
    <row r="151" spans="1:8" ht="14.25">
      <c r="A151" s="61"/>
      <c r="B151" s="61"/>
      <c r="C151" s="61"/>
      <c r="D151" s="61"/>
      <c r="E151" s="61"/>
      <c r="F151" s="61"/>
      <c r="G151" s="61"/>
      <c r="H151" s="61"/>
    </row>
    <row r="152" spans="1:8" ht="14.25">
      <c r="A152" s="61"/>
      <c r="B152" s="61"/>
      <c r="C152" s="61"/>
      <c r="D152" s="61"/>
      <c r="E152" s="61"/>
      <c r="F152" s="61"/>
      <c r="G152" s="61"/>
      <c r="H152" s="61"/>
    </row>
    <row r="153" spans="1:8" ht="14.25">
      <c r="A153" s="61"/>
      <c r="B153" s="61"/>
      <c r="C153" s="61"/>
      <c r="D153" s="61"/>
      <c r="E153" s="61"/>
      <c r="F153" s="61"/>
      <c r="G153" s="61"/>
      <c r="H153" s="61"/>
    </row>
  </sheetData>
  <autoFilter ref="U1:U79" xr:uid="{00000000-0009-0000-0000-000008000000}"/>
  <mergeCells count="85">
    <mergeCell ref="A55:H55"/>
    <mergeCell ref="A57:H57"/>
    <mergeCell ref="A59:H59"/>
    <mergeCell ref="A40:B40"/>
    <mergeCell ref="A33:H33"/>
    <mergeCell ref="A34:H34"/>
    <mergeCell ref="A37:B37"/>
    <mergeCell ref="A38:B38"/>
    <mergeCell ref="A35:B35"/>
    <mergeCell ref="C35:D35"/>
    <mergeCell ref="A39:B39"/>
    <mergeCell ref="A36:B36"/>
    <mergeCell ref="A42:H42"/>
    <mergeCell ref="G35:H35"/>
    <mergeCell ref="E35:F35"/>
    <mergeCell ref="A46:H46"/>
    <mergeCell ref="A45:H45"/>
    <mergeCell ref="A44:H44"/>
    <mergeCell ref="B68:H68"/>
    <mergeCell ref="B67:H67"/>
    <mergeCell ref="A52:H52"/>
    <mergeCell ref="A54:H54"/>
    <mergeCell ref="A56:H56"/>
    <mergeCell ref="A63:H63"/>
    <mergeCell ref="A64:H64"/>
    <mergeCell ref="A65:H65"/>
    <mergeCell ref="B66:H66"/>
    <mergeCell ref="A62:H62"/>
    <mergeCell ref="A61:H61"/>
    <mergeCell ref="A60:H60"/>
    <mergeCell ref="A53:H53"/>
    <mergeCell ref="A58:H58"/>
    <mergeCell ref="A48:H48"/>
    <mergeCell ref="A49:H49"/>
    <mergeCell ref="A51:H51"/>
    <mergeCell ref="A47:H47"/>
    <mergeCell ref="A50:H50"/>
    <mergeCell ref="A17:H17"/>
    <mergeCell ref="A24:H24"/>
    <mergeCell ref="A43:H43"/>
    <mergeCell ref="A31:H31"/>
    <mergeCell ref="A32:H32"/>
    <mergeCell ref="A26:H26"/>
    <mergeCell ref="A27:H27"/>
    <mergeCell ref="A28:H28"/>
    <mergeCell ref="A29:H29"/>
    <mergeCell ref="A30:H30"/>
    <mergeCell ref="A41:B41"/>
    <mergeCell ref="A18:H18"/>
    <mergeCell ref="W1:AB1"/>
    <mergeCell ref="W2:AB4"/>
    <mergeCell ref="A6:H6"/>
    <mergeCell ref="A1:H1"/>
    <mergeCell ref="A2:H2"/>
    <mergeCell ref="A3:H3"/>
    <mergeCell ref="A4:H4"/>
    <mergeCell ref="A5:H5"/>
    <mergeCell ref="S1:T1"/>
    <mergeCell ref="A7:H7"/>
    <mergeCell ref="A8:H8"/>
    <mergeCell ref="A9:H9"/>
    <mergeCell ref="A10:H10"/>
    <mergeCell ref="A25:H25"/>
    <mergeCell ref="A11:H11"/>
    <mergeCell ref="A12:H12"/>
    <mergeCell ref="A13:H13"/>
    <mergeCell ref="A14:H14"/>
    <mergeCell ref="A15:H15"/>
    <mergeCell ref="A19:H19"/>
    <mergeCell ref="A20:H20"/>
    <mergeCell ref="A21:H21"/>
    <mergeCell ref="A22:H22"/>
    <mergeCell ref="A23:H23"/>
    <mergeCell ref="A16:H16"/>
    <mergeCell ref="B69:H69"/>
    <mergeCell ref="A75:H75"/>
    <mergeCell ref="A76:H76"/>
    <mergeCell ref="B70:H70"/>
    <mergeCell ref="B73:H73"/>
    <mergeCell ref="A74:H74"/>
    <mergeCell ref="A77:H77"/>
    <mergeCell ref="A78:H78"/>
    <mergeCell ref="A79:H79"/>
    <mergeCell ref="B71:H71"/>
    <mergeCell ref="B72:H72"/>
  </mergeCells>
  <printOptions horizontalCentered="1"/>
  <pageMargins left="1" right="1" top="1" bottom="1" header="0.5" footer="0.5"/>
  <pageSetup scale="95" fitToHeight="0" orientation="portrait" r:id="rId1"/>
  <headerFooter>
    <oddFooter>&amp;C&amp;P</oddFooter>
  </headerFooter>
  <ignoredErrors>
    <ignoredError sqref="U21 U45 U48 U51:U55 U56:U58 U59:U60 U61:U62 U63 U32 E38 G3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ultureName xmlns="f2697880-8a6b-48bd-a682-6d9200ff491b" xsi:nil="true"/>
    <Has_Teacher_Only_SectionGroup xmlns="f2697880-8a6b-48bd-a682-6d9200ff491b" xsi:nil="true"/>
    <Is_Collaboration_Space_Locked xmlns="f2697880-8a6b-48bd-a682-6d9200ff491b" xsi:nil="true"/>
    <Invited_Students xmlns="f2697880-8a6b-48bd-a682-6d9200ff491b" xsi:nil="true"/>
    <FolderType xmlns="f2697880-8a6b-48bd-a682-6d9200ff491b" xsi:nil="true"/>
    <Teachers xmlns="f2697880-8a6b-48bd-a682-6d9200ff491b">
      <UserInfo>
        <DisplayName/>
        <AccountId xsi:nil="true"/>
        <AccountType/>
      </UserInfo>
    </Teachers>
    <Members xmlns="f2697880-8a6b-48bd-a682-6d9200ff491b">
      <UserInfo>
        <DisplayName/>
        <AccountId xsi:nil="true"/>
        <AccountType/>
      </UserInfo>
    </Members>
    <Member_Groups xmlns="f2697880-8a6b-48bd-a682-6d9200ff491b">
      <UserInfo>
        <DisplayName/>
        <AccountId xsi:nil="true"/>
        <AccountType/>
      </UserInfo>
    </Member_Groups>
    <Self_Registration_Enabled xmlns="f2697880-8a6b-48bd-a682-6d9200ff491b" xsi:nil="true"/>
    <Invited_Members xmlns="f2697880-8a6b-48bd-a682-6d9200ff491b" xsi:nil="true"/>
    <Invited_Teachers xmlns="f2697880-8a6b-48bd-a682-6d9200ff491b" xsi:nil="true"/>
    <Math_Settings xmlns="f2697880-8a6b-48bd-a682-6d9200ff491b" xsi:nil="true"/>
    <DefaultSectionNames xmlns="f2697880-8a6b-48bd-a682-6d9200ff491b" xsi:nil="true"/>
    <AppVersion xmlns="f2697880-8a6b-48bd-a682-6d9200ff491b" xsi:nil="true"/>
    <Owner xmlns="f2697880-8a6b-48bd-a682-6d9200ff491b">
      <UserInfo>
        <DisplayName/>
        <AccountId xsi:nil="true"/>
        <AccountType/>
      </UserInfo>
    </Owner>
    <Distribution_Groups xmlns="f2697880-8a6b-48bd-a682-6d9200ff491b" xsi:nil="true"/>
    <LMS_Mappings xmlns="f2697880-8a6b-48bd-a682-6d9200ff491b" xsi:nil="true"/>
    <IsNotebookLocked xmlns="f2697880-8a6b-48bd-a682-6d9200ff491b" xsi:nil="true"/>
    <NotebookType xmlns="f2697880-8a6b-48bd-a682-6d9200ff491b" xsi:nil="true"/>
    <Leaders xmlns="f2697880-8a6b-48bd-a682-6d9200ff491b">
      <UserInfo>
        <DisplayName/>
        <AccountId xsi:nil="true"/>
        <AccountType/>
      </UserInfo>
    </Leaders>
    <Students xmlns="f2697880-8a6b-48bd-a682-6d9200ff491b">
      <UserInfo>
        <DisplayName/>
        <AccountId xsi:nil="true"/>
        <AccountType/>
      </UserInfo>
    </Students>
    <Student_Groups xmlns="f2697880-8a6b-48bd-a682-6d9200ff491b">
      <UserInfo>
        <DisplayName/>
        <AccountId xsi:nil="true"/>
        <AccountType/>
      </UserInfo>
    </Student_Groups>
    <Templates xmlns="f2697880-8a6b-48bd-a682-6d9200ff491b" xsi:nil="true"/>
    <Has_Leaders_Only_SectionGroup xmlns="f2697880-8a6b-48bd-a682-6d9200ff491b" xsi:nil="true"/>
    <TeamsChannelId xmlns="f2697880-8a6b-48bd-a682-6d9200ff491b" xsi:nil="true"/>
    <Invited_Leaders xmlns="f2697880-8a6b-48bd-a682-6d9200ff491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5EB5E0E71E4C40BA85915DB98CC6A5" ma:contentTypeVersion="51" ma:contentTypeDescription="Create a new document." ma:contentTypeScope="" ma:versionID="48f940a975ca20ac80ea329064d4eb14">
  <xsd:schema xmlns:xsd="http://www.w3.org/2001/XMLSchema" xmlns:xs="http://www.w3.org/2001/XMLSchema" xmlns:p="http://schemas.microsoft.com/office/2006/metadata/properties" xmlns:ns3="96f8eefe-207e-4e96-85ba-a9220e49669c" xmlns:ns4="f2697880-8a6b-48bd-a682-6d9200ff491b" targetNamespace="http://schemas.microsoft.com/office/2006/metadata/properties" ma:root="true" ma:fieldsID="e489b4fced2cd88293506c2394c8e63e" ns3:_="" ns4:_="">
    <xsd:import namespace="96f8eefe-207e-4e96-85ba-a9220e49669c"/>
    <xsd:import namespace="f2697880-8a6b-48bd-a682-6d9200ff491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NotebookType" minOccurs="0"/>
                <xsd:element ref="ns4:FolderType" minOccurs="0"/>
                <xsd:element ref="ns4:CultureName" minOccurs="0"/>
                <xsd:element ref="ns4:AppVersion" minOccurs="0"/>
                <xsd:element ref="ns4:TeamsChannelId" minOccurs="0"/>
                <xsd:element ref="ns4:Owner" minOccurs="0"/>
                <xsd:element ref="ns4:Math_Settings" minOccurs="0"/>
                <xsd:element ref="ns4:DefaultSectionNames" minOccurs="0"/>
                <xsd:element ref="ns4:Templates" minOccurs="0"/>
                <xsd:element ref="ns4:Leaders" minOccurs="0"/>
                <xsd:element ref="ns4:Members" minOccurs="0"/>
                <xsd:element ref="ns4:Member_Groups" minOccurs="0"/>
                <xsd:element ref="ns4:Distribution_Groups" minOccurs="0"/>
                <xsd:element ref="ns4:LMS_Mappings" minOccurs="0"/>
                <xsd:element ref="ns4:Invited_Leaders" minOccurs="0"/>
                <xsd:element ref="ns4:Invited_Members" minOccurs="0"/>
                <xsd:element ref="ns4:Self_Registration_Enabled" minOccurs="0"/>
                <xsd:element ref="ns4:Has_Leaders_Only_SectionGroup" minOccurs="0"/>
                <xsd:element ref="ns4:Is_Collaboration_Space_Locked" minOccurs="0"/>
                <xsd:element ref="ns4:IsNotebookLocked" minOccurs="0"/>
                <xsd:element ref="ns4:Teachers" minOccurs="0"/>
                <xsd:element ref="ns4:Students" minOccurs="0"/>
                <xsd:element ref="ns4:Student_Groups" minOccurs="0"/>
                <xsd:element ref="ns4:Invited_Teachers" minOccurs="0"/>
                <xsd:element ref="ns4:Invited_Students" minOccurs="0"/>
                <xsd:element ref="ns4:Has_Teacher_Only_SectionGroup"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f8eefe-207e-4e96-85ba-a9220e4966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697880-8a6b-48bd-a682-6d9200ff491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NotebookType" ma:index="13" nillable="true" ma:displayName="Notebook Type" ma:internalName="NotebookType">
      <xsd:simpleType>
        <xsd:restriction base="dms:Text"/>
      </xsd:simpleType>
    </xsd:element>
    <xsd:element name="FolderType" ma:index="14" nillable="true" ma:displayName="Folder Type" ma:internalName="FolderType">
      <xsd:simpleType>
        <xsd:restriction base="dms:Text"/>
      </xsd:simpleType>
    </xsd:element>
    <xsd:element name="CultureName" ma:index="15" nillable="true" ma:displayName="Culture Name" ma:internalName="CultureName">
      <xsd:simpleType>
        <xsd:restriction base="dms:Text"/>
      </xsd:simpleType>
    </xsd:element>
    <xsd:element name="AppVersion" ma:index="16" nillable="true" ma:displayName="App Version" ma:internalName="AppVersion">
      <xsd:simpleType>
        <xsd:restriction base="dms:Text"/>
      </xsd:simpleType>
    </xsd:element>
    <xsd:element name="TeamsChannelId" ma:index="17" nillable="true" ma:displayName="Teams Channel Id" ma:internalName="TeamsChannelId">
      <xsd:simpleType>
        <xsd:restriction base="dms:Text"/>
      </xsd:simpleType>
    </xsd:element>
    <xsd:element name="Owner" ma:index="18"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9" nillable="true" ma:displayName="Math Settings" ma:internalName="Math_Settings">
      <xsd:simpleType>
        <xsd:restriction base="dms:Text"/>
      </xsd:simpleType>
    </xsd:element>
    <xsd:element name="DefaultSectionNames" ma:index="20" nillable="true" ma:displayName="Default Section Names" ma:internalName="DefaultSectionNames">
      <xsd:simpleType>
        <xsd:restriction base="dms:Note">
          <xsd:maxLength value="255"/>
        </xsd:restriction>
      </xsd:simpleType>
    </xsd:element>
    <xsd:element name="Templates" ma:index="21" nillable="true" ma:displayName="Templates" ma:internalName="Templates">
      <xsd:simpleType>
        <xsd:restriction base="dms:Note">
          <xsd:maxLength value="255"/>
        </xsd:restriction>
      </xsd:simpleType>
    </xsd:element>
    <xsd:element name="Leaders" ma:index="22"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23"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24"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5" nillable="true" ma:displayName="Distribution Groups" ma:internalName="Distribution_Groups">
      <xsd:simpleType>
        <xsd:restriction base="dms:Note">
          <xsd:maxLength value="255"/>
        </xsd:restriction>
      </xsd:simpleType>
    </xsd:element>
    <xsd:element name="LMS_Mappings" ma:index="26" nillable="true" ma:displayName="LMS Mappings" ma:internalName="LMS_Mappings">
      <xsd:simpleType>
        <xsd:restriction base="dms:Note">
          <xsd:maxLength value="255"/>
        </xsd:restriction>
      </xsd:simpleType>
    </xsd:element>
    <xsd:element name="Invited_Leaders" ma:index="27" nillable="true" ma:displayName="Invited Leaders" ma:internalName="Invited_Leaders">
      <xsd:simpleType>
        <xsd:restriction base="dms:Note">
          <xsd:maxLength value="255"/>
        </xsd:restriction>
      </xsd:simpleType>
    </xsd:element>
    <xsd:element name="Invited_Members" ma:index="28" nillable="true" ma:displayName="Invited Members" ma:internalName="Invited_Members">
      <xsd:simpleType>
        <xsd:restriction base="dms:Note">
          <xsd:maxLength value="255"/>
        </xsd:restriction>
      </xsd:simpleType>
    </xsd:element>
    <xsd:element name="Self_Registration_Enabled" ma:index="29" nillable="true" ma:displayName="Self Registration Enabled" ma:internalName="Self_Registration_Enabled">
      <xsd:simpleType>
        <xsd:restriction base="dms:Boolean"/>
      </xsd:simpleType>
    </xsd:element>
    <xsd:element name="Has_Leaders_Only_SectionGroup" ma:index="30" nillable="true" ma:displayName="Has Leaders Only SectionGroup" ma:internalName="Has_Leaders_Only_SectionGroup">
      <xsd:simpleType>
        <xsd:restriction base="dms:Boolean"/>
      </xsd:simpleType>
    </xsd:element>
    <xsd:element name="Is_Collaboration_Space_Locked" ma:index="31" nillable="true" ma:displayName="Is Collaboration Space Locked" ma:internalName="Is_Collaboration_Space_Locked">
      <xsd:simpleType>
        <xsd:restriction base="dms:Boolean"/>
      </xsd:simpleType>
    </xsd:element>
    <xsd:element name="IsNotebookLocked" ma:index="32" nillable="true" ma:displayName="Is Notebook Locked" ma:internalName="IsNotebookLocked">
      <xsd:simpleType>
        <xsd:restriction base="dms:Boolean"/>
      </xsd:simpleType>
    </xsd:element>
    <xsd:element name="Teachers" ma:index="3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3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36" nillable="true" ma:displayName="Invited Teachers" ma:internalName="Invited_Teachers">
      <xsd:simpleType>
        <xsd:restriction base="dms:Note">
          <xsd:maxLength value="255"/>
        </xsd:restriction>
      </xsd:simpleType>
    </xsd:element>
    <xsd:element name="Invited_Students" ma:index="37" nillable="true" ma:displayName="Invited Students" ma:internalName="Invited_Students">
      <xsd:simpleType>
        <xsd:restriction base="dms:Note">
          <xsd:maxLength value="255"/>
        </xsd:restriction>
      </xsd:simpleType>
    </xsd:element>
    <xsd:element name="Has_Teacher_Only_SectionGroup" ma:index="38" nillable="true" ma:displayName="Has Teacher Only SectionGroup" ma:internalName="Has_Teacher_Only_SectionGroup">
      <xsd:simpleType>
        <xsd:restriction base="dms:Boolean"/>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ServiceAutoTags" ma:index="41" nillable="true" ma:displayName="Tags" ma:internalName="MediaServiceAutoTags" ma:readOnly="true">
      <xsd:simpleType>
        <xsd:restriction base="dms:Text"/>
      </xsd:simpleType>
    </xsd:element>
    <xsd:element name="MediaServiceOCR" ma:index="42" nillable="true" ma:displayName="Extracted Text" ma:internalName="MediaServiceOCR" ma:readOnly="true">
      <xsd:simpleType>
        <xsd:restriction base="dms:Note">
          <xsd:maxLength value="255"/>
        </xsd:restriction>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D7200C-53D3-4414-8B14-C43CA9FD3E27}">
  <ds:schemaRefs>
    <ds:schemaRef ds:uri="http://schemas.microsoft.com/sharepoint/v3/contenttype/forms"/>
  </ds:schemaRefs>
</ds:datastoreItem>
</file>

<file path=customXml/itemProps2.xml><?xml version="1.0" encoding="utf-8"?>
<ds:datastoreItem xmlns:ds="http://schemas.openxmlformats.org/officeDocument/2006/customXml" ds:itemID="{41C91F9B-3E2E-45E2-A72C-A1672F03BD27}">
  <ds:schemaRefs>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elements/1.1/"/>
    <ds:schemaRef ds:uri="http://purl.org/dc/terms/"/>
    <ds:schemaRef ds:uri="96f8eefe-207e-4e96-85ba-a9220e49669c"/>
    <ds:schemaRef ds:uri="http://schemas.openxmlformats.org/package/2006/metadata/core-properties"/>
    <ds:schemaRef ds:uri="f2697880-8a6b-48bd-a682-6d9200ff491b"/>
  </ds:schemaRefs>
</ds:datastoreItem>
</file>

<file path=customXml/itemProps3.xml><?xml version="1.0" encoding="utf-8"?>
<ds:datastoreItem xmlns:ds="http://schemas.openxmlformats.org/officeDocument/2006/customXml" ds:itemID="{8285372A-6986-4383-92AE-7E3713398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f8eefe-207e-4e96-85ba-a9220e49669c"/>
    <ds:schemaRef ds:uri="f2697880-8a6b-48bd-a682-6d9200ff49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27</vt:i4>
      </vt:variant>
    </vt:vector>
  </HeadingPairs>
  <TitlesOfParts>
    <vt:vector size="45" baseType="lpstr">
      <vt:lpstr>Summary of All Budget Periods</vt:lpstr>
      <vt:lpstr>Cost Share Summary</vt:lpstr>
      <vt:lpstr>BP1</vt:lpstr>
      <vt:lpstr>BP2</vt:lpstr>
      <vt:lpstr>BP3</vt:lpstr>
      <vt:lpstr>BP4</vt:lpstr>
      <vt:lpstr>BP5</vt:lpstr>
      <vt:lpstr>Cumulative Budget</vt:lpstr>
      <vt:lpstr>Budget Justification</vt:lpstr>
      <vt:lpstr>Subaward Calculator</vt:lpstr>
      <vt:lpstr>Travel Calculator</vt:lpstr>
      <vt:lpstr>Questionnaire - WIP</vt:lpstr>
      <vt:lpstr>Lists</vt:lpstr>
      <vt:lpstr>Appendix A-Boilerplate Language</vt:lpstr>
      <vt:lpstr>Appendix B-Effort Calculator</vt:lpstr>
      <vt:lpstr>Appendix C-Grants.gov Form Info</vt:lpstr>
      <vt:lpstr>Appendix D-Rate Tables</vt:lpstr>
      <vt:lpstr>Appendix E -Change Log</vt:lpstr>
      <vt:lpstr>EndDateList</vt:lpstr>
      <vt:lpstr>Federal</vt:lpstr>
      <vt:lpstr>FederalDoDContract</vt:lpstr>
      <vt:lpstr>FederalOffCampus</vt:lpstr>
      <vt:lpstr>FederalOnCampus</vt:lpstr>
      <vt:lpstr>NIH</vt:lpstr>
      <vt:lpstr>NIHSalCap</vt:lpstr>
      <vt:lpstr>NonFederal</vt:lpstr>
      <vt:lpstr>NonFederalOffCampus</vt:lpstr>
      <vt:lpstr>NonFederalOnCampus</vt:lpstr>
      <vt:lpstr>'Appendix A-Boilerplate Language'!Print_Area</vt:lpstr>
      <vt:lpstr>'Appendix B-Effort Calculator'!Print_Area</vt:lpstr>
      <vt:lpstr>'Appendix C-Grants.gov Form Info'!Print_Area</vt:lpstr>
      <vt:lpstr>'Appendix D-Rate Tables'!Print_Area</vt:lpstr>
      <vt:lpstr>'BP1'!Print_Area</vt:lpstr>
      <vt:lpstr>'BP2'!Print_Area</vt:lpstr>
      <vt:lpstr>'BP3'!Print_Area</vt:lpstr>
      <vt:lpstr>'BP4'!Print_Area</vt:lpstr>
      <vt:lpstr>'BP5'!Print_Area</vt:lpstr>
      <vt:lpstr>'Budget Justification'!Print_Area</vt:lpstr>
      <vt:lpstr>'Cost Share Summary'!Print_Area</vt:lpstr>
      <vt:lpstr>'Cumulative Budget'!Print_Area</vt:lpstr>
      <vt:lpstr>Lists!Print_Area</vt:lpstr>
      <vt:lpstr>'Subaward Calculator'!Print_Area</vt:lpstr>
      <vt:lpstr>'Summary of All Budget Periods'!Print_Area</vt:lpstr>
      <vt:lpstr>'Travel Calculator'!Print_Area</vt:lpstr>
      <vt:lpstr>StartDateList</vt:lpstr>
    </vt:vector>
  </TitlesOfParts>
  <Manager>Cathy Barrera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McCormick Budget Template</dc:title>
  <dc:subject>Budget Template</dc:subject>
  <dc:creator>Setong Mavong</dc:creator>
  <cp:lastModifiedBy>Setong Mavong</cp:lastModifiedBy>
  <cp:lastPrinted>2017-06-12T20:09:19Z</cp:lastPrinted>
  <dcterms:created xsi:type="dcterms:W3CDTF">2002-02-08T17:05:31Z</dcterms:created>
  <dcterms:modified xsi:type="dcterms:W3CDTF">2019-12-03T21:41:50Z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0x0101000B5EB5E0E71E4C40BA85915DB98CC6A5</vt:lpwstr>
  </property>
</Properties>
</file>