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ate1904="1" codeName="ThisWorkbook"/>
  <mc:AlternateContent xmlns:mc="http://schemas.openxmlformats.org/markup-compatibility/2006">
    <mc:Choice Requires="x15">
      <x15ac:absPath xmlns:x15ac="http://schemas.microsoft.com/office/spreadsheetml/2010/11/ac" url="C:\Users\ajm535\Desktop\"/>
    </mc:Choice>
  </mc:AlternateContent>
  <xr:revisionPtr revIDLastSave="0" documentId="8_{17873154-0E3C-46C6-B87C-D7A6C94DF2A6}" xr6:coauthVersionLast="47" xr6:coauthVersionMax="47" xr10:uidLastSave="{00000000-0000-0000-0000-000000000000}"/>
  <bookViews>
    <workbookView xWindow="-108" yWindow="-108" windowWidth="23256" windowHeight="12456" tabRatio="878" activeTab="2" xr2:uid="{00000000-000D-0000-FFFF-FFFF00000000}"/>
  </bookViews>
  <sheets>
    <sheet name="Summary of All Budget Periods" sheetId="16" r:id="rId1"/>
    <sheet name="Cost Share Summary" sheetId="20" r:id="rId2"/>
    <sheet name="BP1" sheetId="2" r:id="rId3"/>
    <sheet name="BP2" sheetId="4" r:id="rId4"/>
    <sheet name="BP3" sheetId="5" r:id="rId5"/>
    <sheet name="BP4" sheetId="13" r:id="rId6"/>
    <sheet name="BP5" sheetId="14" r:id="rId7"/>
    <sheet name="Cumulative Budget" sheetId="6" r:id="rId8"/>
    <sheet name="Effort Summary" sheetId="26" state="hidden" r:id="rId9"/>
    <sheet name="Budget Justification" sheetId="18" r:id="rId10"/>
    <sheet name="Subaward Calculator" sheetId="23" r:id="rId11"/>
    <sheet name="Travel Calculator" sheetId="21" r:id="rId12"/>
    <sheet name="Questionnaire - WIP" sheetId="22" state="hidden" r:id="rId13"/>
    <sheet name="Lists" sheetId="9" r:id="rId14"/>
    <sheet name="Appendix A-Boilerplate Language" sheetId="19" r:id="rId15"/>
    <sheet name="Appendix B-Effort Calculator" sheetId="8" r:id="rId16"/>
    <sheet name="Appendix C-Grants.gov Form Info" sheetId="15" r:id="rId17"/>
    <sheet name="Appendix D-Rate Tables" sheetId="24" r:id="rId18"/>
    <sheet name="Appendix E-Change Log" sheetId="25" r:id="rId19"/>
  </sheets>
  <externalReferences>
    <externalReference r:id="rId20"/>
    <externalReference r:id="rId21"/>
    <externalReference r:id="rId22"/>
  </externalReferences>
  <definedNames>
    <definedName name="_xlnm._FilterDatabase" localSheetId="2" hidden="1">'BP1'!$V$1:$V$95</definedName>
    <definedName name="_xlnm._FilterDatabase" localSheetId="3" hidden="1">'BP2'!$R$1:$R$95</definedName>
    <definedName name="_xlnm._FilterDatabase" localSheetId="4" hidden="1">'BP3'!$R$1:$R$95</definedName>
    <definedName name="_xlnm._FilterDatabase" localSheetId="5" hidden="1">'BP4'!$R$1:$R$95</definedName>
    <definedName name="_xlnm._FilterDatabase" localSheetId="6" hidden="1">'BP5'!$R$1:$R$95</definedName>
    <definedName name="_xlnm._FilterDatabase" localSheetId="9" hidden="1">'Budget Justification'!$U$1:$U$91</definedName>
    <definedName name="_xlnm._FilterDatabase" localSheetId="1" hidden="1">'Cost Share Summary'!$T$1:$T$111</definedName>
    <definedName name="_xlnm._FilterDatabase" localSheetId="7" hidden="1">'Cumulative Budget'!$R$1:$R$90</definedName>
    <definedName name="_xlnm._FilterDatabase" localSheetId="12" hidden="1">'Questionnaire - WIP'!$A$1:$P$41</definedName>
    <definedName name="_xlnm._FilterDatabase" localSheetId="0" hidden="1">'Summary of All Budget Periods'!$I$1:$I$94</definedName>
    <definedName name="EndDateList">Lists!$B$2:$B$812</definedName>
    <definedName name="Federal">'Appendix A-Boilerplate Language'!$M$4:$M$8</definedName>
    <definedName name="FederalDoDContract">Lists!$S:$S</definedName>
    <definedName name="FederalOffCampus">Lists!$N:$N</definedName>
    <definedName name="FederalOnCampus">Lists!$R:$R</definedName>
    <definedName name="NIH" localSheetId="17">'[1]Appendix C-Grants.gov Form Info'!$D:$D</definedName>
    <definedName name="NIH">'Appendix C-Grants.gov Form Info'!$D:$D</definedName>
    <definedName name="NIHSalCap" localSheetId="17">'[1]Appendix C-Grants.gov Form Info'!$D$2</definedName>
    <definedName name="NIHSalCap">'Appendix C-Grants.gov Form Info'!$D$2</definedName>
    <definedName name="NonFederal">'Appendix A-Boilerplate Language'!$N$4:$N$7</definedName>
    <definedName name="NonFederalOffCampus">Lists!$P:$P</definedName>
    <definedName name="NonFederalOnCampus">Lists!$Q:$Q</definedName>
    <definedName name="_xlnm.Print_Area" localSheetId="14">'Appendix A-Boilerplate Language'!$A$1:$I$57</definedName>
    <definedName name="_xlnm.Print_Area" localSheetId="15">'Appendix B-Effort Calculator'!$A$1:$K$48</definedName>
    <definedName name="_xlnm.Print_Area" localSheetId="16">'Appendix C-Grants.gov Form Info'!$A$1:$B$68</definedName>
    <definedName name="_xlnm.Print_Area" localSheetId="17">'Appendix D-Rate Tables'!$A$4:$E$256</definedName>
    <definedName name="_xlnm.Print_Area" localSheetId="2">'BP1'!$A$1:$L$80</definedName>
    <definedName name="_xlnm.Print_Area" localSheetId="3">'BP2'!$A$1:$L$80</definedName>
    <definedName name="_xlnm.Print_Area" localSheetId="4">'BP3'!$A$1:$L$80</definedName>
    <definedName name="_xlnm.Print_Area" localSheetId="5">'BP4'!$A$1:$L$80</definedName>
    <definedName name="_xlnm.Print_Area" localSheetId="6">'BP5'!$A$1:$L$80</definedName>
    <definedName name="_xlnm.Print_Area" localSheetId="9">'Budget Justification'!$A$1:$H$75</definedName>
    <definedName name="_xlnm.Print_Area" localSheetId="1">'Cost Share Summary'!$A$1:$R$111</definedName>
    <definedName name="_xlnm.Print_Area" localSheetId="7">'Cumulative Budget'!$A$1:$L$80</definedName>
    <definedName name="_xlnm.Print_Area" localSheetId="13">Lists!$A$50:$N$217</definedName>
    <definedName name="_xlnm.Print_Area" localSheetId="10">'Subaward Calculator'!$A$4:$AG$46</definedName>
    <definedName name="_xlnm.Print_Area" localSheetId="0">'Summary of All Budget Periods'!$A$1:$G$94</definedName>
    <definedName name="_xlnm.Print_Area" localSheetId="11">'Travel Calculator'!$H$2:$Y$50</definedName>
    <definedName name="StartDateList" localSheetId="17">[1]Lists!$A:$A</definedName>
    <definedName name="StartDateList" localSheetId="1">[2]Lists!$A$2:$A$812</definedName>
    <definedName name="StartDateList" localSheetId="11">[3]Lists!$A$2:$A$812</definedName>
    <definedName name="StartDateList">Lists!$A:$A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1" i="18" l="1"/>
  <c r="A90" i="18"/>
  <c r="A89" i="18"/>
  <c r="A88" i="18"/>
  <c r="K51" i="2"/>
  <c r="P38" i="2"/>
  <c r="I77" i="14"/>
  <c r="I77" i="13"/>
  <c r="I77" i="5"/>
  <c r="G77" i="2"/>
  <c r="I77" i="4"/>
  <c r="A78" i="2"/>
  <c r="N40" i="2"/>
  <c r="O40" i="2" s="1"/>
  <c r="H5" i="15" l="1"/>
  <c r="U22" i="18" s="1"/>
  <c r="U87" i="18"/>
  <c r="N62" i="2"/>
  <c r="D230" i="9"/>
  <c r="D231" i="9"/>
  <c r="D232" i="9"/>
  <c r="D233" i="9"/>
  <c r="D234" i="9"/>
  <c r="D235" i="9"/>
  <c r="D236" i="9"/>
  <c r="D237" i="9"/>
  <c r="D238" i="9"/>
  <c r="D239" i="9"/>
  <c r="D240" i="9"/>
  <c r="D241" i="9"/>
  <c r="D242" i="9"/>
  <c r="D243" i="9"/>
  <c r="D244" i="9"/>
  <c r="D245" i="9"/>
  <c r="D246" i="9"/>
  <c r="D247" i="9"/>
  <c r="D248" i="9"/>
  <c r="D249" i="9"/>
  <c r="D250" i="9"/>
  <c r="D251" i="9"/>
  <c r="D252" i="9"/>
  <c r="D253" i="9"/>
  <c r="C230" i="9"/>
  <c r="C231" i="9"/>
  <c r="C232" i="9"/>
  <c r="C233" i="9"/>
  <c r="C234" i="9"/>
  <c r="C235" i="9"/>
  <c r="C236" i="9"/>
  <c r="C237" i="9"/>
  <c r="C238" i="9"/>
  <c r="C239" i="9"/>
  <c r="C240" i="9"/>
  <c r="C241" i="9"/>
  <c r="K213" i="9"/>
  <c r="K217" i="9"/>
  <c r="K216" i="9"/>
  <c r="K215" i="9"/>
  <c r="K214" i="9"/>
  <c r="K212" i="9"/>
  <c r="K211" i="9"/>
  <c r="K210" i="9"/>
  <c r="K209" i="9"/>
  <c r="K208" i="9"/>
  <c r="K207" i="9"/>
  <c r="K206" i="9"/>
  <c r="D32" i="2"/>
  <c r="D32" i="14" s="1"/>
  <c r="B81" i="18"/>
  <c r="B80" i="18"/>
  <c r="B79" i="18"/>
  <c r="A80" i="18"/>
  <c r="A79" i="18"/>
  <c r="Q92" i="14"/>
  <c r="Q87" i="14"/>
  <c r="Q92" i="13"/>
  <c r="Q87" i="13"/>
  <c r="D32" i="4" l="1"/>
  <c r="D32" i="5"/>
  <c r="D32" i="13"/>
  <c r="Q87" i="5"/>
  <c r="Q92" i="5"/>
  <c r="Q87" i="4"/>
  <c r="Q92" i="4"/>
  <c r="R92" i="2"/>
  <c r="C194" i="9"/>
  <c r="C195" i="9"/>
  <c r="C196" i="9"/>
  <c r="C197" i="9"/>
  <c r="C198" i="9"/>
  <c r="C199" i="9"/>
  <c r="C200" i="9"/>
  <c r="C201" i="9"/>
  <c r="C202" i="9"/>
  <c r="C203" i="9"/>
  <c r="C204" i="9"/>
  <c r="C205" i="9"/>
  <c r="C206" i="9"/>
  <c r="R87" i="2"/>
  <c r="W31" i="26"/>
  <c r="A31" i="26"/>
  <c r="W29" i="26"/>
  <c r="A29" i="26"/>
  <c r="W27" i="26"/>
  <c r="A27" i="26"/>
  <c r="W25" i="26"/>
  <c r="A25" i="26"/>
  <c r="W23" i="26"/>
  <c r="A23" i="26"/>
  <c r="W21" i="26"/>
  <c r="A21" i="26"/>
  <c r="W19" i="26"/>
  <c r="A19" i="26"/>
  <c r="W17" i="26"/>
  <c r="A17" i="26"/>
  <c r="W15" i="26"/>
  <c r="A15" i="26"/>
  <c r="W13" i="26"/>
  <c r="A13" i="26"/>
  <c r="W11" i="26"/>
  <c r="A11" i="26"/>
  <c r="W9" i="26"/>
  <c r="A9" i="26"/>
  <c r="W7" i="26"/>
  <c r="A7" i="26"/>
  <c r="W5" i="26"/>
  <c r="A5" i="26"/>
  <c r="W3" i="26"/>
  <c r="A3" i="26"/>
  <c r="AU42" i="20"/>
  <c r="AU44" i="20"/>
  <c r="Z39" i="26" s="1"/>
  <c r="AU46" i="20"/>
  <c r="Z41" i="26" s="1"/>
  <c r="AU48" i="20"/>
  <c r="Z43" i="26" s="1"/>
  <c r="AU50" i="20"/>
  <c r="AU52" i="20"/>
  <c r="Z47" i="26" s="1"/>
  <c r="AU54" i="20"/>
  <c r="Z49" i="26" s="1"/>
  <c r="AU56" i="20"/>
  <c r="Z51" i="26" s="1"/>
  <c r="AU58" i="20"/>
  <c r="AM58" i="20"/>
  <c r="R53" i="26" s="1"/>
  <c r="AL58" i="20"/>
  <c r="Q53" i="26" s="1"/>
  <c r="AJ58" i="20"/>
  <c r="O53" i="26" s="1"/>
  <c r="AI58" i="20"/>
  <c r="N53" i="26" s="1"/>
  <c r="AG58" i="20"/>
  <c r="L53" i="26" s="1"/>
  <c r="AF58" i="20"/>
  <c r="K53" i="26" s="1"/>
  <c r="AD58" i="20"/>
  <c r="AC58" i="20"/>
  <c r="H53" i="26" s="1"/>
  <c r="AA58" i="20"/>
  <c r="F53" i="26" s="1"/>
  <c r="Z58" i="20"/>
  <c r="E53" i="26" s="1"/>
  <c r="AM56" i="20"/>
  <c r="R51" i="26" s="1"/>
  <c r="AL56" i="20"/>
  <c r="Q51" i="26" s="1"/>
  <c r="AJ56" i="20"/>
  <c r="O51" i="26" s="1"/>
  <c r="AI56" i="20"/>
  <c r="N51" i="26" s="1"/>
  <c r="AG56" i="20"/>
  <c r="L51" i="26" s="1"/>
  <c r="AF56" i="20"/>
  <c r="AD56" i="20"/>
  <c r="I51" i="26" s="1"/>
  <c r="AC56" i="20"/>
  <c r="H51" i="26" s="1"/>
  <c r="AA56" i="20"/>
  <c r="Z56" i="20"/>
  <c r="E51" i="26" s="1"/>
  <c r="AM54" i="20"/>
  <c r="R49" i="26" s="1"/>
  <c r="AL54" i="20"/>
  <c r="Q49" i="26" s="1"/>
  <c r="AJ54" i="20"/>
  <c r="O49" i="26" s="1"/>
  <c r="AI54" i="20"/>
  <c r="N49" i="26" s="1"/>
  <c r="AG54" i="20"/>
  <c r="L49" i="26" s="1"/>
  <c r="AF54" i="20"/>
  <c r="K49" i="26" s="1"/>
  <c r="AD54" i="20"/>
  <c r="I49" i="26" s="1"/>
  <c r="AC54" i="20"/>
  <c r="H49" i="26" s="1"/>
  <c r="AA54" i="20"/>
  <c r="Z54" i="20"/>
  <c r="E49" i="26" s="1"/>
  <c r="AM52" i="20"/>
  <c r="R47" i="26" s="1"/>
  <c r="AL52" i="20"/>
  <c r="Q47" i="26" s="1"/>
  <c r="AJ52" i="20"/>
  <c r="O47" i="26" s="1"/>
  <c r="AI52" i="20"/>
  <c r="N47" i="26" s="1"/>
  <c r="AG52" i="20"/>
  <c r="L47" i="26" s="1"/>
  <c r="AF52" i="20"/>
  <c r="K47" i="26" s="1"/>
  <c r="AD52" i="20"/>
  <c r="I47" i="26" s="1"/>
  <c r="AC52" i="20"/>
  <c r="H47" i="26" s="1"/>
  <c r="AA52" i="20"/>
  <c r="F47" i="26" s="1"/>
  <c r="Z52" i="20"/>
  <c r="E47" i="26" s="1"/>
  <c r="AM50" i="20"/>
  <c r="R45" i="26" s="1"/>
  <c r="AL50" i="20"/>
  <c r="Q45" i="26" s="1"/>
  <c r="AJ50" i="20"/>
  <c r="O45" i="26" s="1"/>
  <c r="AI50" i="20"/>
  <c r="N45" i="26" s="1"/>
  <c r="AG50" i="20"/>
  <c r="L45" i="26" s="1"/>
  <c r="AF50" i="20"/>
  <c r="K45" i="26" s="1"/>
  <c r="AD50" i="20"/>
  <c r="I45" i="26" s="1"/>
  <c r="AC50" i="20"/>
  <c r="H45" i="26" s="1"/>
  <c r="AA50" i="20"/>
  <c r="F45" i="26" s="1"/>
  <c r="Z50" i="20"/>
  <c r="E45" i="26" s="1"/>
  <c r="AM48" i="20"/>
  <c r="R43" i="26" s="1"/>
  <c r="AL48" i="20"/>
  <c r="Q43" i="26" s="1"/>
  <c r="AJ48" i="20"/>
  <c r="O43" i="26" s="1"/>
  <c r="AI48" i="20"/>
  <c r="N43" i="26" s="1"/>
  <c r="AG48" i="20"/>
  <c r="L43" i="26" s="1"/>
  <c r="AF48" i="20"/>
  <c r="AD48" i="20"/>
  <c r="I43" i="26" s="1"/>
  <c r="AC48" i="20"/>
  <c r="H43" i="26" s="1"/>
  <c r="AA48" i="20"/>
  <c r="F43" i="26" s="1"/>
  <c r="Z48" i="20"/>
  <c r="E43" i="26" s="1"/>
  <c r="AM46" i="20"/>
  <c r="R41" i="26" s="1"/>
  <c r="AL46" i="20"/>
  <c r="Q41" i="26" s="1"/>
  <c r="AJ46" i="20"/>
  <c r="O41" i="26" s="1"/>
  <c r="AI46" i="20"/>
  <c r="N41" i="26" s="1"/>
  <c r="AG46" i="20"/>
  <c r="L41" i="26" s="1"/>
  <c r="AF46" i="20"/>
  <c r="K41" i="26" s="1"/>
  <c r="AD46" i="20"/>
  <c r="I41" i="26" s="1"/>
  <c r="AC46" i="20"/>
  <c r="H41" i="26" s="1"/>
  <c r="AA46" i="20"/>
  <c r="F41" i="26" s="1"/>
  <c r="Z46" i="20"/>
  <c r="E41" i="26" s="1"/>
  <c r="AM44" i="20"/>
  <c r="R39" i="26" s="1"/>
  <c r="AL44" i="20"/>
  <c r="Q39" i="26" s="1"/>
  <c r="AJ44" i="20"/>
  <c r="O39" i="26" s="1"/>
  <c r="AI44" i="20"/>
  <c r="N39" i="26" s="1"/>
  <c r="AG44" i="20"/>
  <c r="L39" i="26" s="1"/>
  <c r="AF44" i="20"/>
  <c r="AD44" i="20"/>
  <c r="I39" i="26" s="1"/>
  <c r="AC44" i="20"/>
  <c r="H39" i="26" s="1"/>
  <c r="AA44" i="20"/>
  <c r="F39" i="26" s="1"/>
  <c r="Z44" i="20"/>
  <c r="E39" i="26" s="1"/>
  <c r="AM42" i="20"/>
  <c r="R37" i="26" s="1"/>
  <c r="AL42" i="20"/>
  <c r="Q37" i="26" s="1"/>
  <c r="AJ42" i="20"/>
  <c r="O37" i="26" s="1"/>
  <c r="AI42" i="20"/>
  <c r="N37" i="26" s="1"/>
  <c r="AG42" i="20"/>
  <c r="L37" i="26" s="1"/>
  <c r="AF42" i="20"/>
  <c r="K37" i="26" s="1"/>
  <c r="AD42" i="20"/>
  <c r="I37" i="26" s="1"/>
  <c r="AC42" i="20"/>
  <c r="H37" i="26" s="1"/>
  <c r="AA42" i="20"/>
  <c r="F37" i="26" s="1"/>
  <c r="Z42" i="20"/>
  <c r="E37" i="26" s="1"/>
  <c r="AA9" i="20"/>
  <c r="F4" i="26" s="1"/>
  <c r="Z9" i="20"/>
  <c r="E4" i="26" s="1"/>
  <c r="Y9" i="20"/>
  <c r="D4" i="26" s="1"/>
  <c r="AA11" i="20"/>
  <c r="F6" i="26" s="1"/>
  <c r="Z11" i="20"/>
  <c r="E6" i="26" s="1"/>
  <c r="Y11" i="20"/>
  <c r="D6" i="26" s="1"/>
  <c r="AA13" i="20"/>
  <c r="F8" i="26" s="1"/>
  <c r="Z13" i="20"/>
  <c r="E8" i="26" s="1"/>
  <c r="Y13" i="20"/>
  <c r="D8" i="26" s="1"/>
  <c r="AA15" i="20"/>
  <c r="F10" i="26" s="1"/>
  <c r="Z15" i="20"/>
  <c r="E10" i="26" s="1"/>
  <c r="Y15" i="20"/>
  <c r="D10" i="26" s="1"/>
  <c r="AA17" i="20"/>
  <c r="F12" i="26" s="1"/>
  <c r="Z17" i="20"/>
  <c r="E12" i="26" s="1"/>
  <c r="Y17" i="20"/>
  <c r="D12" i="26" s="1"/>
  <c r="AA19" i="20"/>
  <c r="F14" i="26" s="1"/>
  <c r="Z19" i="20"/>
  <c r="E14" i="26" s="1"/>
  <c r="Y19" i="20"/>
  <c r="D14" i="26" s="1"/>
  <c r="AA21" i="20"/>
  <c r="F16" i="26" s="1"/>
  <c r="Z21" i="20"/>
  <c r="E16" i="26" s="1"/>
  <c r="Y21" i="20"/>
  <c r="D16" i="26" s="1"/>
  <c r="AA23" i="20"/>
  <c r="F18" i="26" s="1"/>
  <c r="Z23" i="20"/>
  <c r="E18" i="26" s="1"/>
  <c r="Y23" i="20"/>
  <c r="D18" i="26" s="1"/>
  <c r="AA25" i="20"/>
  <c r="F20" i="26" s="1"/>
  <c r="Z25" i="20"/>
  <c r="E20" i="26" s="1"/>
  <c r="Y25" i="20"/>
  <c r="D20" i="26" s="1"/>
  <c r="AA27" i="20"/>
  <c r="F22" i="26" s="1"/>
  <c r="Z27" i="20"/>
  <c r="E22" i="26" s="1"/>
  <c r="Y27" i="20"/>
  <c r="D22" i="26" s="1"/>
  <c r="AA29" i="20"/>
  <c r="F24" i="26" s="1"/>
  <c r="Z29" i="20"/>
  <c r="E24" i="26" s="1"/>
  <c r="Y29" i="20"/>
  <c r="D24" i="26" s="1"/>
  <c r="AA31" i="20"/>
  <c r="F26" i="26" s="1"/>
  <c r="Z31" i="20"/>
  <c r="E26" i="26" s="1"/>
  <c r="Y31" i="20"/>
  <c r="D26" i="26" s="1"/>
  <c r="AA33" i="20"/>
  <c r="Z33" i="20"/>
  <c r="E28" i="26" s="1"/>
  <c r="Y33" i="20"/>
  <c r="D28" i="26" s="1"/>
  <c r="AA35" i="20"/>
  <c r="F30" i="26" s="1"/>
  <c r="Z35" i="20"/>
  <c r="E30" i="26" s="1"/>
  <c r="Y35" i="20"/>
  <c r="D30" i="26" s="1"/>
  <c r="AA37" i="20"/>
  <c r="F32" i="26" s="1"/>
  <c r="Z37" i="20"/>
  <c r="E32" i="26" s="1"/>
  <c r="Y37" i="20"/>
  <c r="D32" i="26" s="1"/>
  <c r="AU37" i="20"/>
  <c r="Z32" i="26" s="1"/>
  <c r="AU35" i="20"/>
  <c r="Z30" i="26" s="1"/>
  <c r="AU33" i="20"/>
  <c r="Z28" i="26" s="1"/>
  <c r="AU31" i="20"/>
  <c r="Z26" i="26" s="1"/>
  <c r="AU29" i="20"/>
  <c r="AU27" i="20"/>
  <c r="Z22" i="26" s="1"/>
  <c r="AU25" i="20"/>
  <c r="Z20" i="26" s="1"/>
  <c r="AU23" i="20"/>
  <c r="Z18" i="26" s="1"/>
  <c r="AU21" i="20"/>
  <c r="Z16" i="26" s="1"/>
  <c r="AU19" i="20"/>
  <c r="Z14" i="26" s="1"/>
  <c r="AU17" i="20"/>
  <c r="Z12" i="26" s="1"/>
  <c r="AU15" i="20"/>
  <c r="AU13" i="20"/>
  <c r="Z8" i="26" s="1"/>
  <c r="AU11" i="20"/>
  <c r="Z6" i="26" s="1"/>
  <c r="AU9" i="20"/>
  <c r="AB57" i="16"/>
  <c r="AA57" i="16"/>
  <c r="Y57" i="16"/>
  <c r="X57" i="16"/>
  <c r="V57" i="16"/>
  <c r="U57" i="16"/>
  <c r="S57" i="16"/>
  <c r="R57" i="16"/>
  <c r="P57" i="16"/>
  <c r="O57" i="16"/>
  <c r="AB55" i="16"/>
  <c r="AA55" i="16"/>
  <c r="Y55" i="16"/>
  <c r="X55" i="16"/>
  <c r="V55" i="16"/>
  <c r="U55" i="16"/>
  <c r="S55" i="16"/>
  <c r="R55" i="16"/>
  <c r="P55" i="16"/>
  <c r="O55" i="16"/>
  <c r="AB53" i="16"/>
  <c r="AA53" i="16"/>
  <c r="Y53" i="16"/>
  <c r="X53" i="16"/>
  <c r="V53" i="16"/>
  <c r="U53" i="16"/>
  <c r="S53" i="16"/>
  <c r="R53" i="16"/>
  <c r="P53" i="16"/>
  <c r="O53" i="16"/>
  <c r="AB51" i="16"/>
  <c r="AA51" i="16"/>
  <c r="Y51" i="16"/>
  <c r="X51" i="16"/>
  <c r="V51" i="16"/>
  <c r="U51" i="16"/>
  <c r="S51" i="16"/>
  <c r="R51" i="16"/>
  <c r="P51" i="16"/>
  <c r="O51" i="16"/>
  <c r="AB49" i="16"/>
  <c r="AA49" i="16"/>
  <c r="Y49" i="16"/>
  <c r="X49" i="16"/>
  <c r="V49" i="16"/>
  <c r="U49" i="16"/>
  <c r="S49" i="16"/>
  <c r="R49" i="16"/>
  <c r="P49" i="16"/>
  <c r="O49" i="16"/>
  <c r="AB47" i="16"/>
  <c r="AA47" i="16"/>
  <c r="Y47" i="16"/>
  <c r="X47" i="16"/>
  <c r="V47" i="16"/>
  <c r="U47" i="16"/>
  <c r="S47" i="16"/>
  <c r="R47" i="16"/>
  <c r="P47" i="16"/>
  <c r="O47" i="16"/>
  <c r="AB45" i="16"/>
  <c r="AA45" i="16"/>
  <c r="Y45" i="16"/>
  <c r="X45" i="16"/>
  <c r="V45" i="16"/>
  <c r="U45" i="16"/>
  <c r="S45" i="16"/>
  <c r="R45" i="16"/>
  <c r="P45" i="16"/>
  <c r="O45" i="16"/>
  <c r="AB43" i="16"/>
  <c r="AA43" i="16"/>
  <c r="Y43" i="16"/>
  <c r="X43" i="16"/>
  <c r="V43" i="16"/>
  <c r="U43" i="16"/>
  <c r="S43" i="16"/>
  <c r="R43" i="16"/>
  <c r="P43" i="16"/>
  <c r="O43" i="16"/>
  <c r="AB41" i="16"/>
  <c r="AA41" i="16"/>
  <c r="Y41" i="16"/>
  <c r="X41" i="16"/>
  <c r="V41" i="16"/>
  <c r="U41" i="16"/>
  <c r="S41" i="16"/>
  <c r="R41" i="16"/>
  <c r="P41" i="16"/>
  <c r="O41" i="16"/>
  <c r="P36" i="16"/>
  <c r="O36" i="16"/>
  <c r="N36" i="16"/>
  <c r="P34" i="16"/>
  <c r="O34" i="16"/>
  <c r="N34" i="16"/>
  <c r="P32" i="16"/>
  <c r="O32" i="16"/>
  <c r="N32" i="16"/>
  <c r="P30" i="16"/>
  <c r="O30" i="16"/>
  <c r="N30" i="16"/>
  <c r="P28" i="16"/>
  <c r="O28" i="16"/>
  <c r="N28" i="16"/>
  <c r="P26" i="16"/>
  <c r="O26" i="16"/>
  <c r="N26" i="16"/>
  <c r="P24" i="16"/>
  <c r="O24" i="16"/>
  <c r="N24" i="16"/>
  <c r="P22" i="16"/>
  <c r="O22" i="16"/>
  <c r="N22" i="16"/>
  <c r="P20" i="16"/>
  <c r="O20" i="16"/>
  <c r="N20" i="16"/>
  <c r="P18" i="16"/>
  <c r="O18" i="16"/>
  <c r="N18" i="16"/>
  <c r="P16" i="16"/>
  <c r="O16" i="16"/>
  <c r="N16" i="16"/>
  <c r="P14" i="16"/>
  <c r="O14" i="16"/>
  <c r="N14" i="16"/>
  <c r="P12" i="16"/>
  <c r="O12" i="16"/>
  <c r="N12" i="16"/>
  <c r="P10" i="16"/>
  <c r="O10" i="16"/>
  <c r="N10" i="16"/>
  <c r="N8" i="16"/>
  <c r="P8" i="16"/>
  <c r="O8" i="16"/>
  <c r="C96" i="20"/>
  <c r="C182" i="9"/>
  <c r="C183" i="9"/>
  <c r="C184" i="9"/>
  <c r="C185" i="9"/>
  <c r="C186" i="9"/>
  <c r="C187" i="9"/>
  <c r="C188" i="9"/>
  <c r="C189" i="9"/>
  <c r="C190" i="9"/>
  <c r="C191" i="9"/>
  <c r="C192" i="9"/>
  <c r="C193" i="9"/>
  <c r="AP56" i="20" l="1"/>
  <c r="AP58" i="20"/>
  <c r="Z24" i="26"/>
  <c r="F28" i="26"/>
  <c r="Z10" i="26"/>
  <c r="U37" i="26"/>
  <c r="AO52" i="20"/>
  <c r="U41" i="26"/>
  <c r="Z45" i="26"/>
  <c r="AO44" i="20"/>
  <c r="K39" i="26"/>
  <c r="T39" i="26" s="1"/>
  <c r="AP54" i="20"/>
  <c r="F49" i="26"/>
  <c r="U49" i="26" s="1"/>
  <c r="T41" i="26"/>
  <c r="F51" i="26"/>
  <c r="U51" i="26" s="1"/>
  <c r="Z37" i="26"/>
  <c r="Z4" i="26"/>
  <c r="Z53" i="26"/>
  <c r="T49" i="26"/>
  <c r="AO56" i="20"/>
  <c r="K51" i="26"/>
  <c r="T51" i="26" s="1"/>
  <c r="AO48" i="20"/>
  <c r="K43" i="26"/>
  <c r="T43" i="26" s="1"/>
  <c r="I53" i="26"/>
  <c r="U53" i="26" s="1"/>
  <c r="AO42" i="20"/>
  <c r="AO58" i="20"/>
  <c r="AO54" i="20"/>
  <c r="T45" i="26"/>
  <c r="T37" i="26"/>
  <c r="U39" i="26"/>
  <c r="U47" i="26"/>
  <c r="T53" i="26"/>
  <c r="U45" i="26"/>
  <c r="T47" i="26"/>
  <c r="U43" i="26"/>
  <c r="AO50" i="20"/>
  <c r="AP52" i="20"/>
  <c r="AO46" i="20"/>
  <c r="AP48" i="20"/>
  <c r="AP50" i="20"/>
  <c r="AP42" i="20"/>
  <c r="AP44" i="20"/>
  <c r="AP46" i="20"/>
  <c r="AE57" i="16"/>
  <c r="AD55" i="16"/>
  <c r="AE55" i="16"/>
  <c r="AD53" i="16"/>
  <c r="AD49" i="16"/>
  <c r="AE47" i="16"/>
  <c r="AD43" i="16"/>
  <c r="AD57" i="16"/>
  <c r="AE49" i="16"/>
  <c r="AD51" i="16"/>
  <c r="AE53" i="16"/>
  <c r="AE43" i="16"/>
  <c r="AD47" i="16"/>
  <c r="AE51" i="16"/>
  <c r="AD45" i="16"/>
  <c r="AE45" i="16"/>
  <c r="AE41" i="16"/>
  <c r="AD41" i="16"/>
  <c r="H40" i="2" l="1"/>
  <c r="H39" i="2"/>
  <c r="H38" i="2"/>
  <c r="H37" i="2"/>
  <c r="H36" i="2"/>
  <c r="H35" i="2"/>
  <c r="H34" i="2"/>
  <c r="Y48" i="20" l="1"/>
  <c r="D43" i="26" s="1"/>
  <c r="N47" i="16"/>
  <c r="N49" i="16"/>
  <c r="Y50" i="20"/>
  <c r="D45" i="26" s="1"/>
  <c r="Y46" i="20"/>
  <c r="D41" i="26" s="1"/>
  <c r="N45" i="16"/>
  <c r="Y52" i="20"/>
  <c r="D47" i="26" s="1"/>
  <c r="N51" i="16"/>
  <c r="N55" i="16"/>
  <c r="Y56" i="20"/>
  <c r="D51" i="26" s="1"/>
  <c r="Y54" i="20"/>
  <c r="D49" i="26" s="1"/>
  <c r="N53" i="16"/>
  <c r="Y58" i="20"/>
  <c r="D53" i="26" s="1"/>
  <c r="N57" i="16"/>
  <c r="A5" i="4"/>
  <c r="K5" i="4"/>
  <c r="K5" i="5"/>
  <c r="K5" i="13"/>
  <c r="K5" i="14"/>
  <c r="K38" i="2"/>
  <c r="N38" i="2"/>
  <c r="O38" i="2" s="1"/>
  <c r="E9" i="4"/>
  <c r="Q15" i="4" s="1"/>
  <c r="E9" i="5"/>
  <c r="Q15" i="5" s="1"/>
  <c r="E9" i="13"/>
  <c r="Q18" i="13" s="1"/>
  <c r="E9" i="14"/>
  <c r="Q15" i="14" s="1"/>
  <c r="T16" i="2"/>
  <c r="T17" i="2"/>
  <c r="T18" i="2"/>
  <c r="T19" i="2"/>
  <c r="T20" i="2"/>
  <c r="T21" i="2"/>
  <c r="T22" i="2"/>
  <c r="T23" i="2"/>
  <c r="T24" i="2"/>
  <c r="T25" i="2"/>
  <c r="Q26" i="14"/>
  <c r="T26" i="2"/>
  <c r="T27" i="2"/>
  <c r="Q28" i="14"/>
  <c r="T28" i="2"/>
  <c r="T29" i="2"/>
  <c r="K10" i="2"/>
  <c r="K8" i="4" s="1"/>
  <c r="K2" i="4"/>
  <c r="K2" i="5"/>
  <c r="K2" i="13"/>
  <c r="K2" i="14"/>
  <c r="N32" i="2"/>
  <c r="C41" i="20" s="1"/>
  <c r="O39" i="6"/>
  <c r="B78" i="18"/>
  <c r="B77" i="18"/>
  <c r="B76" i="18"/>
  <c r="B75" i="18"/>
  <c r="B74" i="18"/>
  <c r="B73" i="18"/>
  <c r="U83" i="18"/>
  <c r="U84" i="18"/>
  <c r="U85" i="18"/>
  <c r="U86" i="18"/>
  <c r="A81" i="18"/>
  <c r="A78" i="18"/>
  <c r="A77" i="18"/>
  <c r="A76" i="18"/>
  <c r="A75" i="18"/>
  <c r="A4" i="18"/>
  <c r="U4" i="18" s="1"/>
  <c r="O805" i="9"/>
  <c r="M805" i="9"/>
  <c r="F805" i="9"/>
  <c r="E805" i="9"/>
  <c r="D805" i="9"/>
  <c r="C805" i="9"/>
  <c r="O804" i="9"/>
  <c r="M804" i="9"/>
  <c r="F804" i="9"/>
  <c r="E804" i="9"/>
  <c r="D804" i="9"/>
  <c r="C804" i="9"/>
  <c r="O803" i="9"/>
  <c r="M803" i="9"/>
  <c r="F803" i="9"/>
  <c r="E803" i="9"/>
  <c r="D803" i="9"/>
  <c r="C803" i="9"/>
  <c r="O802" i="9"/>
  <c r="M802" i="9"/>
  <c r="F802" i="9"/>
  <c r="E802" i="9"/>
  <c r="D802" i="9"/>
  <c r="C802" i="9"/>
  <c r="O801" i="9"/>
  <c r="M801" i="9"/>
  <c r="F801" i="9"/>
  <c r="E801" i="9"/>
  <c r="D801" i="9"/>
  <c r="C801" i="9"/>
  <c r="O800" i="9"/>
  <c r="M800" i="9"/>
  <c r="F800" i="9"/>
  <c r="E800" i="9"/>
  <c r="D800" i="9"/>
  <c r="C800" i="9"/>
  <c r="O799" i="9"/>
  <c r="M799" i="9"/>
  <c r="F799" i="9"/>
  <c r="E799" i="9"/>
  <c r="D799" i="9"/>
  <c r="C799" i="9"/>
  <c r="O798" i="9"/>
  <c r="M798" i="9"/>
  <c r="F798" i="9"/>
  <c r="E798" i="9"/>
  <c r="D798" i="9"/>
  <c r="C798" i="9"/>
  <c r="O797" i="9"/>
  <c r="M797" i="9"/>
  <c r="F797" i="9"/>
  <c r="E797" i="9"/>
  <c r="D797" i="9"/>
  <c r="C797" i="9"/>
  <c r="O796" i="9"/>
  <c r="M796" i="9"/>
  <c r="F796" i="9"/>
  <c r="E796" i="9"/>
  <c r="D796" i="9"/>
  <c r="C796" i="9"/>
  <c r="O795" i="9"/>
  <c r="M795" i="9"/>
  <c r="F795" i="9"/>
  <c r="E795" i="9"/>
  <c r="D795" i="9"/>
  <c r="C795" i="9"/>
  <c r="O794" i="9"/>
  <c r="M794" i="9"/>
  <c r="F794" i="9"/>
  <c r="E794" i="9"/>
  <c r="D794" i="9"/>
  <c r="C794" i="9"/>
  <c r="O793" i="9"/>
  <c r="M793" i="9"/>
  <c r="F793" i="9"/>
  <c r="E793" i="9"/>
  <c r="D793" i="9"/>
  <c r="C793" i="9"/>
  <c r="O792" i="9"/>
  <c r="M792" i="9"/>
  <c r="F792" i="9"/>
  <c r="E792" i="9"/>
  <c r="D792" i="9"/>
  <c r="C792" i="9"/>
  <c r="O791" i="9"/>
  <c r="M791" i="9"/>
  <c r="F791" i="9"/>
  <c r="E791" i="9"/>
  <c r="D791" i="9"/>
  <c r="C791" i="9"/>
  <c r="O790" i="9"/>
  <c r="M790" i="9"/>
  <c r="F790" i="9"/>
  <c r="E790" i="9"/>
  <c r="D790" i="9"/>
  <c r="C790" i="9"/>
  <c r="O789" i="9"/>
  <c r="M789" i="9"/>
  <c r="F789" i="9"/>
  <c r="E789" i="9"/>
  <c r="D789" i="9"/>
  <c r="C789" i="9"/>
  <c r="O788" i="9"/>
  <c r="M788" i="9"/>
  <c r="F788" i="9"/>
  <c r="E788" i="9"/>
  <c r="D788" i="9"/>
  <c r="C788" i="9"/>
  <c r="O787" i="9"/>
  <c r="M787" i="9"/>
  <c r="F787" i="9"/>
  <c r="E787" i="9"/>
  <c r="D787" i="9"/>
  <c r="C787" i="9"/>
  <c r="O786" i="9"/>
  <c r="M786" i="9"/>
  <c r="F786" i="9"/>
  <c r="E786" i="9"/>
  <c r="D786" i="9"/>
  <c r="C786" i="9"/>
  <c r="O785" i="9"/>
  <c r="M785" i="9"/>
  <c r="F785" i="9"/>
  <c r="E785" i="9"/>
  <c r="D785" i="9"/>
  <c r="C785" i="9"/>
  <c r="O784" i="9"/>
  <c r="M784" i="9"/>
  <c r="F784" i="9"/>
  <c r="E784" i="9"/>
  <c r="D784" i="9"/>
  <c r="C784" i="9"/>
  <c r="O783" i="9"/>
  <c r="M783" i="9"/>
  <c r="F783" i="9"/>
  <c r="E783" i="9"/>
  <c r="D783" i="9"/>
  <c r="C783" i="9"/>
  <c r="O782" i="9"/>
  <c r="M782" i="9"/>
  <c r="F782" i="9"/>
  <c r="E782" i="9"/>
  <c r="D782" i="9"/>
  <c r="C782" i="9"/>
  <c r="O781" i="9"/>
  <c r="M781" i="9"/>
  <c r="F781" i="9"/>
  <c r="E781" i="9"/>
  <c r="D781" i="9"/>
  <c r="C781" i="9"/>
  <c r="O780" i="9"/>
  <c r="M780" i="9"/>
  <c r="F780" i="9"/>
  <c r="E780" i="9"/>
  <c r="D780" i="9"/>
  <c r="C780" i="9"/>
  <c r="O779" i="9"/>
  <c r="M779" i="9"/>
  <c r="F779" i="9"/>
  <c r="E779" i="9"/>
  <c r="D779" i="9"/>
  <c r="C779" i="9"/>
  <c r="O778" i="9"/>
  <c r="M778" i="9"/>
  <c r="F778" i="9"/>
  <c r="E778" i="9"/>
  <c r="D778" i="9"/>
  <c r="C778" i="9"/>
  <c r="O777" i="9"/>
  <c r="M777" i="9"/>
  <c r="F777" i="9"/>
  <c r="E777" i="9"/>
  <c r="D777" i="9"/>
  <c r="C777" i="9"/>
  <c r="O776" i="9"/>
  <c r="M776" i="9"/>
  <c r="F776" i="9"/>
  <c r="E776" i="9"/>
  <c r="D776" i="9"/>
  <c r="C776" i="9"/>
  <c r="O775" i="9"/>
  <c r="M775" i="9"/>
  <c r="F775" i="9"/>
  <c r="E775" i="9"/>
  <c r="D775" i="9"/>
  <c r="C775" i="9"/>
  <c r="O774" i="9"/>
  <c r="M774" i="9"/>
  <c r="F774" i="9"/>
  <c r="E774" i="9"/>
  <c r="D774" i="9"/>
  <c r="C774" i="9"/>
  <c r="O773" i="9"/>
  <c r="M773" i="9"/>
  <c r="F773" i="9"/>
  <c r="E773" i="9"/>
  <c r="D773" i="9"/>
  <c r="C773" i="9"/>
  <c r="O772" i="9"/>
  <c r="M772" i="9"/>
  <c r="F772" i="9"/>
  <c r="E772" i="9"/>
  <c r="D772" i="9"/>
  <c r="C772" i="9"/>
  <c r="O771" i="9"/>
  <c r="M771" i="9"/>
  <c r="F771" i="9"/>
  <c r="E771" i="9"/>
  <c r="D771" i="9"/>
  <c r="C771" i="9"/>
  <c r="O770" i="9"/>
  <c r="M770" i="9"/>
  <c r="F770" i="9"/>
  <c r="E770" i="9"/>
  <c r="D770" i="9"/>
  <c r="C770" i="9"/>
  <c r="O769" i="9"/>
  <c r="M769" i="9"/>
  <c r="F769" i="9"/>
  <c r="E769" i="9"/>
  <c r="D769" i="9"/>
  <c r="C769" i="9"/>
  <c r="O768" i="9"/>
  <c r="M768" i="9"/>
  <c r="F768" i="9"/>
  <c r="E768" i="9"/>
  <c r="D768" i="9"/>
  <c r="C768" i="9"/>
  <c r="O767" i="9"/>
  <c r="M767" i="9"/>
  <c r="F767" i="9"/>
  <c r="E767" i="9"/>
  <c r="D767" i="9"/>
  <c r="C767" i="9"/>
  <c r="O766" i="9"/>
  <c r="M766" i="9"/>
  <c r="F766" i="9"/>
  <c r="E766" i="9"/>
  <c r="D766" i="9"/>
  <c r="C766" i="9"/>
  <c r="O765" i="9"/>
  <c r="M765" i="9"/>
  <c r="F765" i="9"/>
  <c r="E765" i="9"/>
  <c r="D765" i="9"/>
  <c r="C765" i="9"/>
  <c r="O764" i="9"/>
  <c r="M764" i="9"/>
  <c r="F764" i="9"/>
  <c r="E764" i="9"/>
  <c r="D764" i="9"/>
  <c r="C764" i="9"/>
  <c r="O763" i="9"/>
  <c r="M763" i="9"/>
  <c r="F763" i="9"/>
  <c r="E763" i="9"/>
  <c r="D763" i="9"/>
  <c r="C763" i="9"/>
  <c r="O762" i="9"/>
  <c r="M762" i="9"/>
  <c r="F762" i="9"/>
  <c r="E762" i="9"/>
  <c r="D762" i="9"/>
  <c r="C762" i="9"/>
  <c r="O761" i="9"/>
  <c r="M761" i="9"/>
  <c r="F761" i="9"/>
  <c r="E761" i="9"/>
  <c r="D761" i="9"/>
  <c r="C761" i="9"/>
  <c r="O760" i="9"/>
  <c r="M760" i="9"/>
  <c r="F760" i="9"/>
  <c r="E760" i="9"/>
  <c r="D760" i="9"/>
  <c r="C760" i="9"/>
  <c r="O759" i="9"/>
  <c r="M759" i="9"/>
  <c r="F759" i="9"/>
  <c r="E759" i="9"/>
  <c r="D759" i="9"/>
  <c r="C759" i="9"/>
  <c r="O758" i="9"/>
  <c r="M758" i="9"/>
  <c r="F758" i="9"/>
  <c r="E758" i="9"/>
  <c r="D758" i="9"/>
  <c r="C758" i="9"/>
  <c r="O757" i="9"/>
  <c r="M757" i="9"/>
  <c r="F757" i="9"/>
  <c r="E757" i="9"/>
  <c r="D757" i="9"/>
  <c r="C757" i="9"/>
  <c r="O756" i="9"/>
  <c r="M756" i="9"/>
  <c r="F756" i="9"/>
  <c r="E756" i="9"/>
  <c r="D756" i="9"/>
  <c r="C756" i="9"/>
  <c r="O755" i="9"/>
  <c r="M755" i="9"/>
  <c r="F755" i="9"/>
  <c r="E755" i="9"/>
  <c r="D755" i="9"/>
  <c r="C755" i="9"/>
  <c r="O754" i="9"/>
  <c r="M754" i="9"/>
  <c r="F754" i="9"/>
  <c r="E754" i="9"/>
  <c r="D754" i="9"/>
  <c r="C754" i="9"/>
  <c r="O753" i="9"/>
  <c r="M753" i="9"/>
  <c r="F753" i="9"/>
  <c r="E753" i="9"/>
  <c r="D753" i="9"/>
  <c r="C753" i="9"/>
  <c r="O752" i="9"/>
  <c r="M752" i="9"/>
  <c r="F752" i="9"/>
  <c r="E752" i="9"/>
  <c r="D752" i="9"/>
  <c r="C752" i="9"/>
  <c r="O751" i="9"/>
  <c r="M751" i="9"/>
  <c r="F751" i="9"/>
  <c r="E751" i="9"/>
  <c r="D751" i="9"/>
  <c r="C751" i="9"/>
  <c r="O750" i="9"/>
  <c r="M750" i="9"/>
  <c r="F750" i="9"/>
  <c r="E750" i="9"/>
  <c r="D750" i="9"/>
  <c r="C750" i="9"/>
  <c r="O749" i="9"/>
  <c r="M749" i="9"/>
  <c r="F749" i="9"/>
  <c r="E749" i="9"/>
  <c r="D749" i="9"/>
  <c r="C749" i="9"/>
  <c r="O748" i="9"/>
  <c r="M748" i="9"/>
  <c r="F748" i="9"/>
  <c r="E748" i="9"/>
  <c r="D748" i="9"/>
  <c r="C748" i="9"/>
  <c r="O747" i="9"/>
  <c r="M747" i="9"/>
  <c r="F747" i="9"/>
  <c r="E747" i="9"/>
  <c r="D747" i="9"/>
  <c r="C747" i="9"/>
  <c r="O746" i="9"/>
  <c r="M746" i="9"/>
  <c r="F746" i="9"/>
  <c r="E746" i="9"/>
  <c r="D746" i="9"/>
  <c r="C746" i="9"/>
  <c r="O745" i="9"/>
  <c r="M745" i="9"/>
  <c r="F745" i="9"/>
  <c r="E745" i="9"/>
  <c r="D745" i="9"/>
  <c r="C745" i="9"/>
  <c r="O744" i="9"/>
  <c r="M744" i="9"/>
  <c r="F744" i="9"/>
  <c r="E744" i="9"/>
  <c r="D744" i="9"/>
  <c r="C744" i="9"/>
  <c r="O743" i="9"/>
  <c r="M743" i="9"/>
  <c r="F743" i="9"/>
  <c r="E743" i="9"/>
  <c r="D743" i="9"/>
  <c r="C743" i="9"/>
  <c r="O742" i="9"/>
  <c r="M742" i="9"/>
  <c r="F742" i="9"/>
  <c r="E742" i="9"/>
  <c r="D742" i="9"/>
  <c r="C742" i="9"/>
  <c r="O741" i="9"/>
  <c r="M741" i="9"/>
  <c r="F741" i="9"/>
  <c r="E741" i="9"/>
  <c r="D741" i="9"/>
  <c r="C741" i="9"/>
  <c r="O740" i="9"/>
  <c r="M740" i="9"/>
  <c r="F740" i="9"/>
  <c r="E740" i="9"/>
  <c r="D740" i="9"/>
  <c r="C740" i="9"/>
  <c r="O739" i="9"/>
  <c r="M739" i="9"/>
  <c r="F739" i="9"/>
  <c r="E739" i="9"/>
  <c r="D739" i="9"/>
  <c r="C739" i="9"/>
  <c r="O738" i="9"/>
  <c r="M738" i="9"/>
  <c r="F738" i="9"/>
  <c r="E738" i="9"/>
  <c r="D738" i="9"/>
  <c r="C738" i="9"/>
  <c r="O737" i="9"/>
  <c r="M737" i="9"/>
  <c r="F737" i="9"/>
  <c r="E737" i="9"/>
  <c r="D737" i="9"/>
  <c r="C737" i="9"/>
  <c r="O736" i="9"/>
  <c r="M736" i="9"/>
  <c r="F736" i="9"/>
  <c r="E736" i="9"/>
  <c r="D736" i="9"/>
  <c r="C736" i="9"/>
  <c r="O735" i="9"/>
  <c r="M735" i="9"/>
  <c r="F735" i="9"/>
  <c r="E735" i="9"/>
  <c r="D735" i="9"/>
  <c r="C735" i="9"/>
  <c r="O734" i="9"/>
  <c r="M734" i="9"/>
  <c r="F734" i="9"/>
  <c r="E734" i="9"/>
  <c r="D734" i="9"/>
  <c r="C734" i="9"/>
  <c r="O733" i="9"/>
  <c r="M733" i="9"/>
  <c r="F733" i="9"/>
  <c r="E733" i="9"/>
  <c r="D733" i="9"/>
  <c r="C733" i="9"/>
  <c r="O732" i="9"/>
  <c r="M732" i="9"/>
  <c r="F732" i="9"/>
  <c r="E732" i="9"/>
  <c r="D732" i="9"/>
  <c r="C732" i="9"/>
  <c r="O731" i="9"/>
  <c r="M731" i="9"/>
  <c r="F731" i="9"/>
  <c r="E731" i="9"/>
  <c r="D731" i="9"/>
  <c r="C731" i="9"/>
  <c r="O730" i="9"/>
  <c r="M730" i="9"/>
  <c r="F730" i="9"/>
  <c r="E730" i="9"/>
  <c r="D730" i="9"/>
  <c r="C730" i="9"/>
  <c r="O729" i="9"/>
  <c r="M729" i="9"/>
  <c r="F729" i="9"/>
  <c r="E729" i="9"/>
  <c r="D729" i="9"/>
  <c r="C729" i="9"/>
  <c r="O728" i="9"/>
  <c r="M728" i="9"/>
  <c r="F728" i="9"/>
  <c r="E728" i="9"/>
  <c r="D728" i="9"/>
  <c r="C728" i="9"/>
  <c r="O727" i="9"/>
  <c r="M727" i="9"/>
  <c r="F727" i="9"/>
  <c r="E727" i="9"/>
  <c r="D727" i="9"/>
  <c r="C727" i="9"/>
  <c r="O726" i="9"/>
  <c r="M726" i="9"/>
  <c r="F726" i="9"/>
  <c r="E726" i="9"/>
  <c r="D726" i="9"/>
  <c r="C726" i="9"/>
  <c r="O725" i="9"/>
  <c r="M725" i="9"/>
  <c r="F725" i="9"/>
  <c r="E725" i="9"/>
  <c r="D725" i="9"/>
  <c r="C725" i="9"/>
  <c r="O724" i="9"/>
  <c r="M724" i="9"/>
  <c r="F724" i="9"/>
  <c r="E724" i="9"/>
  <c r="D724" i="9"/>
  <c r="C724" i="9"/>
  <c r="O723" i="9"/>
  <c r="M723" i="9"/>
  <c r="F723" i="9"/>
  <c r="E723" i="9"/>
  <c r="D723" i="9"/>
  <c r="C723" i="9"/>
  <c r="O722" i="9"/>
  <c r="M722" i="9"/>
  <c r="F722" i="9"/>
  <c r="E722" i="9"/>
  <c r="D722" i="9"/>
  <c r="C722" i="9"/>
  <c r="O721" i="9"/>
  <c r="M721" i="9"/>
  <c r="F721" i="9"/>
  <c r="E721" i="9"/>
  <c r="D721" i="9"/>
  <c r="C721" i="9"/>
  <c r="O720" i="9"/>
  <c r="M720" i="9"/>
  <c r="F720" i="9"/>
  <c r="E720" i="9"/>
  <c r="D720" i="9"/>
  <c r="C720" i="9"/>
  <c r="O719" i="9"/>
  <c r="M719" i="9"/>
  <c r="F719" i="9"/>
  <c r="E719" i="9"/>
  <c r="D719" i="9"/>
  <c r="C719" i="9"/>
  <c r="O718" i="9"/>
  <c r="M718" i="9"/>
  <c r="F718" i="9"/>
  <c r="E718" i="9"/>
  <c r="D718" i="9"/>
  <c r="C718" i="9"/>
  <c r="O717" i="9"/>
  <c r="M717" i="9"/>
  <c r="F717" i="9"/>
  <c r="E717" i="9"/>
  <c r="D717" i="9"/>
  <c r="C717" i="9"/>
  <c r="O716" i="9"/>
  <c r="M716" i="9"/>
  <c r="F716" i="9"/>
  <c r="E716" i="9"/>
  <c r="D716" i="9"/>
  <c r="C716" i="9"/>
  <c r="O715" i="9"/>
  <c r="M715" i="9"/>
  <c r="F715" i="9"/>
  <c r="E715" i="9"/>
  <c r="D715" i="9"/>
  <c r="C715" i="9"/>
  <c r="O714" i="9"/>
  <c r="M714" i="9"/>
  <c r="F714" i="9"/>
  <c r="E714" i="9"/>
  <c r="D714" i="9"/>
  <c r="C714" i="9"/>
  <c r="O713" i="9"/>
  <c r="M713" i="9"/>
  <c r="F713" i="9"/>
  <c r="E713" i="9"/>
  <c r="D713" i="9"/>
  <c r="C713" i="9"/>
  <c r="O712" i="9"/>
  <c r="M712" i="9"/>
  <c r="F712" i="9"/>
  <c r="E712" i="9"/>
  <c r="D712" i="9"/>
  <c r="C712" i="9"/>
  <c r="O711" i="9"/>
  <c r="M711" i="9"/>
  <c r="F711" i="9"/>
  <c r="E711" i="9"/>
  <c r="D711" i="9"/>
  <c r="C711" i="9"/>
  <c r="O710" i="9"/>
  <c r="M710" i="9"/>
  <c r="F710" i="9"/>
  <c r="E710" i="9"/>
  <c r="D710" i="9"/>
  <c r="C710" i="9"/>
  <c r="O709" i="9"/>
  <c r="M709" i="9"/>
  <c r="F709" i="9"/>
  <c r="E709" i="9"/>
  <c r="D709" i="9"/>
  <c r="C709" i="9"/>
  <c r="O708" i="9"/>
  <c r="M708" i="9"/>
  <c r="F708" i="9"/>
  <c r="E708" i="9"/>
  <c r="D708" i="9"/>
  <c r="C708" i="9"/>
  <c r="O707" i="9"/>
  <c r="M707" i="9"/>
  <c r="F707" i="9"/>
  <c r="E707" i="9"/>
  <c r="D707" i="9"/>
  <c r="C707" i="9"/>
  <c r="O706" i="9"/>
  <c r="M706" i="9"/>
  <c r="F706" i="9"/>
  <c r="E706" i="9"/>
  <c r="D706" i="9"/>
  <c r="C706" i="9"/>
  <c r="O705" i="9"/>
  <c r="M705" i="9"/>
  <c r="F705" i="9"/>
  <c r="E705" i="9"/>
  <c r="D705" i="9"/>
  <c r="C705" i="9"/>
  <c r="O704" i="9"/>
  <c r="M704" i="9"/>
  <c r="F704" i="9"/>
  <c r="E704" i="9"/>
  <c r="D704" i="9"/>
  <c r="C704" i="9"/>
  <c r="O703" i="9"/>
  <c r="M703" i="9"/>
  <c r="F703" i="9"/>
  <c r="E703" i="9"/>
  <c r="D703" i="9"/>
  <c r="C703" i="9"/>
  <c r="O702" i="9"/>
  <c r="M702" i="9"/>
  <c r="F702" i="9"/>
  <c r="E702" i="9"/>
  <c r="D702" i="9"/>
  <c r="C702" i="9"/>
  <c r="O701" i="9"/>
  <c r="M701" i="9"/>
  <c r="F701" i="9"/>
  <c r="E701" i="9"/>
  <c r="D701" i="9"/>
  <c r="C701" i="9"/>
  <c r="O700" i="9"/>
  <c r="M700" i="9"/>
  <c r="F700" i="9"/>
  <c r="E700" i="9"/>
  <c r="D700" i="9"/>
  <c r="C700" i="9"/>
  <c r="O699" i="9"/>
  <c r="M699" i="9"/>
  <c r="F699" i="9"/>
  <c r="E699" i="9"/>
  <c r="D699" i="9"/>
  <c r="C699" i="9"/>
  <c r="O698" i="9"/>
  <c r="M698" i="9"/>
  <c r="F698" i="9"/>
  <c r="E698" i="9"/>
  <c r="D698" i="9"/>
  <c r="C698" i="9"/>
  <c r="O697" i="9"/>
  <c r="M697" i="9"/>
  <c r="F697" i="9"/>
  <c r="E697" i="9"/>
  <c r="D697" i="9"/>
  <c r="C697" i="9"/>
  <c r="O696" i="9"/>
  <c r="M696" i="9"/>
  <c r="F696" i="9"/>
  <c r="E696" i="9"/>
  <c r="D696" i="9"/>
  <c r="C696" i="9"/>
  <c r="O695" i="9"/>
  <c r="M695" i="9"/>
  <c r="F695" i="9"/>
  <c r="E695" i="9"/>
  <c r="D695" i="9"/>
  <c r="C695" i="9"/>
  <c r="O694" i="9"/>
  <c r="M694" i="9"/>
  <c r="F694" i="9"/>
  <c r="E694" i="9"/>
  <c r="D694" i="9"/>
  <c r="C694" i="9"/>
  <c r="O693" i="9"/>
  <c r="M693" i="9"/>
  <c r="F693" i="9"/>
  <c r="E693" i="9"/>
  <c r="D693" i="9"/>
  <c r="C693" i="9"/>
  <c r="O692" i="9"/>
  <c r="M692" i="9"/>
  <c r="F692" i="9"/>
  <c r="E692" i="9"/>
  <c r="D692" i="9"/>
  <c r="C692" i="9"/>
  <c r="O691" i="9"/>
  <c r="M691" i="9"/>
  <c r="F691" i="9"/>
  <c r="E691" i="9"/>
  <c r="D691" i="9"/>
  <c r="C691" i="9"/>
  <c r="O690" i="9"/>
  <c r="M690" i="9"/>
  <c r="F690" i="9"/>
  <c r="E690" i="9"/>
  <c r="D690" i="9"/>
  <c r="C690" i="9"/>
  <c r="O689" i="9"/>
  <c r="M689" i="9"/>
  <c r="F689" i="9"/>
  <c r="E689" i="9"/>
  <c r="D689" i="9"/>
  <c r="C689" i="9"/>
  <c r="O688" i="9"/>
  <c r="M688" i="9"/>
  <c r="F688" i="9"/>
  <c r="E688" i="9"/>
  <c r="D688" i="9"/>
  <c r="C688" i="9"/>
  <c r="O687" i="9"/>
  <c r="M687" i="9"/>
  <c r="F687" i="9"/>
  <c r="E687" i="9"/>
  <c r="D687" i="9"/>
  <c r="C687" i="9"/>
  <c r="O686" i="9"/>
  <c r="M686" i="9"/>
  <c r="F686" i="9"/>
  <c r="E686" i="9"/>
  <c r="D686" i="9"/>
  <c r="C686" i="9"/>
  <c r="O685" i="9"/>
  <c r="M685" i="9"/>
  <c r="F685" i="9"/>
  <c r="E685" i="9"/>
  <c r="D685" i="9"/>
  <c r="C685" i="9"/>
  <c r="O684" i="9"/>
  <c r="M684" i="9"/>
  <c r="F684" i="9"/>
  <c r="E684" i="9"/>
  <c r="D684" i="9"/>
  <c r="C684" i="9"/>
  <c r="O683" i="9"/>
  <c r="M683" i="9"/>
  <c r="F683" i="9"/>
  <c r="E683" i="9"/>
  <c r="D683" i="9"/>
  <c r="C683" i="9"/>
  <c r="O682" i="9"/>
  <c r="M682" i="9"/>
  <c r="F682" i="9"/>
  <c r="E682" i="9"/>
  <c r="D682" i="9"/>
  <c r="C682" i="9"/>
  <c r="O681" i="9"/>
  <c r="M681" i="9"/>
  <c r="F681" i="9"/>
  <c r="E681" i="9"/>
  <c r="D681" i="9"/>
  <c r="C681" i="9"/>
  <c r="O680" i="9"/>
  <c r="M680" i="9"/>
  <c r="F680" i="9"/>
  <c r="E680" i="9"/>
  <c r="D680" i="9"/>
  <c r="C680" i="9"/>
  <c r="O679" i="9"/>
  <c r="M679" i="9"/>
  <c r="F679" i="9"/>
  <c r="E679" i="9"/>
  <c r="D679" i="9"/>
  <c r="C679" i="9"/>
  <c r="O678" i="9"/>
  <c r="M678" i="9"/>
  <c r="F678" i="9"/>
  <c r="E678" i="9"/>
  <c r="D678" i="9"/>
  <c r="C678" i="9"/>
  <c r="O677" i="9"/>
  <c r="M677" i="9"/>
  <c r="F677" i="9"/>
  <c r="E677" i="9"/>
  <c r="D677" i="9"/>
  <c r="C677" i="9"/>
  <c r="O676" i="9"/>
  <c r="M676" i="9"/>
  <c r="F676" i="9"/>
  <c r="E676" i="9"/>
  <c r="D676" i="9"/>
  <c r="C676" i="9"/>
  <c r="O675" i="9"/>
  <c r="M675" i="9"/>
  <c r="F675" i="9"/>
  <c r="E675" i="9"/>
  <c r="D675" i="9"/>
  <c r="C675" i="9"/>
  <c r="O674" i="9"/>
  <c r="M674" i="9"/>
  <c r="F674" i="9"/>
  <c r="E674" i="9"/>
  <c r="D674" i="9"/>
  <c r="C674" i="9"/>
  <c r="O673" i="9"/>
  <c r="M673" i="9"/>
  <c r="F673" i="9"/>
  <c r="E673" i="9"/>
  <c r="D673" i="9"/>
  <c r="C673" i="9"/>
  <c r="O672" i="9"/>
  <c r="M672" i="9"/>
  <c r="F672" i="9"/>
  <c r="E672" i="9"/>
  <c r="D672" i="9"/>
  <c r="C672" i="9"/>
  <c r="O671" i="9"/>
  <c r="M671" i="9"/>
  <c r="F671" i="9"/>
  <c r="E671" i="9"/>
  <c r="D671" i="9"/>
  <c r="C671" i="9"/>
  <c r="O670" i="9"/>
  <c r="M670" i="9"/>
  <c r="F670" i="9"/>
  <c r="E670" i="9"/>
  <c r="D670" i="9"/>
  <c r="C670" i="9"/>
  <c r="O669" i="9"/>
  <c r="M669" i="9"/>
  <c r="F669" i="9"/>
  <c r="E669" i="9"/>
  <c r="D669" i="9"/>
  <c r="C669" i="9"/>
  <c r="O668" i="9"/>
  <c r="M668" i="9"/>
  <c r="F668" i="9"/>
  <c r="E668" i="9"/>
  <c r="D668" i="9"/>
  <c r="C668" i="9"/>
  <c r="O667" i="9"/>
  <c r="M667" i="9"/>
  <c r="F667" i="9"/>
  <c r="E667" i="9"/>
  <c r="D667" i="9"/>
  <c r="C667" i="9"/>
  <c r="O666" i="9"/>
  <c r="M666" i="9"/>
  <c r="F666" i="9"/>
  <c r="E666" i="9"/>
  <c r="D666" i="9"/>
  <c r="C666" i="9"/>
  <c r="O665" i="9"/>
  <c r="M665" i="9"/>
  <c r="F665" i="9"/>
  <c r="E665" i="9"/>
  <c r="D665" i="9"/>
  <c r="C665" i="9"/>
  <c r="O664" i="9"/>
  <c r="M664" i="9"/>
  <c r="F664" i="9"/>
  <c r="E664" i="9"/>
  <c r="D664" i="9"/>
  <c r="C664" i="9"/>
  <c r="O663" i="9"/>
  <c r="M663" i="9"/>
  <c r="F663" i="9"/>
  <c r="E663" i="9"/>
  <c r="D663" i="9"/>
  <c r="C663" i="9"/>
  <c r="O662" i="9"/>
  <c r="M662" i="9"/>
  <c r="F662" i="9"/>
  <c r="E662" i="9"/>
  <c r="D662" i="9"/>
  <c r="C662" i="9"/>
  <c r="O661" i="9"/>
  <c r="M661" i="9"/>
  <c r="F661" i="9"/>
  <c r="E661" i="9"/>
  <c r="D661" i="9"/>
  <c r="C661" i="9"/>
  <c r="O660" i="9"/>
  <c r="M660" i="9"/>
  <c r="F660" i="9"/>
  <c r="E660" i="9"/>
  <c r="D660" i="9"/>
  <c r="C660" i="9"/>
  <c r="O659" i="9"/>
  <c r="M659" i="9"/>
  <c r="F659" i="9"/>
  <c r="E659" i="9"/>
  <c r="D659" i="9"/>
  <c r="C659" i="9"/>
  <c r="O658" i="9"/>
  <c r="M658" i="9"/>
  <c r="F658" i="9"/>
  <c r="E658" i="9"/>
  <c r="D658" i="9"/>
  <c r="C658" i="9"/>
  <c r="O657" i="9"/>
  <c r="M657" i="9"/>
  <c r="F657" i="9"/>
  <c r="E657" i="9"/>
  <c r="D657" i="9"/>
  <c r="C657" i="9"/>
  <c r="O656" i="9"/>
  <c r="M656" i="9"/>
  <c r="F656" i="9"/>
  <c r="E656" i="9"/>
  <c r="D656" i="9"/>
  <c r="C656" i="9"/>
  <c r="O655" i="9"/>
  <c r="M655" i="9"/>
  <c r="F655" i="9"/>
  <c r="E655" i="9"/>
  <c r="D655" i="9"/>
  <c r="C655" i="9"/>
  <c r="O654" i="9"/>
  <c r="M654" i="9"/>
  <c r="F654" i="9"/>
  <c r="E654" i="9"/>
  <c r="D654" i="9"/>
  <c r="C654" i="9"/>
  <c r="O653" i="9"/>
  <c r="M653" i="9"/>
  <c r="F653" i="9"/>
  <c r="E653" i="9"/>
  <c r="D653" i="9"/>
  <c r="C653" i="9"/>
  <c r="O652" i="9"/>
  <c r="M652" i="9"/>
  <c r="F652" i="9"/>
  <c r="E652" i="9"/>
  <c r="D652" i="9"/>
  <c r="C652" i="9"/>
  <c r="O651" i="9"/>
  <c r="M651" i="9"/>
  <c r="F651" i="9"/>
  <c r="E651" i="9"/>
  <c r="D651" i="9"/>
  <c r="C651" i="9"/>
  <c r="O650" i="9"/>
  <c r="M650" i="9"/>
  <c r="F650" i="9"/>
  <c r="E650" i="9"/>
  <c r="D650" i="9"/>
  <c r="C650" i="9"/>
  <c r="O649" i="9"/>
  <c r="M649" i="9"/>
  <c r="F649" i="9"/>
  <c r="E649" i="9"/>
  <c r="D649" i="9"/>
  <c r="C649" i="9"/>
  <c r="O648" i="9"/>
  <c r="M648" i="9"/>
  <c r="F648" i="9"/>
  <c r="E648" i="9"/>
  <c r="D648" i="9"/>
  <c r="C648" i="9"/>
  <c r="O647" i="9"/>
  <c r="M647" i="9"/>
  <c r="F647" i="9"/>
  <c r="E647" i="9"/>
  <c r="D647" i="9"/>
  <c r="C647" i="9"/>
  <c r="O646" i="9"/>
  <c r="M646" i="9"/>
  <c r="F646" i="9"/>
  <c r="E646" i="9"/>
  <c r="D646" i="9"/>
  <c r="C646" i="9"/>
  <c r="O645" i="9"/>
  <c r="M645" i="9"/>
  <c r="F645" i="9"/>
  <c r="E645" i="9"/>
  <c r="D645" i="9"/>
  <c r="C645" i="9"/>
  <c r="O644" i="9"/>
  <c r="M644" i="9"/>
  <c r="F644" i="9"/>
  <c r="E644" i="9"/>
  <c r="D644" i="9"/>
  <c r="C644" i="9"/>
  <c r="O643" i="9"/>
  <c r="M643" i="9"/>
  <c r="F643" i="9"/>
  <c r="E643" i="9"/>
  <c r="D643" i="9"/>
  <c r="C643" i="9"/>
  <c r="O642" i="9"/>
  <c r="M642" i="9"/>
  <c r="F642" i="9"/>
  <c r="E642" i="9"/>
  <c r="D642" i="9"/>
  <c r="C642" i="9"/>
  <c r="O641" i="9"/>
  <c r="M641" i="9"/>
  <c r="F641" i="9"/>
  <c r="E641" i="9"/>
  <c r="D641" i="9"/>
  <c r="C641" i="9"/>
  <c r="O640" i="9"/>
  <c r="M640" i="9"/>
  <c r="F640" i="9"/>
  <c r="E640" i="9"/>
  <c r="D640" i="9"/>
  <c r="C640" i="9"/>
  <c r="O639" i="9"/>
  <c r="M639" i="9"/>
  <c r="F639" i="9"/>
  <c r="E639" i="9"/>
  <c r="D639" i="9"/>
  <c r="C639" i="9"/>
  <c r="O638" i="9"/>
  <c r="M638" i="9"/>
  <c r="F638" i="9"/>
  <c r="E638" i="9"/>
  <c r="D638" i="9"/>
  <c r="C638" i="9"/>
  <c r="O637" i="9"/>
  <c r="M637" i="9"/>
  <c r="F637" i="9"/>
  <c r="E637" i="9"/>
  <c r="D637" i="9"/>
  <c r="C637" i="9"/>
  <c r="O636" i="9"/>
  <c r="M636" i="9"/>
  <c r="F636" i="9"/>
  <c r="E636" i="9"/>
  <c r="D636" i="9"/>
  <c r="C636" i="9"/>
  <c r="O635" i="9"/>
  <c r="M635" i="9"/>
  <c r="F635" i="9"/>
  <c r="E635" i="9"/>
  <c r="D635" i="9"/>
  <c r="C635" i="9"/>
  <c r="O634" i="9"/>
  <c r="M634" i="9"/>
  <c r="F634" i="9"/>
  <c r="E634" i="9"/>
  <c r="D634" i="9"/>
  <c r="C634" i="9"/>
  <c r="O633" i="9"/>
  <c r="M633" i="9"/>
  <c r="F633" i="9"/>
  <c r="E633" i="9"/>
  <c r="D633" i="9"/>
  <c r="C633" i="9"/>
  <c r="O632" i="9"/>
  <c r="M632" i="9"/>
  <c r="F632" i="9"/>
  <c r="E632" i="9"/>
  <c r="D632" i="9"/>
  <c r="C632" i="9"/>
  <c r="O631" i="9"/>
  <c r="M631" i="9"/>
  <c r="F631" i="9"/>
  <c r="E631" i="9"/>
  <c r="D631" i="9"/>
  <c r="C631" i="9"/>
  <c r="O630" i="9"/>
  <c r="M630" i="9"/>
  <c r="F630" i="9"/>
  <c r="E630" i="9"/>
  <c r="D630" i="9"/>
  <c r="C630" i="9"/>
  <c r="O629" i="9"/>
  <c r="M629" i="9"/>
  <c r="F629" i="9"/>
  <c r="E629" i="9"/>
  <c r="D629" i="9"/>
  <c r="C629" i="9"/>
  <c r="O628" i="9"/>
  <c r="M628" i="9"/>
  <c r="F628" i="9"/>
  <c r="E628" i="9"/>
  <c r="D628" i="9"/>
  <c r="C628" i="9"/>
  <c r="O627" i="9"/>
  <c r="M627" i="9"/>
  <c r="F627" i="9"/>
  <c r="E627" i="9"/>
  <c r="D627" i="9"/>
  <c r="C627" i="9"/>
  <c r="O626" i="9"/>
  <c r="M626" i="9"/>
  <c r="F626" i="9"/>
  <c r="E626" i="9"/>
  <c r="D626" i="9"/>
  <c r="C626" i="9"/>
  <c r="O625" i="9"/>
  <c r="M625" i="9"/>
  <c r="F625" i="9"/>
  <c r="E625" i="9"/>
  <c r="D625" i="9"/>
  <c r="C625" i="9"/>
  <c r="O624" i="9"/>
  <c r="M624" i="9"/>
  <c r="F624" i="9"/>
  <c r="E624" i="9"/>
  <c r="D624" i="9"/>
  <c r="C624" i="9"/>
  <c r="O623" i="9"/>
  <c r="M623" i="9"/>
  <c r="F623" i="9"/>
  <c r="E623" i="9"/>
  <c r="D623" i="9"/>
  <c r="C623" i="9"/>
  <c r="O622" i="9"/>
  <c r="M622" i="9"/>
  <c r="F622" i="9"/>
  <c r="E622" i="9"/>
  <c r="D622" i="9"/>
  <c r="C622" i="9"/>
  <c r="O621" i="9"/>
  <c r="M621" i="9"/>
  <c r="F621" i="9"/>
  <c r="E621" i="9"/>
  <c r="D621" i="9"/>
  <c r="C621" i="9"/>
  <c r="O620" i="9"/>
  <c r="M620" i="9"/>
  <c r="F620" i="9"/>
  <c r="E620" i="9"/>
  <c r="D620" i="9"/>
  <c r="C620" i="9"/>
  <c r="O619" i="9"/>
  <c r="M619" i="9"/>
  <c r="F619" i="9"/>
  <c r="E619" i="9"/>
  <c r="D619" i="9"/>
  <c r="C619" i="9"/>
  <c r="O618" i="9"/>
  <c r="M618" i="9"/>
  <c r="F618" i="9"/>
  <c r="E618" i="9"/>
  <c r="D618" i="9"/>
  <c r="C618" i="9"/>
  <c r="O617" i="9"/>
  <c r="M617" i="9"/>
  <c r="F617" i="9"/>
  <c r="E617" i="9"/>
  <c r="D617" i="9"/>
  <c r="C617" i="9"/>
  <c r="O616" i="9"/>
  <c r="M616" i="9"/>
  <c r="F616" i="9"/>
  <c r="E616" i="9"/>
  <c r="D616" i="9"/>
  <c r="C616" i="9"/>
  <c r="O615" i="9"/>
  <c r="M615" i="9"/>
  <c r="F615" i="9"/>
  <c r="E615" i="9"/>
  <c r="D615" i="9"/>
  <c r="C615" i="9"/>
  <c r="O614" i="9"/>
  <c r="M614" i="9"/>
  <c r="F614" i="9"/>
  <c r="E614" i="9"/>
  <c r="D614" i="9"/>
  <c r="C614" i="9"/>
  <c r="O613" i="9"/>
  <c r="M613" i="9"/>
  <c r="F613" i="9"/>
  <c r="E613" i="9"/>
  <c r="D613" i="9"/>
  <c r="C613" i="9"/>
  <c r="O612" i="9"/>
  <c r="M612" i="9"/>
  <c r="F612" i="9"/>
  <c r="E612" i="9"/>
  <c r="D612" i="9"/>
  <c r="C612" i="9"/>
  <c r="O611" i="9"/>
  <c r="M611" i="9"/>
  <c r="F611" i="9"/>
  <c r="E611" i="9"/>
  <c r="D611" i="9"/>
  <c r="C611" i="9"/>
  <c r="O610" i="9"/>
  <c r="M610" i="9"/>
  <c r="F610" i="9"/>
  <c r="E610" i="9"/>
  <c r="D610" i="9"/>
  <c r="C610" i="9"/>
  <c r="O609" i="9"/>
  <c r="M609" i="9"/>
  <c r="F609" i="9"/>
  <c r="E609" i="9"/>
  <c r="D609" i="9"/>
  <c r="C609" i="9"/>
  <c r="O608" i="9"/>
  <c r="M608" i="9"/>
  <c r="F608" i="9"/>
  <c r="E608" i="9"/>
  <c r="D608" i="9"/>
  <c r="C608" i="9"/>
  <c r="O607" i="9"/>
  <c r="M607" i="9"/>
  <c r="F607" i="9"/>
  <c r="E607" i="9"/>
  <c r="D607" i="9"/>
  <c r="C607" i="9"/>
  <c r="O606" i="9"/>
  <c r="M606" i="9"/>
  <c r="F606" i="9"/>
  <c r="E606" i="9"/>
  <c r="D606" i="9"/>
  <c r="C606" i="9"/>
  <c r="O605" i="9"/>
  <c r="M605" i="9"/>
  <c r="F605" i="9"/>
  <c r="E605" i="9"/>
  <c r="D605" i="9"/>
  <c r="C605" i="9"/>
  <c r="O604" i="9"/>
  <c r="M604" i="9"/>
  <c r="F604" i="9"/>
  <c r="E604" i="9"/>
  <c r="D604" i="9"/>
  <c r="C604" i="9"/>
  <c r="O603" i="9"/>
  <c r="M603" i="9"/>
  <c r="F603" i="9"/>
  <c r="E603" i="9"/>
  <c r="D603" i="9"/>
  <c r="C603" i="9"/>
  <c r="O602" i="9"/>
  <c r="M602" i="9"/>
  <c r="F602" i="9"/>
  <c r="E602" i="9"/>
  <c r="D602" i="9"/>
  <c r="C602" i="9"/>
  <c r="O601" i="9"/>
  <c r="M601" i="9"/>
  <c r="F601" i="9"/>
  <c r="E601" i="9"/>
  <c r="D601" i="9"/>
  <c r="C601" i="9"/>
  <c r="O600" i="9"/>
  <c r="M600" i="9"/>
  <c r="F600" i="9"/>
  <c r="E600" i="9"/>
  <c r="D600" i="9"/>
  <c r="C600" i="9"/>
  <c r="O599" i="9"/>
  <c r="M599" i="9"/>
  <c r="F599" i="9"/>
  <c r="E599" i="9"/>
  <c r="D599" i="9"/>
  <c r="C599" i="9"/>
  <c r="O598" i="9"/>
  <c r="M598" i="9"/>
  <c r="F598" i="9"/>
  <c r="E598" i="9"/>
  <c r="D598" i="9"/>
  <c r="C598" i="9"/>
  <c r="O597" i="9"/>
  <c r="M597" i="9"/>
  <c r="F597" i="9"/>
  <c r="E597" i="9"/>
  <c r="D597" i="9"/>
  <c r="C597" i="9"/>
  <c r="O596" i="9"/>
  <c r="M596" i="9"/>
  <c r="F596" i="9"/>
  <c r="E596" i="9"/>
  <c r="D596" i="9"/>
  <c r="C596" i="9"/>
  <c r="O595" i="9"/>
  <c r="M595" i="9"/>
  <c r="F595" i="9"/>
  <c r="E595" i="9"/>
  <c r="D595" i="9"/>
  <c r="C595" i="9"/>
  <c r="O594" i="9"/>
  <c r="M594" i="9"/>
  <c r="F594" i="9"/>
  <c r="E594" i="9"/>
  <c r="D594" i="9"/>
  <c r="C594" i="9"/>
  <c r="O593" i="9"/>
  <c r="M593" i="9"/>
  <c r="F593" i="9"/>
  <c r="E593" i="9"/>
  <c r="D593" i="9"/>
  <c r="C593" i="9"/>
  <c r="O592" i="9"/>
  <c r="M592" i="9"/>
  <c r="F592" i="9"/>
  <c r="E592" i="9"/>
  <c r="D592" i="9"/>
  <c r="C592" i="9"/>
  <c r="O591" i="9"/>
  <c r="M591" i="9"/>
  <c r="F591" i="9"/>
  <c r="E591" i="9"/>
  <c r="D591" i="9"/>
  <c r="C591" i="9"/>
  <c r="O590" i="9"/>
  <c r="M590" i="9"/>
  <c r="F590" i="9"/>
  <c r="E590" i="9"/>
  <c r="D590" i="9"/>
  <c r="C590" i="9"/>
  <c r="O589" i="9"/>
  <c r="M589" i="9"/>
  <c r="F589" i="9"/>
  <c r="E589" i="9"/>
  <c r="D589" i="9"/>
  <c r="C589" i="9"/>
  <c r="O588" i="9"/>
  <c r="M588" i="9"/>
  <c r="F588" i="9"/>
  <c r="E588" i="9"/>
  <c r="D588" i="9"/>
  <c r="C588" i="9"/>
  <c r="O587" i="9"/>
  <c r="M587" i="9"/>
  <c r="F587" i="9"/>
  <c r="E587" i="9"/>
  <c r="D587" i="9"/>
  <c r="C587" i="9"/>
  <c r="O586" i="9"/>
  <c r="M586" i="9"/>
  <c r="F586" i="9"/>
  <c r="E586" i="9"/>
  <c r="D586" i="9"/>
  <c r="C586" i="9"/>
  <c r="O585" i="9"/>
  <c r="M585" i="9"/>
  <c r="F585" i="9"/>
  <c r="E585" i="9"/>
  <c r="D585" i="9"/>
  <c r="C585" i="9"/>
  <c r="O584" i="9"/>
  <c r="M584" i="9"/>
  <c r="F584" i="9"/>
  <c r="E584" i="9"/>
  <c r="D584" i="9"/>
  <c r="C584" i="9"/>
  <c r="O583" i="9"/>
  <c r="M583" i="9"/>
  <c r="F583" i="9"/>
  <c r="E583" i="9"/>
  <c r="D583" i="9"/>
  <c r="C583" i="9"/>
  <c r="O582" i="9"/>
  <c r="M582" i="9"/>
  <c r="F582" i="9"/>
  <c r="E582" i="9"/>
  <c r="D582" i="9"/>
  <c r="C582" i="9"/>
  <c r="O581" i="9"/>
  <c r="M581" i="9"/>
  <c r="F581" i="9"/>
  <c r="E581" i="9"/>
  <c r="D581" i="9"/>
  <c r="C581" i="9"/>
  <c r="O580" i="9"/>
  <c r="M580" i="9"/>
  <c r="F580" i="9"/>
  <c r="E580" i="9"/>
  <c r="D580" i="9"/>
  <c r="C580" i="9"/>
  <c r="O579" i="9"/>
  <c r="M579" i="9"/>
  <c r="F579" i="9"/>
  <c r="E579" i="9"/>
  <c r="D579" i="9"/>
  <c r="C579" i="9"/>
  <c r="O578" i="9"/>
  <c r="M578" i="9"/>
  <c r="F578" i="9"/>
  <c r="E578" i="9"/>
  <c r="D578" i="9"/>
  <c r="C578" i="9"/>
  <c r="O577" i="9"/>
  <c r="M577" i="9"/>
  <c r="F577" i="9"/>
  <c r="E577" i="9"/>
  <c r="D577" i="9"/>
  <c r="C577" i="9"/>
  <c r="O576" i="9"/>
  <c r="M576" i="9"/>
  <c r="F576" i="9"/>
  <c r="E576" i="9"/>
  <c r="D576" i="9"/>
  <c r="C576" i="9"/>
  <c r="O575" i="9"/>
  <c r="M575" i="9"/>
  <c r="F575" i="9"/>
  <c r="E575" i="9"/>
  <c r="D575" i="9"/>
  <c r="C575" i="9"/>
  <c r="O574" i="9"/>
  <c r="M574" i="9"/>
  <c r="F574" i="9"/>
  <c r="E574" i="9"/>
  <c r="D574" i="9"/>
  <c r="C574" i="9"/>
  <c r="O573" i="9"/>
  <c r="M573" i="9"/>
  <c r="F573" i="9"/>
  <c r="E573" i="9"/>
  <c r="D573" i="9"/>
  <c r="C573" i="9"/>
  <c r="O572" i="9"/>
  <c r="M572" i="9"/>
  <c r="F572" i="9"/>
  <c r="E572" i="9"/>
  <c r="D572" i="9"/>
  <c r="C572" i="9"/>
  <c r="O571" i="9"/>
  <c r="M571" i="9"/>
  <c r="F571" i="9"/>
  <c r="E571" i="9"/>
  <c r="D571" i="9"/>
  <c r="C571" i="9"/>
  <c r="O570" i="9"/>
  <c r="M570" i="9"/>
  <c r="F570" i="9"/>
  <c r="E570" i="9"/>
  <c r="D570" i="9"/>
  <c r="C570" i="9"/>
  <c r="O569" i="9"/>
  <c r="M569" i="9"/>
  <c r="F569" i="9"/>
  <c r="E569" i="9"/>
  <c r="D569" i="9"/>
  <c r="C569" i="9"/>
  <c r="O568" i="9"/>
  <c r="M568" i="9"/>
  <c r="F568" i="9"/>
  <c r="E568" i="9"/>
  <c r="D568" i="9"/>
  <c r="C568" i="9"/>
  <c r="O567" i="9"/>
  <c r="M567" i="9"/>
  <c r="F567" i="9"/>
  <c r="E567" i="9"/>
  <c r="D567" i="9"/>
  <c r="C567" i="9"/>
  <c r="O566" i="9"/>
  <c r="M566" i="9"/>
  <c r="F566" i="9"/>
  <c r="E566" i="9"/>
  <c r="D566" i="9"/>
  <c r="C566" i="9"/>
  <c r="O565" i="9"/>
  <c r="M565" i="9"/>
  <c r="F565" i="9"/>
  <c r="E565" i="9"/>
  <c r="D565" i="9"/>
  <c r="C565" i="9"/>
  <c r="O564" i="9"/>
  <c r="M564" i="9"/>
  <c r="F564" i="9"/>
  <c r="E564" i="9"/>
  <c r="D564" i="9"/>
  <c r="C564" i="9"/>
  <c r="O563" i="9"/>
  <c r="M563" i="9"/>
  <c r="F563" i="9"/>
  <c r="E563" i="9"/>
  <c r="D563" i="9"/>
  <c r="C563" i="9"/>
  <c r="O562" i="9"/>
  <c r="M562" i="9"/>
  <c r="F562" i="9"/>
  <c r="E562" i="9"/>
  <c r="D562" i="9"/>
  <c r="C562" i="9"/>
  <c r="O561" i="9"/>
  <c r="M561" i="9"/>
  <c r="F561" i="9"/>
  <c r="E561" i="9"/>
  <c r="D561" i="9"/>
  <c r="C561" i="9"/>
  <c r="O560" i="9"/>
  <c r="M560" i="9"/>
  <c r="F560" i="9"/>
  <c r="E560" i="9"/>
  <c r="D560" i="9"/>
  <c r="C560" i="9"/>
  <c r="O559" i="9"/>
  <c r="M559" i="9"/>
  <c r="F559" i="9"/>
  <c r="E559" i="9"/>
  <c r="D559" i="9"/>
  <c r="C559" i="9"/>
  <c r="O558" i="9"/>
  <c r="M558" i="9"/>
  <c r="F558" i="9"/>
  <c r="E558" i="9"/>
  <c r="D558" i="9"/>
  <c r="C558" i="9"/>
  <c r="O557" i="9"/>
  <c r="M557" i="9"/>
  <c r="F557" i="9"/>
  <c r="E557" i="9"/>
  <c r="D557" i="9"/>
  <c r="C557" i="9"/>
  <c r="O556" i="9"/>
  <c r="M556" i="9"/>
  <c r="F556" i="9"/>
  <c r="E556" i="9"/>
  <c r="D556" i="9"/>
  <c r="C556" i="9"/>
  <c r="O555" i="9"/>
  <c r="M555" i="9"/>
  <c r="F555" i="9"/>
  <c r="E555" i="9"/>
  <c r="D555" i="9"/>
  <c r="C555" i="9"/>
  <c r="O554" i="9"/>
  <c r="M554" i="9"/>
  <c r="F554" i="9"/>
  <c r="E554" i="9"/>
  <c r="D554" i="9"/>
  <c r="C554" i="9"/>
  <c r="O553" i="9"/>
  <c r="M553" i="9"/>
  <c r="F553" i="9"/>
  <c r="E553" i="9"/>
  <c r="D553" i="9"/>
  <c r="C553" i="9"/>
  <c r="O552" i="9"/>
  <c r="M552" i="9"/>
  <c r="F552" i="9"/>
  <c r="E552" i="9"/>
  <c r="D552" i="9"/>
  <c r="C552" i="9"/>
  <c r="O551" i="9"/>
  <c r="M551" i="9"/>
  <c r="F551" i="9"/>
  <c r="E551" i="9"/>
  <c r="D551" i="9"/>
  <c r="C551" i="9"/>
  <c r="O550" i="9"/>
  <c r="M550" i="9"/>
  <c r="F550" i="9"/>
  <c r="E550" i="9"/>
  <c r="D550" i="9"/>
  <c r="C550" i="9"/>
  <c r="O549" i="9"/>
  <c r="M549" i="9"/>
  <c r="F549" i="9"/>
  <c r="E549" i="9"/>
  <c r="D549" i="9"/>
  <c r="C549" i="9"/>
  <c r="O548" i="9"/>
  <c r="M548" i="9"/>
  <c r="F548" i="9"/>
  <c r="E548" i="9"/>
  <c r="D548" i="9"/>
  <c r="C548" i="9"/>
  <c r="O547" i="9"/>
  <c r="M547" i="9"/>
  <c r="F547" i="9"/>
  <c r="E547" i="9"/>
  <c r="D547" i="9"/>
  <c r="C547" i="9"/>
  <c r="O546" i="9"/>
  <c r="M546" i="9"/>
  <c r="F546" i="9"/>
  <c r="E546" i="9"/>
  <c r="D546" i="9"/>
  <c r="C546" i="9"/>
  <c r="O545" i="9"/>
  <c r="M545" i="9"/>
  <c r="F545" i="9"/>
  <c r="E545" i="9"/>
  <c r="D545" i="9"/>
  <c r="C545" i="9"/>
  <c r="O544" i="9"/>
  <c r="M544" i="9"/>
  <c r="F544" i="9"/>
  <c r="E544" i="9"/>
  <c r="D544" i="9"/>
  <c r="C544" i="9"/>
  <c r="O543" i="9"/>
  <c r="M543" i="9"/>
  <c r="F543" i="9"/>
  <c r="E543" i="9"/>
  <c r="D543" i="9"/>
  <c r="C543" i="9"/>
  <c r="O542" i="9"/>
  <c r="M542" i="9"/>
  <c r="F542" i="9"/>
  <c r="E542" i="9"/>
  <c r="D542" i="9"/>
  <c r="C542" i="9"/>
  <c r="O541" i="9"/>
  <c r="M541" i="9"/>
  <c r="F541" i="9"/>
  <c r="E541" i="9"/>
  <c r="D541" i="9"/>
  <c r="C541" i="9"/>
  <c r="O540" i="9"/>
  <c r="M540" i="9"/>
  <c r="F540" i="9"/>
  <c r="E540" i="9"/>
  <c r="D540" i="9"/>
  <c r="C540" i="9"/>
  <c r="O539" i="9"/>
  <c r="M539" i="9"/>
  <c r="F539" i="9"/>
  <c r="E539" i="9"/>
  <c r="D539" i="9"/>
  <c r="C539" i="9"/>
  <c r="O538" i="9"/>
  <c r="M538" i="9"/>
  <c r="F538" i="9"/>
  <c r="E538" i="9"/>
  <c r="D538" i="9"/>
  <c r="C538" i="9"/>
  <c r="O537" i="9"/>
  <c r="M537" i="9"/>
  <c r="F537" i="9"/>
  <c r="E537" i="9"/>
  <c r="D537" i="9"/>
  <c r="C537" i="9"/>
  <c r="O536" i="9"/>
  <c r="M536" i="9"/>
  <c r="F536" i="9"/>
  <c r="E536" i="9"/>
  <c r="D536" i="9"/>
  <c r="C536" i="9"/>
  <c r="O535" i="9"/>
  <c r="M535" i="9"/>
  <c r="F535" i="9"/>
  <c r="E535" i="9"/>
  <c r="D535" i="9"/>
  <c r="C535" i="9"/>
  <c r="O534" i="9"/>
  <c r="M534" i="9"/>
  <c r="F534" i="9"/>
  <c r="E534" i="9"/>
  <c r="D534" i="9"/>
  <c r="C534" i="9"/>
  <c r="O533" i="9"/>
  <c r="M533" i="9"/>
  <c r="F533" i="9"/>
  <c r="E533" i="9"/>
  <c r="D533" i="9"/>
  <c r="C533" i="9"/>
  <c r="O532" i="9"/>
  <c r="M532" i="9"/>
  <c r="F532" i="9"/>
  <c r="E532" i="9"/>
  <c r="D532" i="9"/>
  <c r="C532" i="9"/>
  <c r="O531" i="9"/>
  <c r="M531" i="9"/>
  <c r="F531" i="9"/>
  <c r="E531" i="9"/>
  <c r="D531" i="9"/>
  <c r="C531" i="9"/>
  <c r="O530" i="9"/>
  <c r="M530" i="9"/>
  <c r="F530" i="9"/>
  <c r="E530" i="9"/>
  <c r="D530" i="9"/>
  <c r="C530" i="9"/>
  <c r="O529" i="9"/>
  <c r="M529" i="9"/>
  <c r="F529" i="9"/>
  <c r="E529" i="9"/>
  <c r="D529" i="9"/>
  <c r="C529" i="9"/>
  <c r="O528" i="9"/>
  <c r="M528" i="9"/>
  <c r="F528" i="9"/>
  <c r="E528" i="9"/>
  <c r="D528" i="9"/>
  <c r="C528" i="9"/>
  <c r="O527" i="9"/>
  <c r="M527" i="9"/>
  <c r="F527" i="9"/>
  <c r="E527" i="9"/>
  <c r="D527" i="9"/>
  <c r="C527" i="9"/>
  <c r="O526" i="9"/>
  <c r="M526" i="9"/>
  <c r="F526" i="9"/>
  <c r="E526" i="9"/>
  <c r="D526" i="9"/>
  <c r="C526" i="9"/>
  <c r="O525" i="9"/>
  <c r="M525" i="9"/>
  <c r="F525" i="9"/>
  <c r="E525" i="9"/>
  <c r="D525" i="9"/>
  <c r="C525" i="9"/>
  <c r="O524" i="9"/>
  <c r="M524" i="9"/>
  <c r="F524" i="9"/>
  <c r="E524" i="9"/>
  <c r="D524" i="9"/>
  <c r="C524" i="9"/>
  <c r="O523" i="9"/>
  <c r="M523" i="9"/>
  <c r="F523" i="9"/>
  <c r="E523" i="9"/>
  <c r="D523" i="9"/>
  <c r="C523" i="9"/>
  <c r="O522" i="9"/>
  <c r="M522" i="9"/>
  <c r="F522" i="9"/>
  <c r="E522" i="9"/>
  <c r="D522" i="9"/>
  <c r="C522" i="9"/>
  <c r="O521" i="9"/>
  <c r="M521" i="9"/>
  <c r="F521" i="9"/>
  <c r="E521" i="9"/>
  <c r="D521" i="9"/>
  <c r="C521" i="9"/>
  <c r="O520" i="9"/>
  <c r="M520" i="9"/>
  <c r="F520" i="9"/>
  <c r="E520" i="9"/>
  <c r="D520" i="9"/>
  <c r="C520" i="9"/>
  <c r="O519" i="9"/>
  <c r="M519" i="9"/>
  <c r="F519" i="9"/>
  <c r="E519" i="9"/>
  <c r="D519" i="9"/>
  <c r="C519" i="9"/>
  <c r="O518" i="9"/>
  <c r="M518" i="9"/>
  <c r="F518" i="9"/>
  <c r="E518" i="9"/>
  <c r="D518" i="9"/>
  <c r="C518" i="9"/>
  <c r="O517" i="9"/>
  <c r="M517" i="9"/>
  <c r="F517" i="9"/>
  <c r="E517" i="9"/>
  <c r="D517" i="9"/>
  <c r="C517" i="9"/>
  <c r="O516" i="9"/>
  <c r="M516" i="9"/>
  <c r="F516" i="9"/>
  <c r="E516" i="9"/>
  <c r="D516" i="9"/>
  <c r="C516" i="9"/>
  <c r="O515" i="9"/>
  <c r="M515" i="9"/>
  <c r="F515" i="9"/>
  <c r="E515" i="9"/>
  <c r="D515" i="9"/>
  <c r="C515" i="9"/>
  <c r="O514" i="9"/>
  <c r="M514" i="9"/>
  <c r="F514" i="9"/>
  <c r="E514" i="9"/>
  <c r="D514" i="9"/>
  <c r="C514" i="9"/>
  <c r="O513" i="9"/>
  <c r="M513" i="9"/>
  <c r="F513" i="9"/>
  <c r="E513" i="9"/>
  <c r="D513" i="9"/>
  <c r="C513" i="9"/>
  <c r="O512" i="9"/>
  <c r="M512" i="9"/>
  <c r="F512" i="9"/>
  <c r="E512" i="9"/>
  <c r="D512" i="9"/>
  <c r="C512" i="9"/>
  <c r="O511" i="9"/>
  <c r="M511" i="9"/>
  <c r="F511" i="9"/>
  <c r="E511" i="9"/>
  <c r="D511" i="9"/>
  <c r="C511" i="9"/>
  <c r="O510" i="9"/>
  <c r="M510" i="9"/>
  <c r="F510" i="9"/>
  <c r="E510" i="9"/>
  <c r="D510" i="9"/>
  <c r="C510" i="9"/>
  <c r="O509" i="9"/>
  <c r="M509" i="9"/>
  <c r="F509" i="9"/>
  <c r="E509" i="9"/>
  <c r="D509" i="9"/>
  <c r="C509" i="9"/>
  <c r="O508" i="9"/>
  <c r="M508" i="9"/>
  <c r="F508" i="9"/>
  <c r="E508" i="9"/>
  <c r="D508" i="9"/>
  <c r="C508" i="9"/>
  <c r="O507" i="9"/>
  <c r="M507" i="9"/>
  <c r="F507" i="9"/>
  <c r="E507" i="9"/>
  <c r="D507" i="9"/>
  <c r="C507" i="9"/>
  <c r="O506" i="9"/>
  <c r="M506" i="9"/>
  <c r="F506" i="9"/>
  <c r="E506" i="9"/>
  <c r="D506" i="9"/>
  <c r="C506" i="9"/>
  <c r="O505" i="9"/>
  <c r="M505" i="9"/>
  <c r="F505" i="9"/>
  <c r="E505" i="9"/>
  <c r="D505" i="9"/>
  <c r="C505" i="9"/>
  <c r="O504" i="9"/>
  <c r="M504" i="9"/>
  <c r="F504" i="9"/>
  <c r="E504" i="9"/>
  <c r="D504" i="9"/>
  <c r="C504" i="9"/>
  <c r="O503" i="9"/>
  <c r="M503" i="9"/>
  <c r="F503" i="9"/>
  <c r="E503" i="9"/>
  <c r="D503" i="9"/>
  <c r="C503" i="9"/>
  <c r="O502" i="9"/>
  <c r="M502" i="9"/>
  <c r="F502" i="9"/>
  <c r="E502" i="9"/>
  <c r="D502" i="9"/>
  <c r="C502" i="9"/>
  <c r="O501" i="9"/>
  <c r="M501" i="9"/>
  <c r="F501" i="9"/>
  <c r="E501" i="9"/>
  <c r="D501" i="9"/>
  <c r="C501" i="9"/>
  <c r="O500" i="9"/>
  <c r="M500" i="9"/>
  <c r="F500" i="9"/>
  <c r="E500" i="9"/>
  <c r="D500" i="9"/>
  <c r="C500" i="9"/>
  <c r="O499" i="9"/>
  <c r="M499" i="9"/>
  <c r="F499" i="9"/>
  <c r="E499" i="9"/>
  <c r="D499" i="9"/>
  <c r="C499" i="9"/>
  <c r="O498" i="9"/>
  <c r="M498" i="9"/>
  <c r="F498" i="9"/>
  <c r="E498" i="9"/>
  <c r="D498" i="9"/>
  <c r="C498" i="9"/>
  <c r="O497" i="9"/>
  <c r="M497" i="9"/>
  <c r="F497" i="9"/>
  <c r="E497" i="9"/>
  <c r="D497" i="9"/>
  <c r="C497" i="9"/>
  <c r="O496" i="9"/>
  <c r="M496" i="9"/>
  <c r="F496" i="9"/>
  <c r="E496" i="9"/>
  <c r="D496" i="9"/>
  <c r="C496" i="9"/>
  <c r="O495" i="9"/>
  <c r="M495" i="9"/>
  <c r="F495" i="9"/>
  <c r="E495" i="9"/>
  <c r="D495" i="9"/>
  <c r="C495" i="9"/>
  <c r="O494" i="9"/>
  <c r="M494" i="9"/>
  <c r="F494" i="9"/>
  <c r="E494" i="9"/>
  <c r="D494" i="9"/>
  <c r="C494" i="9"/>
  <c r="O493" i="9"/>
  <c r="M493" i="9"/>
  <c r="F493" i="9"/>
  <c r="E493" i="9"/>
  <c r="D493" i="9"/>
  <c r="C493" i="9"/>
  <c r="O492" i="9"/>
  <c r="M492" i="9"/>
  <c r="F492" i="9"/>
  <c r="E492" i="9"/>
  <c r="D492" i="9"/>
  <c r="C492" i="9"/>
  <c r="O491" i="9"/>
  <c r="M491" i="9"/>
  <c r="F491" i="9"/>
  <c r="E491" i="9"/>
  <c r="D491" i="9"/>
  <c r="C491" i="9"/>
  <c r="O490" i="9"/>
  <c r="M490" i="9"/>
  <c r="F490" i="9"/>
  <c r="E490" i="9"/>
  <c r="D490" i="9"/>
  <c r="C490" i="9"/>
  <c r="O489" i="9"/>
  <c r="M489" i="9"/>
  <c r="F489" i="9"/>
  <c r="E489" i="9"/>
  <c r="D489" i="9"/>
  <c r="C489" i="9"/>
  <c r="O488" i="9"/>
  <c r="M488" i="9"/>
  <c r="F488" i="9"/>
  <c r="E488" i="9"/>
  <c r="D488" i="9"/>
  <c r="C488" i="9"/>
  <c r="O487" i="9"/>
  <c r="M487" i="9"/>
  <c r="F487" i="9"/>
  <c r="E487" i="9"/>
  <c r="D487" i="9"/>
  <c r="C487" i="9"/>
  <c r="O486" i="9"/>
  <c r="M486" i="9"/>
  <c r="F486" i="9"/>
  <c r="E486" i="9"/>
  <c r="D486" i="9"/>
  <c r="C486" i="9"/>
  <c r="O485" i="9"/>
  <c r="M485" i="9"/>
  <c r="F485" i="9"/>
  <c r="E485" i="9"/>
  <c r="D485" i="9"/>
  <c r="C485" i="9"/>
  <c r="O484" i="9"/>
  <c r="M484" i="9"/>
  <c r="F484" i="9"/>
  <c r="E484" i="9"/>
  <c r="D484" i="9"/>
  <c r="C484" i="9"/>
  <c r="O483" i="9"/>
  <c r="M483" i="9"/>
  <c r="F483" i="9"/>
  <c r="E483" i="9"/>
  <c r="D483" i="9"/>
  <c r="C483" i="9"/>
  <c r="O482" i="9"/>
  <c r="M482" i="9"/>
  <c r="F482" i="9"/>
  <c r="E482" i="9"/>
  <c r="D482" i="9"/>
  <c r="C482" i="9"/>
  <c r="O481" i="9"/>
  <c r="M481" i="9"/>
  <c r="F481" i="9"/>
  <c r="E481" i="9"/>
  <c r="D481" i="9"/>
  <c r="C481" i="9"/>
  <c r="O480" i="9"/>
  <c r="M480" i="9"/>
  <c r="F480" i="9"/>
  <c r="E480" i="9"/>
  <c r="D480" i="9"/>
  <c r="C480" i="9"/>
  <c r="O479" i="9"/>
  <c r="M479" i="9"/>
  <c r="F479" i="9"/>
  <c r="E479" i="9"/>
  <c r="D479" i="9"/>
  <c r="C479" i="9"/>
  <c r="O478" i="9"/>
  <c r="M478" i="9"/>
  <c r="F478" i="9"/>
  <c r="E478" i="9"/>
  <c r="D478" i="9"/>
  <c r="C478" i="9"/>
  <c r="O477" i="9"/>
  <c r="M477" i="9"/>
  <c r="F477" i="9"/>
  <c r="E477" i="9"/>
  <c r="D477" i="9"/>
  <c r="C477" i="9"/>
  <c r="O476" i="9"/>
  <c r="M476" i="9"/>
  <c r="F476" i="9"/>
  <c r="E476" i="9"/>
  <c r="D476" i="9"/>
  <c r="C476" i="9"/>
  <c r="O475" i="9"/>
  <c r="M475" i="9"/>
  <c r="F475" i="9"/>
  <c r="E475" i="9"/>
  <c r="D475" i="9"/>
  <c r="C475" i="9"/>
  <c r="O474" i="9"/>
  <c r="M474" i="9"/>
  <c r="F474" i="9"/>
  <c r="E474" i="9"/>
  <c r="D474" i="9"/>
  <c r="C474" i="9"/>
  <c r="O473" i="9"/>
  <c r="M473" i="9"/>
  <c r="F473" i="9"/>
  <c r="E473" i="9"/>
  <c r="D473" i="9"/>
  <c r="C473" i="9"/>
  <c r="O472" i="9"/>
  <c r="M472" i="9"/>
  <c r="F472" i="9"/>
  <c r="E472" i="9"/>
  <c r="D472" i="9"/>
  <c r="C472" i="9"/>
  <c r="O471" i="9"/>
  <c r="M471" i="9"/>
  <c r="F471" i="9"/>
  <c r="E471" i="9"/>
  <c r="D471" i="9"/>
  <c r="C471" i="9"/>
  <c r="O470" i="9"/>
  <c r="M470" i="9"/>
  <c r="F470" i="9"/>
  <c r="E470" i="9"/>
  <c r="D470" i="9"/>
  <c r="C470" i="9"/>
  <c r="O469" i="9"/>
  <c r="M469" i="9"/>
  <c r="F469" i="9"/>
  <c r="E469" i="9"/>
  <c r="D469" i="9"/>
  <c r="C469" i="9"/>
  <c r="O468" i="9"/>
  <c r="M468" i="9"/>
  <c r="F468" i="9"/>
  <c r="E468" i="9"/>
  <c r="D468" i="9"/>
  <c r="C468" i="9"/>
  <c r="O467" i="9"/>
  <c r="M467" i="9"/>
  <c r="F467" i="9"/>
  <c r="E467" i="9"/>
  <c r="D467" i="9"/>
  <c r="C467" i="9"/>
  <c r="O466" i="9"/>
  <c r="M466" i="9"/>
  <c r="F466" i="9"/>
  <c r="E466" i="9"/>
  <c r="D466" i="9"/>
  <c r="C466" i="9"/>
  <c r="O465" i="9"/>
  <c r="M465" i="9"/>
  <c r="F465" i="9"/>
  <c r="E465" i="9"/>
  <c r="D465" i="9"/>
  <c r="C465" i="9"/>
  <c r="O464" i="9"/>
  <c r="M464" i="9"/>
  <c r="F464" i="9"/>
  <c r="E464" i="9"/>
  <c r="D464" i="9"/>
  <c r="C464" i="9"/>
  <c r="O463" i="9"/>
  <c r="M463" i="9"/>
  <c r="F463" i="9"/>
  <c r="E463" i="9"/>
  <c r="D463" i="9"/>
  <c r="C463" i="9"/>
  <c r="O462" i="9"/>
  <c r="M462" i="9"/>
  <c r="F462" i="9"/>
  <c r="E462" i="9"/>
  <c r="D462" i="9"/>
  <c r="C462" i="9"/>
  <c r="O461" i="9"/>
  <c r="M461" i="9"/>
  <c r="F461" i="9"/>
  <c r="E461" i="9"/>
  <c r="D461" i="9"/>
  <c r="C461" i="9"/>
  <c r="O460" i="9"/>
  <c r="M460" i="9"/>
  <c r="F460" i="9"/>
  <c r="E460" i="9"/>
  <c r="D460" i="9"/>
  <c r="C460" i="9"/>
  <c r="O459" i="9"/>
  <c r="M459" i="9"/>
  <c r="F459" i="9"/>
  <c r="E459" i="9"/>
  <c r="D459" i="9"/>
  <c r="C459" i="9"/>
  <c r="O458" i="9"/>
  <c r="M458" i="9"/>
  <c r="F458" i="9"/>
  <c r="E458" i="9"/>
  <c r="D458" i="9"/>
  <c r="C458" i="9"/>
  <c r="O457" i="9"/>
  <c r="M457" i="9"/>
  <c r="F457" i="9"/>
  <c r="E457" i="9"/>
  <c r="D457" i="9"/>
  <c r="C457" i="9"/>
  <c r="O456" i="9"/>
  <c r="M456" i="9"/>
  <c r="F456" i="9"/>
  <c r="E456" i="9"/>
  <c r="D456" i="9"/>
  <c r="C456" i="9"/>
  <c r="O455" i="9"/>
  <c r="M455" i="9"/>
  <c r="F455" i="9"/>
  <c r="E455" i="9"/>
  <c r="D455" i="9"/>
  <c r="C455" i="9"/>
  <c r="O454" i="9"/>
  <c r="M454" i="9"/>
  <c r="F454" i="9"/>
  <c r="E454" i="9"/>
  <c r="D454" i="9"/>
  <c r="C454" i="9"/>
  <c r="O453" i="9"/>
  <c r="M453" i="9"/>
  <c r="F453" i="9"/>
  <c r="E453" i="9"/>
  <c r="D453" i="9"/>
  <c r="C453" i="9"/>
  <c r="O452" i="9"/>
  <c r="M452" i="9"/>
  <c r="F452" i="9"/>
  <c r="E452" i="9"/>
  <c r="D452" i="9"/>
  <c r="C452" i="9"/>
  <c r="O451" i="9"/>
  <c r="M451" i="9"/>
  <c r="F451" i="9"/>
  <c r="E451" i="9"/>
  <c r="D451" i="9"/>
  <c r="C451" i="9"/>
  <c r="O450" i="9"/>
  <c r="M450" i="9"/>
  <c r="F450" i="9"/>
  <c r="E450" i="9"/>
  <c r="D450" i="9"/>
  <c r="C450" i="9"/>
  <c r="O449" i="9"/>
  <c r="M449" i="9"/>
  <c r="F449" i="9"/>
  <c r="E449" i="9"/>
  <c r="D449" i="9"/>
  <c r="C449" i="9"/>
  <c r="O448" i="9"/>
  <c r="M448" i="9"/>
  <c r="F448" i="9"/>
  <c r="E448" i="9"/>
  <c r="D448" i="9"/>
  <c r="C448" i="9"/>
  <c r="O447" i="9"/>
  <c r="M447" i="9"/>
  <c r="F447" i="9"/>
  <c r="E447" i="9"/>
  <c r="D447" i="9"/>
  <c r="C447" i="9"/>
  <c r="O446" i="9"/>
  <c r="M446" i="9"/>
  <c r="F446" i="9"/>
  <c r="E446" i="9"/>
  <c r="D446" i="9"/>
  <c r="C446" i="9"/>
  <c r="O445" i="9"/>
  <c r="M445" i="9"/>
  <c r="F445" i="9"/>
  <c r="E445" i="9"/>
  <c r="D445" i="9"/>
  <c r="C445" i="9"/>
  <c r="O444" i="9"/>
  <c r="M444" i="9"/>
  <c r="F444" i="9"/>
  <c r="E444" i="9"/>
  <c r="D444" i="9"/>
  <c r="C444" i="9"/>
  <c r="O443" i="9"/>
  <c r="M443" i="9"/>
  <c r="F443" i="9"/>
  <c r="E443" i="9"/>
  <c r="D443" i="9"/>
  <c r="C443" i="9"/>
  <c r="O442" i="9"/>
  <c r="M442" i="9"/>
  <c r="F442" i="9"/>
  <c r="E442" i="9"/>
  <c r="D442" i="9"/>
  <c r="C442" i="9"/>
  <c r="O441" i="9"/>
  <c r="M441" i="9"/>
  <c r="F441" i="9"/>
  <c r="E441" i="9"/>
  <c r="D441" i="9"/>
  <c r="C441" i="9"/>
  <c r="O440" i="9"/>
  <c r="M440" i="9"/>
  <c r="F440" i="9"/>
  <c r="E440" i="9"/>
  <c r="D440" i="9"/>
  <c r="C440" i="9"/>
  <c r="O439" i="9"/>
  <c r="M439" i="9"/>
  <c r="F439" i="9"/>
  <c r="E439" i="9"/>
  <c r="D439" i="9"/>
  <c r="C439" i="9"/>
  <c r="O438" i="9"/>
  <c r="M438" i="9"/>
  <c r="F438" i="9"/>
  <c r="E438" i="9"/>
  <c r="D438" i="9"/>
  <c r="C438" i="9"/>
  <c r="O437" i="9"/>
  <c r="M437" i="9"/>
  <c r="F437" i="9"/>
  <c r="E437" i="9"/>
  <c r="D437" i="9"/>
  <c r="C437" i="9"/>
  <c r="O436" i="9"/>
  <c r="M436" i="9"/>
  <c r="F436" i="9"/>
  <c r="E436" i="9"/>
  <c r="D436" i="9"/>
  <c r="C436" i="9"/>
  <c r="O435" i="9"/>
  <c r="M435" i="9"/>
  <c r="F435" i="9"/>
  <c r="E435" i="9"/>
  <c r="D435" i="9"/>
  <c r="C435" i="9"/>
  <c r="O434" i="9"/>
  <c r="M434" i="9"/>
  <c r="F434" i="9"/>
  <c r="E434" i="9"/>
  <c r="D434" i="9"/>
  <c r="C434" i="9"/>
  <c r="O433" i="9"/>
  <c r="M433" i="9"/>
  <c r="F433" i="9"/>
  <c r="E433" i="9"/>
  <c r="D433" i="9"/>
  <c r="C433" i="9"/>
  <c r="O432" i="9"/>
  <c r="M432" i="9"/>
  <c r="F432" i="9"/>
  <c r="E432" i="9"/>
  <c r="D432" i="9"/>
  <c r="C432" i="9"/>
  <c r="O431" i="9"/>
  <c r="M431" i="9"/>
  <c r="F431" i="9"/>
  <c r="E431" i="9"/>
  <c r="D431" i="9"/>
  <c r="C431" i="9"/>
  <c r="O430" i="9"/>
  <c r="M430" i="9"/>
  <c r="F430" i="9"/>
  <c r="E430" i="9"/>
  <c r="D430" i="9"/>
  <c r="C430" i="9"/>
  <c r="O429" i="9"/>
  <c r="M429" i="9"/>
  <c r="F429" i="9"/>
  <c r="E429" i="9"/>
  <c r="D429" i="9"/>
  <c r="C429" i="9"/>
  <c r="O428" i="9"/>
  <c r="M428" i="9"/>
  <c r="F428" i="9"/>
  <c r="E428" i="9"/>
  <c r="D428" i="9"/>
  <c r="C428" i="9"/>
  <c r="O427" i="9"/>
  <c r="M427" i="9"/>
  <c r="F427" i="9"/>
  <c r="E427" i="9"/>
  <c r="D427" i="9"/>
  <c r="C427" i="9"/>
  <c r="O426" i="9"/>
  <c r="M426" i="9"/>
  <c r="F426" i="9"/>
  <c r="E426" i="9"/>
  <c r="D426" i="9"/>
  <c r="C426" i="9"/>
  <c r="O425" i="9"/>
  <c r="M425" i="9"/>
  <c r="F425" i="9"/>
  <c r="E425" i="9"/>
  <c r="D425" i="9"/>
  <c r="C425" i="9"/>
  <c r="O424" i="9"/>
  <c r="M424" i="9"/>
  <c r="F424" i="9"/>
  <c r="E424" i="9"/>
  <c r="D424" i="9"/>
  <c r="C424" i="9"/>
  <c r="O423" i="9"/>
  <c r="M423" i="9"/>
  <c r="F423" i="9"/>
  <c r="E423" i="9"/>
  <c r="D423" i="9"/>
  <c r="C423" i="9"/>
  <c r="O422" i="9"/>
  <c r="M422" i="9"/>
  <c r="F422" i="9"/>
  <c r="E422" i="9"/>
  <c r="D422" i="9"/>
  <c r="C422" i="9"/>
  <c r="O421" i="9"/>
  <c r="M421" i="9"/>
  <c r="F421" i="9"/>
  <c r="E421" i="9"/>
  <c r="D421" i="9"/>
  <c r="C421" i="9"/>
  <c r="O420" i="9"/>
  <c r="M420" i="9"/>
  <c r="F420" i="9"/>
  <c r="E420" i="9"/>
  <c r="D420" i="9"/>
  <c r="C420" i="9"/>
  <c r="O419" i="9"/>
  <c r="M419" i="9"/>
  <c r="F419" i="9"/>
  <c r="E419" i="9"/>
  <c r="D419" i="9"/>
  <c r="C419" i="9"/>
  <c r="O418" i="9"/>
  <c r="M418" i="9"/>
  <c r="F418" i="9"/>
  <c r="E418" i="9"/>
  <c r="D418" i="9"/>
  <c r="C418" i="9"/>
  <c r="O417" i="9"/>
  <c r="M417" i="9"/>
  <c r="F417" i="9"/>
  <c r="E417" i="9"/>
  <c r="D417" i="9"/>
  <c r="C417" i="9"/>
  <c r="O416" i="9"/>
  <c r="M416" i="9"/>
  <c r="F416" i="9"/>
  <c r="E416" i="9"/>
  <c r="D416" i="9"/>
  <c r="C416" i="9"/>
  <c r="O415" i="9"/>
  <c r="M415" i="9"/>
  <c r="F415" i="9"/>
  <c r="E415" i="9"/>
  <c r="D415" i="9"/>
  <c r="C415" i="9"/>
  <c r="O414" i="9"/>
  <c r="M414" i="9"/>
  <c r="F414" i="9"/>
  <c r="E414" i="9"/>
  <c r="D414" i="9"/>
  <c r="C414" i="9"/>
  <c r="O413" i="9"/>
  <c r="M413" i="9"/>
  <c r="F413" i="9"/>
  <c r="E413" i="9"/>
  <c r="D413" i="9"/>
  <c r="C413" i="9"/>
  <c r="O412" i="9"/>
  <c r="M412" i="9"/>
  <c r="F412" i="9"/>
  <c r="E412" i="9"/>
  <c r="D412" i="9"/>
  <c r="C412" i="9"/>
  <c r="O411" i="9"/>
  <c r="M411" i="9"/>
  <c r="F411" i="9"/>
  <c r="E411" i="9"/>
  <c r="D411" i="9"/>
  <c r="C411" i="9"/>
  <c r="O410" i="9"/>
  <c r="M410" i="9"/>
  <c r="F410" i="9"/>
  <c r="E410" i="9"/>
  <c r="D410" i="9"/>
  <c r="C410" i="9"/>
  <c r="O409" i="9"/>
  <c r="M409" i="9"/>
  <c r="F409" i="9"/>
  <c r="E409" i="9"/>
  <c r="D409" i="9"/>
  <c r="C409" i="9"/>
  <c r="O408" i="9"/>
  <c r="M408" i="9"/>
  <c r="F408" i="9"/>
  <c r="E408" i="9"/>
  <c r="D408" i="9"/>
  <c r="C408" i="9"/>
  <c r="O407" i="9"/>
  <c r="M407" i="9"/>
  <c r="F407" i="9"/>
  <c r="E407" i="9"/>
  <c r="D407" i="9"/>
  <c r="C407" i="9"/>
  <c r="O406" i="9"/>
  <c r="M406" i="9"/>
  <c r="F406" i="9"/>
  <c r="E406" i="9"/>
  <c r="D406" i="9"/>
  <c r="C406" i="9"/>
  <c r="O405" i="9"/>
  <c r="M405" i="9"/>
  <c r="F405" i="9"/>
  <c r="E405" i="9"/>
  <c r="D405" i="9"/>
  <c r="C405" i="9"/>
  <c r="O404" i="9"/>
  <c r="M404" i="9"/>
  <c r="F404" i="9"/>
  <c r="E404" i="9"/>
  <c r="D404" i="9"/>
  <c r="C404" i="9"/>
  <c r="O403" i="9"/>
  <c r="M403" i="9"/>
  <c r="F403" i="9"/>
  <c r="E403" i="9"/>
  <c r="D403" i="9"/>
  <c r="C403" i="9"/>
  <c r="O402" i="9"/>
  <c r="M402" i="9"/>
  <c r="F402" i="9"/>
  <c r="E402" i="9"/>
  <c r="D402" i="9"/>
  <c r="C402" i="9"/>
  <c r="O401" i="9"/>
  <c r="M401" i="9"/>
  <c r="F401" i="9"/>
  <c r="E401" i="9"/>
  <c r="D401" i="9"/>
  <c r="C401" i="9"/>
  <c r="O400" i="9"/>
  <c r="M400" i="9"/>
  <c r="F400" i="9"/>
  <c r="E400" i="9"/>
  <c r="D400" i="9"/>
  <c r="C400" i="9"/>
  <c r="O399" i="9"/>
  <c r="M399" i="9"/>
  <c r="F399" i="9"/>
  <c r="E399" i="9"/>
  <c r="D399" i="9"/>
  <c r="C399" i="9"/>
  <c r="O398" i="9"/>
  <c r="M398" i="9"/>
  <c r="F398" i="9"/>
  <c r="E398" i="9"/>
  <c r="D398" i="9"/>
  <c r="C398" i="9"/>
  <c r="O397" i="9"/>
  <c r="M397" i="9"/>
  <c r="F397" i="9"/>
  <c r="E397" i="9"/>
  <c r="D397" i="9"/>
  <c r="C397" i="9"/>
  <c r="O396" i="9"/>
  <c r="M396" i="9"/>
  <c r="F396" i="9"/>
  <c r="E396" i="9"/>
  <c r="D396" i="9"/>
  <c r="C396" i="9"/>
  <c r="O395" i="9"/>
  <c r="M395" i="9"/>
  <c r="F395" i="9"/>
  <c r="E395" i="9"/>
  <c r="D395" i="9"/>
  <c r="C395" i="9"/>
  <c r="O394" i="9"/>
  <c r="M394" i="9"/>
  <c r="F394" i="9"/>
  <c r="E394" i="9"/>
  <c r="D394" i="9"/>
  <c r="C394" i="9"/>
  <c r="O393" i="9"/>
  <c r="M393" i="9"/>
  <c r="F393" i="9"/>
  <c r="E393" i="9"/>
  <c r="D393" i="9"/>
  <c r="C393" i="9"/>
  <c r="O392" i="9"/>
  <c r="M392" i="9"/>
  <c r="F392" i="9"/>
  <c r="E392" i="9"/>
  <c r="D392" i="9"/>
  <c r="C392" i="9"/>
  <c r="O391" i="9"/>
  <c r="M391" i="9"/>
  <c r="F391" i="9"/>
  <c r="E391" i="9"/>
  <c r="D391" i="9"/>
  <c r="C391" i="9"/>
  <c r="O390" i="9"/>
  <c r="M390" i="9"/>
  <c r="F390" i="9"/>
  <c r="E390" i="9"/>
  <c r="D390" i="9"/>
  <c r="C390" i="9"/>
  <c r="O389" i="9"/>
  <c r="M389" i="9"/>
  <c r="F389" i="9"/>
  <c r="E389" i="9"/>
  <c r="D389" i="9"/>
  <c r="C389" i="9"/>
  <c r="O388" i="9"/>
  <c r="M388" i="9"/>
  <c r="F388" i="9"/>
  <c r="E388" i="9"/>
  <c r="D388" i="9"/>
  <c r="C388" i="9"/>
  <c r="O387" i="9"/>
  <c r="M387" i="9"/>
  <c r="F387" i="9"/>
  <c r="E387" i="9"/>
  <c r="D387" i="9"/>
  <c r="C387" i="9"/>
  <c r="O386" i="9"/>
  <c r="M386" i="9"/>
  <c r="F386" i="9"/>
  <c r="E386" i="9"/>
  <c r="D386" i="9"/>
  <c r="C386" i="9"/>
  <c r="O385" i="9"/>
  <c r="M385" i="9"/>
  <c r="F385" i="9"/>
  <c r="E385" i="9"/>
  <c r="D385" i="9"/>
  <c r="C385" i="9"/>
  <c r="O384" i="9"/>
  <c r="M384" i="9"/>
  <c r="F384" i="9"/>
  <c r="E384" i="9"/>
  <c r="D384" i="9"/>
  <c r="C384" i="9"/>
  <c r="O383" i="9"/>
  <c r="M383" i="9"/>
  <c r="F383" i="9"/>
  <c r="E383" i="9"/>
  <c r="D383" i="9"/>
  <c r="C383" i="9"/>
  <c r="O382" i="9"/>
  <c r="M382" i="9"/>
  <c r="F382" i="9"/>
  <c r="E382" i="9"/>
  <c r="D382" i="9"/>
  <c r="C382" i="9"/>
  <c r="O381" i="9"/>
  <c r="M381" i="9"/>
  <c r="F381" i="9"/>
  <c r="E381" i="9"/>
  <c r="D381" i="9"/>
  <c r="C381" i="9"/>
  <c r="O380" i="9"/>
  <c r="M380" i="9"/>
  <c r="F380" i="9"/>
  <c r="E380" i="9"/>
  <c r="D380" i="9"/>
  <c r="C380" i="9"/>
  <c r="O379" i="9"/>
  <c r="M379" i="9"/>
  <c r="F379" i="9"/>
  <c r="E379" i="9"/>
  <c r="D379" i="9"/>
  <c r="C379" i="9"/>
  <c r="O378" i="9"/>
  <c r="M378" i="9"/>
  <c r="F378" i="9"/>
  <c r="E378" i="9"/>
  <c r="D378" i="9"/>
  <c r="C378" i="9"/>
  <c r="O377" i="9"/>
  <c r="M377" i="9"/>
  <c r="F377" i="9"/>
  <c r="E377" i="9"/>
  <c r="D377" i="9"/>
  <c r="C377" i="9"/>
  <c r="O376" i="9"/>
  <c r="M376" i="9"/>
  <c r="F376" i="9"/>
  <c r="E376" i="9"/>
  <c r="D376" i="9"/>
  <c r="C376" i="9"/>
  <c r="O375" i="9"/>
  <c r="M375" i="9"/>
  <c r="F375" i="9"/>
  <c r="E375" i="9"/>
  <c r="D375" i="9"/>
  <c r="C375" i="9"/>
  <c r="O374" i="9"/>
  <c r="M374" i="9"/>
  <c r="F374" i="9"/>
  <c r="E374" i="9"/>
  <c r="D374" i="9"/>
  <c r="C374" i="9"/>
  <c r="O373" i="9"/>
  <c r="M373" i="9"/>
  <c r="F373" i="9"/>
  <c r="E373" i="9"/>
  <c r="D373" i="9"/>
  <c r="C373" i="9"/>
  <c r="O372" i="9"/>
  <c r="M372" i="9"/>
  <c r="F372" i="9"/>
  <c r="E372" i="9"/>
  <c r="D372" i="9"/>
  <c r="C372" i="9"/>
  <c r="O371" i="9"/>
  <c r="M371" i="9"/>
  <c r="F371" i="9"/>
  <c r="E371" i="9"/>
  <c r="D371" i="9"/>
  <c r="C371" i="9"/>
  <c r="O370" i="9"/>
  <c r="M370" i="9"/>
  <c r="F370" i="9"/>
  <c r="E370" i="9"/>
  <c r="D370" i="9"/>
  <c r="C370" i="9"/>
  <c r="O369" i="9"/>
  <c r="M369" i="9"/>
  <c r="F369" i="9"/>
  <c r="E369" i="9"/>
  <c r="D369" i="9"/>
  <c r="C369" i="9"/>
  <c r="O368" i="9"/>
  <c r="M368" i="9"/>
  <c r="F368" i="9"/>
  <c r="E368" i="9"/>
  <c r="D368" i="9"/>
  <c r="C368" i="9"/>
  <c r="O367" i="9"/>
  <c r="M367" i="9"/>
  <c r="F367" i="9"/>
  <c r="E367" i="9"/>
  <c r="D367" i="9"/>
  <c r="C367" i="9"/>
  <c r="O366" i="9"/>
  <c r="M366" i="9"/>
  <c r="F366" i="9"/>
  <c r="E366" i="9"/>
  <c r="D366" i="9"/>
  <c r="C366" i="9"/>
  <c r="O365" i="9"/>
  <c r="M365" i="9"/>
  <c r="F365" i="9"/>
  <c r="E365" i="9"/>
  <c r="D365" i="9"/>
  <c r="C365" i="9"/>
  <c r="O364" i="9"/>
  <c r="M364" i="9"/>
  <c r="F364" i="9"/>
  <c r="E364" i="9"/>
  <c r="D364" i="9"/>
  <c r="C364" i="9"/>
  <c r="O363" i="9"/>
  <c r="M363" i="9"/>
  <c r="F363" i="9"/>
  <c r="E363" i="9"/>
  <c r="D363" i="9"/>
  <c r="C363" i="9"/>
  <c r="O362" i="9"/>
  <c r="M362" i="9"/>
  <c r="F362" i="9"/>
  <c r="E362" i="9"/>
  <c r="D362" i="9"/>
  <c r="C362" i="9"/>
  <c r="O361" i="9"/>
  <c r="M361" i="9"/>
  <c r="F361" i="9"/>
  <c r="E361" i="9"/>
  <c r="D361" i="9"/>
  <c r="C361" i="9"/>
  <c r="O360" i="9"/>
  <c r="M360" i="9"/>
  <c r="F360" i="9"/>
  <c r="E360" i="9"/>
  <c r="D360" i="9"/>
  <c r="C360" i="9"/>
  <c r="O359" i="9"/>
  <c r="M359" i="9"/>
  <c r="F359" i="9"/>
  <c r="E359" i="9"/>
  <c r="D359" i="9"/>
  <c r="C359" i="9"/>
  <c r="O358" i="9"/>
  <c r="M358" i="9"/>
  <c r="F358" i="9"/>
  <c r="E358" i="9"/>
  <c r="D358" i="9"/>
  <c r="C358" i="9"/>
  <c r="O357" i="9"/>
  <c r="M357" i="9"/>
  <c r="F357" i="9"/>
  <c r="E357" i="9"/>
  <c r="D357" i="9"/>
  <c r="C357" i="9"/>
  <c r="O356" i="9"/>
  <c r="M356" i="9"/>
  <c r="F356" i="9"/>
  <c r="E356" i="9"/>
  <c r="D356" i="9"/>
  <c r="C356" i="9"/>
  <c r="O355" i="9"/>
  <c r="M355" i="9"/>
  <c r="F355" i="9"/>
  <c r="E355" i="9"/>
  <c r="D355" i="9"/>
  <c r="C355" i="9"/>
  <c r="O354" i="9"/>
  <c r="M354" i="9"/>
  <c r="F354" i="9"/>
  <c r="E354" i="9"/>
  <c r="D354" i="9"/>
  <c r="C354" i="9"/>
  <c r="O353" i="9"/>
  <c r="M353" i="9"/>
  <c r="F353" i="9"/>
  <c r="E353" i="9"/>
  <c r="D353" i="9"/>
  <c r="C353" i="9"/>
  <c r="O352" i="9"/>
  <c r="M352" i="9"/>
  <c r="F352" i="9"/>
  <c r="E352" i="9"/>
  <c r="D352" i="9"/>
  <c r="C352" i="9"/>
  <c r="O351" i="9"/>
  <c r="M351" i="9"/>
  <c r="F351" i="9"/>
  <c r="E351" i="9"/>
  <c r="D351" i="9"/>
  <c r="C351" i="9"/>
  <c r="O350" i="9"/>
  <c r="M350" i="9"/>
  <c r="F350" i="9"/>
  <c r="E350" i="9"/>
  <c r="D350" i="9"/>
  <c r="C350" i="9"/>
  <c r="O349" i="9"/>
  <c r="M349" i="9"/>
  <c r="F349" i="9"/>
  <c r="E349" i="9"/>
  <c r="D349" i="9"/>
  <c r="C349" i="9"/>
  <c r="O348" i="9"/>
  <c r="M348" i="9"/>
  <c r="F348" i="9"/>
  <c r="E348" i="9"/>
  <c r="D348" i="9"/>
  <c r="C348" i="9"/>
  <c r="O347" i="9"/>
  <c r="M347" i="9"/>
  <c r="F347" i="9"/>
  <c r="E347" i="9"/>
  <c r="D347" i="9"/>
  <c r="C347" i="9"/>
  <c r="O346" i="9"/>
  <c r="M346" i="9"/>
  <c r="F346" i="9"/>
  <c r="E346" i="9"/>
  <c r="D346" i="9"/>
  <c r="C346" i="9"/>
  <c r="O345" i="9"/>
  <c r="M345" i="9"/>
  <c r="F345" i="9"/>
  <c r="E345" i="9"/>
  <c r="D345" i="9"/>
  <c r="C345" i="9"/>
  <c r="O344" i="9"/>
  <c r="M344" i="9"/>
  <c r="F344" i="9"/>
  <c r="E344" i="9"/>
  <c r="D344" i="9"/>
  <c r="C344" i="9"/>
  <c r="O343" i="9"/>
  <c r="M343" i="9"/>
  <c r="F343" i="9"/>
  <c r="E343" i="9"/>
  <c r="D343" i="9"/>
  <c r="C343" i="9"/>
  <c r="O342" i="9"/>
  <c r="M342" i="9"/>
  <c r="F342" i="9"/>
  <c r="E342" i="9"/>
  <c r="D342" i="9"/>
  <c r="C342" i="9"/>
  <c r="O341" i="9"/>
  <c r="M341" i="9"/>
  <c r="F341" i="9"/>
  <c r="E341" i="9"/>
  <c r="D341" i="9"/>
  <c r="C341" i="9"/>
  <c r="O340" i="9"/>
  <c r="M340" i="9"/>
  <c r="F340" i="9"/>
  <c r="E340" i="9"/>
  <c r="D340" i="9"/>
  <c r="C340" i="9"/>
  <c r="O339" i="9"/>
  <c r="M339" i="9"/>
  <c r="F339" i="9"/>
  <c r="E339" i="9"/>
  <c r="D339" i="9"/>
  <c r="C339" i="9"/>
  <c r="O338" i="9"/>
  <c r="M338" i="9"/>
  <c r="F338" i="9"/>
  <c r="E338" i="9"/>
  <c r="D338" i="9"/>
  <c r="C338" i="9"/>
  <c r="O337" i="9"/>
  <c r="M337" i="9"/>
  <c r="F337" i="9"/>
  <c r="E337" i="9"/>
  <c r="D337" i="9"/>
  <c r="C337" i="9"/>
  <c r="O336" i="9"/>
  <c r="M336" i="9"/>
  <c r="F336" i="9"/>
  <c r="E336" i="9"/>
  <c r="D336" i="9"/>
  <c r="C336" i="9"/>
  <c r="O335" i="9"/>
  <c r="M335" i="9"/>
  <c r="F335" i="9"/>
  <c r="E335" i="9"/>
  <c r="D335" i="9"/>
  <c r="C335" i="9"/>
  <c r="O334" i="9"/>
  <c r="M334" i="9"/>
  <c r="F334" i="9"/>
  <c r="E334" i="9"/>
  <c r="D334" i="9"/>
  <c r="C334" i="9"/>
  <c r="O333" i="9"/>
  <c r="M333" i="9"/>
  <c r="F333" i="9"/>
  <c r="E333" i="9"/>
  <c r="D333" i="9"/>
  <c r="C333" i="9"/>
  <c r="O332" i="9"/>
  <c r="M332" i="9"/>
  <c r="F332" i="9"/>
  <c r="E332" i="9"/>
  <c r="D332" i="9"/>
  <c r="C332" i="9"/>
  <c r="O331" i="9"/>
  <c r="M331" i="9"/>
  <c r="F331" i="9"/>
  <c r="E331" i="9"/>
  <c r="D331" i="9"/>
  <c r="C331" i="9"/>
  <c r="O330" i="9"/>
  <c r="M330" i="9"/>
  <c r="F330" i="9"/>
  <c r="E330" i="9"/>
  <c r="D330" i="9"/>
  <c r="C330" i="9"/>
  <c r="O329" i="9"/>
  <c r="M329" i="9"/>
  <c r="F329" i="9"/>
  <c r="E329" i="9"/>
  <c r="D329" i="9"/>
  <c r="C329" i="9"/>
  <c r="O328" i="9"/>
  <c r="M328" i="9"/>
  <c r="F328" i="9"/>
  <c r="E328" i="9"/>
  <c r="D328" i="9"/>
  <c r="C328" i="9"/>
  <c r="O327" i="9"/>
  <c r="M327" i="9"/>
  <c r="F327" i="9"/>
  <c r="E327" i="9"/>
  <c r="D327" i="9"/>
  <c r="C327" i="9"/>
  <c r="O326" i="9"/>
  <c r="M326" i="9"/>
  <c r="F326" i="9"/>
  <c r="E326" i="9"/>
  <c r="D326" i="9"/>
  <c r="C326" i="9"/>
  <c r="O325" i="9"/>
  <c r="M325" i="9"/>
  <c r="F325" i="9"/>
  <c r="E325" i="9"/>
  <c r="D325" i="9"/>
  <c r="C325" i="9"/>
  <c r="O324" i="9"/>
  <c r="M324" i="9"/>
  <c r="F324" i="9"/>
  <c r="E324" i="9"/>
  <c r="D324" i="9"/>
  <c r="C324" i="9"/>
  <c r="O323" i="9"/>
  <c r="M323" i="9"/>
  <c r="F323" i="9"/>
  <c r="E323" i="9"/>
  <c r="D323" i="9"/>
  <c r="C323" i="9"/>
  <c r="O322" i="9"/>
  <c r="M322" i="9"/>
  <c r="F322" i="9"/>
  <c r="E322" i="9"/>
  <c r="D322" i="9"/>
  <c r="C322" i="9"/>
  <c r="O321" i="9"/>
  <c r="M321" i="9"/>
  <c r="F321" i="9"/>
  <c r="E321" i="9"/>
  <c r="D321" i="9"/>
  <c r="C321" i="9"/>
  <c r="O320" i="9"/>
  <c r="M320" i="9"/>
  <c r="F320" i="9"/>
  <c r="E320" i="9"/>
  <c r="D320" i="9"/>
  <c r="C320" i="9"/>
  <c r="O319" i="9"/>
  <c r="M319" i="9"/>
  <c r="F319" i="9"/>
  <c r="E319" i="9"/>
  <c r="D319" i="9"/>
  <c r="C319" i="9"/>
  <c r="O318" i="9"/>
  <c r="M318" i="9"/>
  <c r="F318" i="9"/>
  <c r="E318" i="9"/>
  <c r="D318" i="9"/>
  <c r="C318" i="9"/>
  <c r="O317" i="9"/>
  <c r="M317" i="9"/>
  <c r="F317" i="9"/>
  <c r="E317" i="9"/>
  <c r="D317" i="9"/>
  <c r="C317" i="9"/>
  <c r="O316" i="9"/>
  <c r="M316" i="9"/>
  <c r="F316" i="9"/>
  <c r="E316" i="9"/>
  <c r="D316" i="9"/>
  <c r="C316" i="9"/>
  <c r="O315" i="9"/>
  <c r="M315" i="9"/>
  <c r="F315" i="9"/>
  <c r="E315" i="9"/>
  <c r="D315" i="9"/>
  <c r="C315" i="9"/>
  <c r="O314" i="9"/>
  <c r="M314" i="9"/>
  <c r="F314" i="9"/>
  <c r="E314" i="9"/>
  <c r="D314" i="9"/>
  <c r="C314" i="9"/>
  <c r="O313" i="9"/>
  <c r="M313" i="9"/>
  <c r="F313" i="9"/>
  <c r="E313" i="9"/>
  <c r="D313" i="9"/>
  <c r="C313" i="9"/>
  <c r="O312" i="9"/>
  <c r="M312" i="9"/>
  <c r="F312" i="9"/>
  <c r="E312" i="9"/>
  <c r="D312" i="9"/>
  <c r="C312" i="9"/>
  <c r="O311" i="9"/>
  <c r="M311" i="9"/>
  <c r="F311" i="9"/>
  <c r="E311" i="9"/>
  <c r="D311" i="9"/>
  <c r="C311" i="9"/>
  <c r="O310" i="9"/>
  <c r="M310" i="9"/>
  <c r="F310" i="9"/>
  <c r="E310" i="9"/>
  <c r="D310" i="9"/>
  <c r="C310" i="9"/>
  <c r="O309" i="9"/>
  <c r="M309" i="9"/>
  <c r="F309" i="9"/>
  <c r="E309" i="9"/>
  <c r="D309" i="9"/>
  <c r="C309" i="9"/>
  <c r="O308" i="9"/>
  <c r="M308" i="9"/>
  <c r="F308" i="9"/>
  <c r="E308" i="9"/>
  <c r="D308" i="9"/>
  <c r="C308" i="9"/>
  <c r="O307" i="9"/>
  <c r="M307" i="9"/>
  <c r="F307" i="9"/>
  <c r="E307" i="9"/>
  <c r="D307" i="9"/>
  <c r="C307" i="9"/>
  <c r="O306" i="9"/>
  <c r="M306" i="9"/>
  <c r="F306" i="9"/>
  <c r="E306" i="9"/>
  <c r="D306" i="9"/>
  <c r="C306" i="9"/>
  <c r="O305" i="9"/>
  <c r="M305" i="9"/>
  <c r="F305" i="9"/>
  <c r="E305" i="9"/>
  <c r="D305" i="9"/>
  <c r="C305" i="9"/>
  <c r="O304" i="9"/>
  <c r="M304" i="9"/>
  <c r="F304" i="9"/>
  <c r="E304" i="9"/>
  <c r="D304" i="9"/>
  <c r="C304" i="9"/>
  <c r="O303" i="9"/>
  <c r="M303" i="9"/>
  <c r="F303" i="9"/>
  <c r="E303" i="9"/>
  <c r="D303" i="9"/>
  <c r="C303" i="9"/>
  <c r="O302" i="9"/>
  <c r="M302" i="9"/>
  <c r="F302" i="9"/>
  <c r="E302" i="9"/>
  <c r="D302" i="9"/>
  <c r="C302" i="9"/>
  <c r="O301" i="9"/>
  <c r="M301" i="9"/>
  <c r="F301" i="9"/>
  <c r="E301" i="9"/>
  <c r="D301" i="9"/>
  <c r="C301" i="9"/>
  <c r="O300" i="9"/>
  <c r="M300" i="9"/>
  <c r="F300" i="9"/>
  <c r="E300" i="9"/>
  <c r="D300" i="9"/>
  <c r="C300" i="9"/>
  <c r="O299" i="9"/>
  <c r="M299" i="9"/>
  <c r="F299" i="9"/>
  <c r="E299" i="9"/>
  <c r="D299" i="9"/>
  <c r="C299" i="9"/>
  <c r="O298" i="9"/>
  <c r="M298" i="9"/>
  <c r="F298" i="9"/>
  <c r="E298" i="9"/>
  <c r="D298" i="9"/>
  <c r="C298" i="9"/>
  <c r="O297" i="9"/>
  <c r="M297" i="9"/>
  <c r="F297" i="9"/>
  <c r="E297" i="9"/>
  <c r="D297" i="9"/>
  <c r="C297" i="9"/>
  <c r="O296" i="9"/>
  <c r="M296" i="9"/>
  <c r="F296" i="9"/>
  <c r="E296" i="9"/>
  <c r="D296" i="9"/>
  <c r="C296" i="9"/>
  <c r="O295" i="9"/>
  <c r="M295" i="9"/>
  <c r="F295" i="9"/>
  <c r="E295" i="9"/>
  <c r="D295" i="9"/>
  <c r="C295" i="9"/>
  <c r="O294" i="9"/>
  <c r="M294" i="9"/>
  <c r="F294" i="9"/>
  <c r="E294" i="9"/>
  <c r="D294" i="9"/>
  <c r="C294" i="9"/>
  <c r="O293" i="9"/>
  <c r="M293" i="9"/>
  <c r="F293" i="9"/>
  <c r="E293" i="9"/>
  <c r="D293" i="9"/>
  <c r="C293" i="9"/>
  <c r="O292" i="9"/>
  <c r="M292" i="9"/>
  <c r="F292" i="9"/>
  <c r="E292" i="9"/>
  <c r="D292" i="9"/>
  <c r="C292" i="9"/>
  <c r="O291" i="9"/>
  <c r="M291" i="9"/>
  <c r="F291" i="9"/>
  <c r="E291" i="9"/>
  <c r="D291" i="9"/>
  <c r="C291" i="9"/>
  <c r="O290" i="9"/>
  <c r="M290" i="9"/>
  <c r="F290" i="9"/>
  <c r="E290" i="9"/>
  <c r="D290" i="9"/>
  <c r="C290" i="9"/>
  <c r="O289" i="9"/>
  <c r="M289" i="9"/>
  <c r="F289" i="9"/>
  <c r="E289" i="9"/>
  <c r="D289" i="9"/>
  <c r="C289" i="9"/>
  <c r="O288" i="9"/>
  <c r="M288" i="9"/>
  <c r="F288" i="9"/>
  <c r="E288" i="9"/>
  <c r="D288" i="9"/>
  <c r="C288" i="9"/>
  <c r="O287" i="9"/>
  <c r="M287" i="9"/>
  <c r="F287" i="9"/>
  <c r="E287" i="9"/>
  <c r="D287" i="9"/>
  <c r="C287" i="9"/>
  <c r="O286" i="9"/>
  <c r="M286" i="9"/>
  <c r="F286" i="9"/>
  <c r="E286" i="9"/>
  <c r="D286" i="9"/>
  <c r="C286" i="9"/>
  <c r="O285" i="9"/>
  <c r="M285" i="9"/>
  <c r="F285" i="9"/>
  <c r="E285" i="9"/>
  <c r="D285" i="9"/>
  <c r="C285" i="9"/>
  <c r="O284" i="9"/>
  <c r="M284" i="9"/>
  <c r="F284" i="9"/>
  <c r="E284" i="9"/>
  <c r="D284" i="9"/>
  <c r="C284" i="9"/>
  <c r="O283" i="9"/>
  <c r="M283" i="9"/>
  <c r="F283" i="9"/>
  <c r="E283" i="9"/>
  <c r="D283" i="9"/>
  <c r="C283" i="9"/>
  <c r="O282" i="9"/>
  <c r="M282" i="9"/>
  <c r="F282" i="9"/>
  <c r="E282" i="9"/>
  <c r="D282" i="9"/>
  <c r="C282" i="9"/>
  <c r="O281" i="9"/>
  <c r="M281" i="9"/>
  <c r="F281" i="9"/>
  <c r="E281" i="9"/>
  <c r="D281" i="9"/>
  <c r="C281" i="9"/>
  <c r="O280" i="9"/>
  <c r="M280" i="9"/>
  <c r="F280" i="9"/>
  <c r="E280" i="9"/>
  <c r="D280" i="9"/>
  <c r="C280" i="9"/>
  <c r="O279" i="9"/>
  <c r="M279" i="9"/>
  <c r="F279" i="9"/>
  <c r="E279" i="9"/>
  <c r="D279" i="9"/>
  <c r="C279" i="9"/>
  <c r="O278" i="9"/>
  <c r="M278" i="9"/>
  <c r="F278" i="9"/>
  <c r="E278" i="9"/>
  <c r="D278" i="9"/>
  <c r="C278" i="9"/>
  <c r="O277" i="9"/>
  <c r="M277" i="9"/>
  <c r="F277" i="9"/>
  <c r="E277" i="9"/>
  <c r="D277" i="9"/>
  <c r="C277" i="9"/>
  <c r="O276" i="9"/>
  <c r="M276" i="9"/>
  <c r="F276" i="9"/>
  <c r="E276" i="9"/>
  <c r="D276" i="9"/>
  <c r="C276" i="9"/>
  <c r="O275" i="9"/>
  <c r="M275" i="9"/>
  <c r="F275" i="9"/>
  <c r="E275" i="9"/>
  <c r="D275" i="9"/>
  <c r="C275" i="9"/>
  <c r="O274" i="9"/>
  <c r="M274" i="9"/>
  <c r="F274" i="9"/>
  <c r="E274" i="9"/>
  <c r="D274" i="9"/>
  <c r="C274" i="9"/>
  <c r="O273" i="9"/>
  <c r="M273" i="9"/>
  <c r="F273" i="9"/>
  <c r="E273" i="9"/>
  <c r="D273" i="9"/>
  <c r="C273" i="9"/>
  <c r="O272" i="9"/>
  <c r="M272" i="9"/>
  <c r="F272" i="9"/>
  <c r="E272" i="9"/>
  <c r="D272" i="9"/>
  <c r="C272" i="9"/>
  <c r="O271" i="9"/>
  <c r="M271" i="9"/>
  <c r="F271" i="9"/>
  <c r="E271" i="9"/>
  <c r="D271" i="9"/>
  <c r="C271" i="9"/>
  <c r="O270" i="9"/>
  <c r="M270" i="9"/>
  <c r="F270" i="9"/>
  <c r="E270" i="9"/>
  <c r="D270" i="9"/>
  <c r="C270" i="9"/>
  <c r="O269" i="9"/>
  <c r="M269" i="9"/>
  <c r="F269" i="9"/>
  <c r="E269" i="9"/>
  <c r="D269" i="9"/>
  <c r="C269" i="9"/>
  <c r="O268" i="9"/>
  <c r="M268" i="9"/>
  <c r="F268" i="9"/>
  <c r="E268" i="9"/>
  <c r="D268" i="9"/>
  <c r="C268" i="9"/>
  <c r="O267" i="9"/>
  <c r="M267" i="9"/>
  <c r="F267" i="9"/>
  <c r="E267" i="9"/>
  <c r="D267" i="9"/>
  <c r="C267" i="9"/>
  <c r="O266" i="9"/>
  <c r="M266" i="9"/>
  <c r="F266" i="9"/>
  <c r="E266" i="9"/>
  <c r="D266" i="9"/>
  <c r="C266" i="9"/>
  <c r="O265" i="9"/>
  <c r="M265" i="9"/>
  <c r="F265" i="9"/>
  <c r="E265" i="9"/>
  <c r="D265" i="9"/>
  <c r="C265" i="9"/>
  <c r="O264" i="9"/>
  <c r="M264" i="9"/>
  <c r="F264" i="9"/>
  <c r="E264" i="9"/>
  <c r="D264" i="9"/>
  <c r="C264" i="9"/>
  <c r="O263" i="9"/>
  <c r="M263" i="9"/>
  <c r="F263" i="9"/>
  <c r="E263" i="9"/>
  <c r="D263" i="9"/>
  <c r="C263" i="9"/>
  <c r="O262" i="9"/>
  <c r="M262" i="9"/>
  <c r="F262" i="9"/>
  <c r="E262" i="9"/>
  <c r="D262" i="9"/>
  <c r="C262" i="9"/>
  <c r="O261" i="9"/>
  <c r="M261" i="9"/>
  <c r="F261" i="9"/>
  <c r="E261" i="9"/>
  <c r="D261" i="9"/>
  <c r="C261" i="9"/>
  <c r="O260" i="9"/>
  <c r="M260" i="9"/>
  <c r="F260" i="9"/>
  <c r="E260" i="9"/>
  <c r="D260" i="9"/>
  <c r="C260" i="9"/>
  <c r="O259" i="9"/>
  <c r="M259" i="9"/>
  <c r="F259" i="9"/>
  <c r="E259" i="9"/>
  <c r="D259" i="9"/>
  <c r="C259" i="9"/>
  <c r="O258" i="9"/>
  <c r="M258" i="9"/>
  <c r="F258" i="9"/>
  <c r="E258" i="9"/>
  <c r="D258" i="9"/>
  <c r="C258" i="9"/>
  <c r="O257" i="9"/>
  <c r="M257" i="9"/>
  <c r="F257" i="9"/>
  <c r="E257" i="9"/>
  <c r="D257" i="9"/>
  <c r="C257" i="9"/>
  <c r="O256" i="9"/>
  <c r="M256" i="9"/>
  <c r="F256" i="9"/>
  <c r="E256" i="9"/>
  <c r="D256" i="9"/>
  <c r="C256" i="9"/>
  <c r="O255" i="9"/>
  <c r="M255" i="9"/>
  <c r="F255" i="9"/>
  <c r="E255" i="9"/>
  <c r="D255" i="9"/>
  <c r="C255" i="9"/>
  <c r="O254" i="9"/>
  <c r="M254" i="9"/>
  <c r="F254" i="9"/>
  <c r="E254" i="9"/>
  <c r="D254" i="9"/>
  <c r="C254" i="9"/>
  <c r="O253" i="9"/>
  <c r="M253" i="9"/>
  <c r="F253" i="9"/>
  <c r="E253" i="9"/>
  <c r="C253" i="9"/>
  <c r="O252" i="9"/>
  <c r="M252" i="9"/>
  <c r="F252" i="9"/>
  <c r="E252" i="9"/>
  <c r="C252" i="9"/>
  <c r="O251" i="9"/>
  <c r="M251" i="9"/>
  <c r="F251" i="9"/>
  <c r="E251" i="9"/>
  <c r="C251" i="9"/>
  <c r="O250" i="9"/>
  <c r="M250" i="9"/>
  <c r="F250" i="9"/>
  <c r="E250" i="9"/>
  <c r="C250" i="9"/>
  <c r="O249" i="9"/>
  <c r="M249" i="9"/>
  <c r="F249" i="9"/>
  <c r="E249" i="9"/>
  <c r="C249" i="9"/>
  <c r="O248" i="9"/>
  <c r="M248" i="9"/>
  <c r="F248" i="9"/>
  <c r="E248" i="9"/>
  <c r="C248" i="9"/>
  <c r="O247" i="9"/>
  <c r="M247" i="9"/>
  <c r="F247" i="9"/>
  <c r="E247" i="9"/>
  <c r="C247" i="9"/>
  <c r="O246" i="9"/>
  <c r="M246" i="9"/>
  <c r="F246" i="9"/>
  <c r="E246" i="9"/>
  <c r="C246" i="9"/>
  <c r="O245" i="9"/>
  <c r="M245" i="9"/>
  <c r="F245" i="9"/>
  <c r="E245" i="9"/>
  <c r="C245" i="9"/>
  <c r="O244" i="9"/>
  <c r="M244" i="9"/>
  <c r="F244" i="9"/>
  <c r="E244" i="9"/>
  <c r="C244" i="9"/>
  <c r="O243" i="9"/>
  <c r="M243" i="9"/>
  <c r="F243" i="9"/>
  <c r="E243" i="9"/>
  <c r="C243" i="9"/>
  <c r="O242" i="9"/>
  <c r="M242" i="9"/>
  <c r="F242" i="9"/>
  <c r="E242" i="9"/>
  <c r="C242" i="9"/>
  <c r="O241" i="9"/>
  <c r="M241" i="9"/>
  <c r="F241" i="9"/>
  <c r="E241" i="9"/>
  <c r="O240" i="9"/>
  <c r="M240" i="9"/>
  <c r="F240" i="9"/>
  <c r="E240" i="9"/>
  <c r="O239" i="9"/>
  <c r="M239" i="9"/>
  <c r="F239" i="9"/>
  <c r="E239" i="9"/>
  <c r="O238" i="9"/>
  <c r="M238" i="9"/>
  <c r="F238" i="9"/>
  <c r="E238" i="9"/>
  <c r="O237" i="9"/>
  <c r="M237" i="9"/>
  <c r="F237" i="9"/>
  <c r="E237" i="9"/>
  <c r="O236" i="9"/>
  <c r="M236" i="9"/>
  <c r="F236" i="9"/>
  <c r="E236" i="9"/>
  <c r="O235" i="9"/>
  <c r="M235" i="9"/>
  <c r="F235" i="9"/>
  <c r="E235" i="9"/>
  <c r="O234" i="9"/>
  <c r="M234" i="9"/>
  <c r="F234" i="9"/>
  <c r="E234" i="9"/>
  <c r="O233" i="9"/>
  <c r="M233" i="9"/>
  <c r="F233" i="9"/>
  <c r="E233" i="9"/>
  <c r="O232" i="9"/>
  <c r="M232" i="9"/>
  <c r="F232" i="9"/>
  <c r="E232" i="9"/>
  <c r="O231" i="9"/>
  <c r="M231" i="9"/>
  <c r="F231" i="9"/>
  <c r="E231" i="9"/>
  <c r="O230" i="9"/>
  <c r="M230" i="9"/>
  <c r="F230" i="9"/>
  <c r="E230" i="9"/>
  <c r="O229" i="9"/>
  <c r="M229" i="9"/>
  <c r="F229" i="9"/>
  <c r="E229" i="9"/>
  <c r="D229" i="9"/>
  <c r="C229" i="9"/>
  <c r="O228" i="9"/>
  <c r="M228" i="9"/>
  <c r="F228" i="9"/>
  <c r="E228" i="9"/>
  <c r="D228" i="9"/>
  <c r="C228" i="9"/>
  <c r="O227" i="9"/>
  <c r="M227" i="9"/>
  <c r="F227" i="9"/>
  <c r="E227" i="9"/>
  <c r="D227" i="9"/>
  <c r="C227" i="9"/>
  <c r="O226" i="9"/>
  <c r="M226" i="9"/>
  <c r="F226" i="9"/>
  <c r="E226" i="9"/>
  <c r="D226" i="9"/>
  <c r="C226" i="9"/>
  <c r="O225" i="9"/>
  <c r="M225" i="9"/>
  <c r="F225" i="9"/>
  <c r="E225" i="9"/>
  <c r="D225" i="9"/>
  <c r="C225" i="9"/>
  <c r="O224" i="9"/>
  <c r="M224" i="9"/>
  <c r="F224" i="9"/>
  <c r="E224" i="9"/>
  <c r="D224" i="9"/>
  <c r="C224" i="9"/>
  <c r="O223" i="9"/>
  <c r="M223" i="9"/>
  <c r="F223" i="9"/>
  <c r="E223" i="9"/>
  <c r="D223" i="9"/>
  <c r="C223" i="9"/>
  <c r="O222" i="9"/>
  <c r="M222" i="9"/>
  <c r="F222" i="9"/>
  <c r="E222" i="9"/>
  <c r="D222" i="9"/>
  <c r="C222" i="9"/>
  <c r="O221" i="9"/>
  <c r="M221" i="9"/>
  <c r="F221" i="9"/>
  <c r="E221" i="9"/>
  <c r="D221" i="9"/>
  <c r="C221" i="9"/>
  <c r="O220" i="9"/>
  <c r="M220" i="9"/>
  <c r="F220" i="9"/>
  <c r="E220" i="9"/>
  <c r="D220" i="9"/>
  <c r="C220" i="9"/>
  <c r="O219" i="9"/>
  <c r="M219" i="9"/>
  <c r="F219" i="9"/>
  <c r="E219" i="9"/>
  <c r="D219" i="9"/>
  <c r="C219" i="9"/>
  <c r="O218" i="9"/>
  <c r="M218" i="9"/>
  <c r="F218" i="9"/>
  <c r="E218" i="9"/>
  <c r="D218" i="9"/>
  <c r="C218" i="9"/>
  <c r="O217" i="9"/>
  <c r="M217" i="9"/>
  <c r="F217" i="9"/>
  <c r="E217" i="9"/>
  <c r="D217" i="9"/>
  <c r="C217" i="9"/>
  <c r="O216" i="9"/>
  <c r="M216" i="9"/>
  <c r="F216" i="9"/>
  <c r="E216" i="9"/>
  <c r="D216" i="9"/>
  <c r="C216" i="9"/>
  <c r="O215" i="9"/>
  <c r="M215" i="9"/>
  <c r="F215" i="9"/>
  <c r="E215" i="9"/>
  <c r="D215" i="9"/>
  <c r="C215" i="9"/>
  <c r="O214" i="9"/>
  <c r="M214" i="9"/>
  <c r="F214" i="9"/>
  <c r="E214" i="9"/>
  <c r="D214" i="9"/>
  <c r="C214" i="9"/>
  <c r="O213" i="9"/>
  <c r="M213" i="9"/>
  <c r="F213" i="9"/>
  <c r="E213" i="9"/>
  <c r="D213" i="9"/>
  <c r="C213" i="9"/>
  <c r="O212" i="9"/>
  <c r="M212" i="9"/>
  <c r="F212" i="9"/>
  <c r="E212" i="9"/>
  <c r="D212" i="9"/>
  <c r="C212" i="9"/>
  <c r="O211" i="9"/>
  <c r="M211" i="9"/>
  <c r="F211" i="9"/>
  <c r="E211" i="9"/>
  <c r="D211" i="9"/>
  <c r="C211" i="9"/>
  <c r="O210" i="9"/>
  <c r="M210" i="9"/>
  <c r="F210" i="9"/>
  <c r="E210" i="9"/>
  <c r="D210" i="9"/>
  <c r="C210" i="9"/>
  <c r="O209" i="9"/>
  <c r="M209" i="9"/>
  <c r="F209" i="9"/>
  <c r="E209" i="9"/>
  <c r="D209" i="9"/>
  <c r="C209" i="9"/>
  <c r="O208" i="9"/>
  <c r="M208" i="9"/>
  <c r="F208" i="9"/>
  <c r="E208" i="9"/>
  <c r="D208" i="9"/>
  <c r="C208" i="9"/>
  <c r="O207" i="9"/>
  <c r="M207" i="9"/>
  <c r="F207" i="9"/>
  <c r="E207" i="9"/>
  <c r="D207" i="9"/>
  <c r="C207" i="9"/>
  <c r="O206" i="9"/>
  <c r="M206" i="9"/>
  <c r="F206" i="9"/>
  <c r="E206" i="9"/>
  <c r="D206" i="9"/>
  <c r="O205" i="9"/>
  <c r="M205" i="9"/>
  <c r="F205" i="9"/>
  <c r="E205" i="9"/>
  <c r="D205" i="9"/>
  <c r="O204" i="9"/>
  <c r="M204" i="9"/>
  <c r="F204" i="9"/>
  <c r="E204" i="9"/>
  <c r="D204" i="9"/>
  <c r="O203" i="9"/>
  <c r="M203" i="9"/>
  <c r="F203" i="9"/>
  <c r="E203" i="9"/>
  <c r="D203" i="9"/>
  <c r="O202" i="9"/>
  <c r="M202" i="9"/>
  <c r="F202" i="9"/>
  <c r="E202" i="9"/>
  <c r="D202" i="9"/>
  <c r="O201" i="9"/>
  <c r="M201" i="9"/>
  <c r="F201" i="9"/>
  <c r="E201" i="9"/>
  <c r="D201" i="9"/>
  <c r="O200" i="9"/>
  <c r="M200" i="9"/>
  <c r="F200" i="9"/>
  <c r="E200" i="9"/>
  <c r="D200" i="9"/>
  <c r="O199" i="9"/>
  <c r="M199" i="9"/>
  <c r="F199" i="9"/>
  <c r="E199" i="9"/>
  <c r="D199" i="9"/>
  <c r="O198" i="9"/>
  <c r="M198" i="9"/>
  <c r="F198" i="9"/>
  <c r="E198" i="9"/>
  <c r="D198" i="9"/>
  <c r="O197" i="9"/>
  <c r="M197" i="9"/>
  <c r="F197" i="9"/>
  <c r="E197" i="9"/>
  <c r="D197" i="9"/>
  <c r="O196" i="9"/>
  <c r="M196" i="9"/>
  <c r="F196" i="9"/>
  <c r="E196" i="9"/>
  <c r="D196" i="9"/>
  <c r="O195" i="9"/>
  <c r="M195" i="9"/>
  <c r="F195" i="9"/>
  <c r="E195" i="9"/>
  <c r="D195" i="9"/>
  <c r="O194" i="9"/>
  <c r="M194" i="9"/>
  <c r="F194" i="9"/>
  <c r="E194" i="9"/>
  <c r="D194" i="9"/>
  <c r="O193" i="9"/>
  <c r="M193" i="9"/>
  <c r="F193" i="9"/>
  <c r="E193" i="9"/>
  <c r="D193" i="9"/>
  <c r="O192" i="9"/>
  <c r="M192" i="9"/>
  <c r="F192" i="9"/>
  <c r="E192" i="9"/>
  <c r="D192" i="9"/>
  <c r="O191" i="9"/>
  <c r="M191" i="9"/>
  <c r="F191" i="9"/>
  <c r="E191" i="9"/>
  <c r="D191" i="9"/>
  <c r="O190" i="9"/>
  <c r="M190" i="9"/>
  <c r="F190" i="9"/>
  <c r="E190" i="9"/>
  <c r="D190" i="9"/>
  <c r="O189" i="9"/>
  <c r="M189" i="9"/>
  <c r="F189" i="9"/>
  <c r="E189" i="9"/>
  <c r="D189" i="9"/>
  <c r="O188" i="9"/>
  <c r="M188" i="9"/>
  <c r="F188" i="9"/>
  <c r="E188" i="9"/>
  <c r="D188" i="9"/>
  <c r="O187" i="9"/>
  <c r="M187" i="9"/>
  <c r="F187" i="9"/>
  <c r="E187" i="9"/>
  <c r="D187" i="9"/>
  <c r="O186" i="9"/>
  <c r="M186" i="9"/>
  <c r="F186" i="9"/>
  <c r="E186" i="9"/>
  <c r="D186" i="9"/>
  <c r="O185" i="9"/>
  <c r="M185" i="9"/>
  <c r="F185" i="9"/>
  <c r="E185" i="9"/>
  <c r="D185" i="9"/>
  <c r="O184" i="9"/>
  <c r="M184" i="9"/>
  <c r="F184" i="9"/>
  <c r="E184" i="9"/>
  <c r="D184" i="9"/>
  <c r="O183" i="9"/>
  <c r="M183" i="9"/>
  <c r="F183" i="9"/>
  <c r="E183" i="9"/>
  <c r="D183" i="9"/>
  <c r="O182" i="9"/>
  <c r="M182" i="9"/>
  <c r="F182" i="9"/>
  <c r="E182" i="9"/>
  <c r="D182" i="9"/>
  <c r="O181" i="9"/>
  <c r="M181" i="9"/>
  <c r="F181" i="9"/>
  <c r="E181" i="9"/>
  <c r="D181" i="9"/>
  <c r="C181" i="9"/>
  <c r="O180" i="9"/>
  <c r="M180" i="9"/>
  <c r="F180" i="9"/>
  <c r="E180" i="9"/>
  <c r="D180" i="9"/>
  <c r="C180" i="9"/>
  <c r="O179" i="9"/>
  <c r="M179" i="9"/>
  <c r="F179" i="9"/>
  <c r="E179" i="9"/>
  <c r="D179" i="9"/>
  <c r="C179" i="9"/>
  <c r="O178" i="9"/>
  <c r="M178" i="9"/>
  <c r="F178" i="9"/>
  <c r="E178" i="9"/>
  <c r="D178" i="9"/>
  <c r="C178" i="9"/>
  <c r="O177" i="9"/>
  <c r="M177" i="9"/>
  <c r="F177" i="9"/>
  <c r="E177" i="9"/>
  <c r="D177" i="9"/>
  <c r="C177" i="9"/>
  <c r="O176" i="9"/>
  <c r="M176" i="9"/>
  <c r="F176" i="9"/>
  <c r="E176" i="9"/>
  <c r="D176" i="9"/>
  <c r="C176" i="9"/>
  <c r="O175" i="9"/>
  <c r="M175" i="9"/>
  <c r="F175" i="9"/>
  <c r="E175" i="9"/>
  <c r="D175" i="9"/>
  <c r="C175" i="9"/>
  <c r="O174" i="9"/>
  <c r="M174" i="9"/>
  <c r="F174" i="9"/>
  <c r="E174" i="9"/>
  <c r="D174" i="9"/>
  <c r="C174" i="9"/>
  <c r="O173" i="9"/>
  <c r="M173" i="9"/>
  <c r="F173" i="9"/>
  <c r="E173" i="9"/>
  <c r="D173" i="9"/>
  <c r="C173" i="9"/>
  <c r="O172" i="9"/>
  <c r="M172" i="9"/>
  <c r="F172" i="9"/>
  <c r="E172" i="9"/>
  <c r="D172" i="9"/>
  <c r="C172" i="9"/>
  <c r="O171" i="9"/>
  <c r="M171" i="9"/>
  <c r="F171" i="9"/>
  <c r="E171" i="9"/>
  <c r="D171" i="9"/>
  <c r="C171" i="9"/>
  <c r="O170" i="9"/>
  <c r="M170" i="9"/>
  <c r="F170" i="9"/>
  <c r="E170" i="9"/>
  <c r="D170" i="9"/>
  <c r="C170" i="9"/>
  <c r="O169" i="9"/>
  <c r="M169" i="9"/>
  <c r="F169" i="9"/>
  <c r="E169" i="9"/>
  <c r="D169" i="9"/>
  <c r="C169" i="9"/>
  <c r="O168" i="9"/>
  <c r="M168" i="9"/>
  <c r="F168" i="9"/>
  <c r="E168" i="9"/>
  <c r="D168" i="9"/>
  <c r="C168" i="9"/>
  <c r="O167" i="9"/>
  <c r="M167" i="9"/>
  <c r="F167" i="9"/>
  <c r="E167" i="9"/>
  <c r="D167" i="9"/>
  <c r="C167" i="9"/>
  <c r="O166" i="9"/>
  <c r="M166" i="9"/>
  <c r="F166" i="9"/>
  <c r="E166" i="9"/>
  <c r="D166" i="9"/>
  <c r="C166" i="9"/>
  <c r="O165" i="9"/>
  <c r="M165" i="9"/>
  <c r="F165" i="9"/>
  <c r="E165" i="9"/>
  <c r="D165" i="9"/>
  <c r="C165" i="9"/>
  <c r="O164" i="9"/>
  <c r="M164" i="9"/>
  <c r="F164" i="9"/>
  <c r="E164" i="9"/>
  <c r="D164" i="9"/>
  <c r="C164" i="9"/>
  <c r="O163" i="9"/>
  <c r="M163" i="9"/>
  <c r="K163" i="9"/>
  <c r="F163" i="9"/>
  <c r="E163" i="9"/>
  <c r="D163" i="9"/>
  <c r="C163" i="9"/>
  <c r="O162" i="9"/>
  <c r="M162" i="9"/>
  <c r="F162" i="9"/>
  <c r="E162" i="9"/>
  <c r="D162" i="9"/>
  <c r="C162" i="9"/>
  <c r="O161" i="9"/>
  <c r="M161" i="9"/>
  <c r="K161" i="9"/>
  <c r="F161" i="9"/>
  <c r="E161" i="9"/>
  <c r="D161" i="9"/>
  <c r="C161" i="9"/>
  <c r="O160" i="9"/>
  <c r="M160" i="9"/>
  <c r="F160" i="9"/>
  <c r="E160" i="9"/>
  <c r="D160" i="9"/>
  <c r="C160" i="9"/>
  <c r="O159" i="9"/>
  <c r="M159" i="9"/>
  <c r="F159" i="9"/>
  <c r="E159" i="9"/>
  <c r="D159" i="9"/>
  <c r="C159" i="9"/>
  <c r="O158" i="9"/>
  <c r="M158" i="9"/>
  <c r="K158" i="9"/>
  <c r="F158" i="9"/>
  <c r="E158" i="9"/>
  <c r="D158" i="9"/>
  <c r="C158" i="9"/>
  <c r="K159" i="9"/>
  <c r="K169" i="9"/>
  <c r="K167" i="9"/>
  <c r="K176" i="9"/>
  <c r="K182" i="9"/>
  <c r="K192" i="9"/>
  <c r="K187" i="9"/>
  <c r="K162" i="9"/>
  <c r="K170" i="9"/>
  <c r="K177" i="9"/>
  <c r="K178" i="9"/>
  <c r="K171" i="9"/>
  <c r="K179" i="9"/>
  <c r="K164" i="9"/>
  <c r="K165" i="9"/>
  <c r="K172" i="9"/>
  <c r="K180" i="9"/>
  <c r="K166" i="9"/>
  <c r="K173" i="9"/>
  <c r="K181" i="9"/>
  <c r="K174" i="9"/>
  <c r="K160" i="9"/>
  <c r="K168" i="9"/>
  <c r="K175" i="9"/>
  <c r="K194" i="9"/>
  <c r="K184" i="9"/>
  <c r="K188" i="9"/>
  <c r="K185" i="9"/>
  <c r="J1" i="15"/>
  <c r="A91" i="16" s="1"/>
  <c r="C146" i="9"/>
  <c r="C147" i="9"/>
  <c r="C148" i="9"/>
  <c r="C149" i="9"/>
  <c r="C150" i="9"/>
  <c r="C151" i="9"/>
  <c r="C152" i="9"/>
  <c r="C153" i="9"/>
  <c r="C154" i="9"/>
  <c r="C155" i="9"/>
  <c r="C156" i="9"/>
  <c r="C157" i="9"/>
  <c r="N33" i="18"/>
  <c r="N32" i="18"/>
  <c r="N31" i="18"/>
  <c r="N30" i="18"/>
  <c r="N29" i="18"/>
  <c r="N28" i="18"/>
  <c r="N27" i="18"/>
  <c r="N26" i="18"/>
  <c r="N25" i="18"/>
  <c r="D34" i="2"/>
  <c r="D34" i="13" s="1"/>
  <c r="Y42" i="23"/>
  <c r="Y39" i="23"/>
  <c r="Y36" i="23"/>
  <c r="Y33" i="23"/>
  <c r="Y30" i="23"/>
  <c r="Y27" i="23"/>
  <c r="Y24" i="23"/>
  <c r="Y21" i="23"/>
  <c r="Y18" i="23"/>
  <c r="Y15" i="23"/>
  <c r="Y12" i="23"/>
  <c r="Y9" i="23"/>
  <c r="T42" i="23"/>
  <c r="T39" i="23"/>
  <c r="T36" i="23"/>
  <c r="T33" i="23"/>
  <c r="T30" i="23"/>
  <c r="T27" i="23"/>
  <c r="T24" i="23"/>
  <c r="T21" i="23"/>
  <c r="T18" i="23"/>
  <c r="T15" i="23"/>
  <c r="T12" i="23"/>
  <c r="T9" i="23"/>
  <c r="O42" i="23"/>
  <c r="O39" i="23"/>
  <c r="O36" i="23"/>
  <c r="O33" i="23"/>
  <c r="O30" i="23"/>
  <c r="O27" i="23"/>
  <c r="O24" i="23"/>
  <c r="O21" i="23"/>
  <c r="O18" i="23"/>
  <c r="O15" i="23"/>
  <c r="O12" i="23"/>
  <c r="O9" i="23"/>
  <c r="J42" i="23"/>
  <c r="J39" i="23"/>
  <c r="J36" i="23"/>
  <c r="J33" i="23"/>
  <c r="J30" i="23"/>
  <c r="J27" i="23"/>
  <c r="J24" i="23"/>
  <c r="J21" i="23"/>
  <c r="J18" i="23"/>
  <c r="J15" i="23"/>
  <c r="J12" i="23"/>
  <c r="J9" i="23"/>
  <c r="E9" i="23"/>
  <c r="K62" i="2" s="1"/>
  <c r="B76" i="16" s="1"/>
  <c r="C57" i="20"/>
  <c r="F134" i="9"/>
  <c r="E134" i="9"/>
  <c r="F146" i="9"/>
  <c r="E146" i="9"/>
  <c r="C134" i="9"/>
  <c r="AD40" i="23"/>
  <c r="AD41" i="23"/>
  <c r="AD37" i="23"/>
  <c r="AD38" i="23"/>
  <c r="AD34" i="23"/>
  <c r="AD35" i="23"/>
  <c r="AD31" i="23"/>
  <c r="AD32" i="23"/>
  <c r="AD28" i="23"/>
  <c r="AD29" i="23"/>
  <c r="AD25" i="23"/>
  <c r="AD26" i="23"/>
  <c r="AD22" i="23"/>
  <c r="AD23" i="23"/>
  <c r="AD19" i="23"/>
  <c r="AD20" i="23"/>
  <c r="AD16" i="23"/>
  <c r="AD17" i="23"/>
  <c r="AD13" i="23"/>
  <c r="AD14" i="23"/>
  <c r="AD10" i="23"/>
  <c r="AD11" i="23"/>
  <c r="AD7" i="23"/>
  <c r="AD8" i="23"/>
  <c r="N50" i="4"/>
  <c r="O51" i="18" s="1"/>
  <c r="K3" i="4"/>
  <c r="A78" i="4" s="1"/>
  <c r="L2" i="4"/>
  <c r="N50" i="5"/>
  <c r="P51" i="18" s="1"/>
  <c r="K3" i="5"/>
  <c r="A78" i="5" s="1"/>
  <c r="L2" i="5"/>
  <c r="N50" i="13"/>
  <c r="Q51" i="18" s="1"/>
  <c r="K3" i="13"/>
  <c r="L2" i="13"/>
  <c r="N50" i="14"/>
  <c r="R51" i="18" s="1"/>
  <c r="K3" i="14"/>
  <c r="L2" i="14"/>
  <c r="N33" i="2"/>
  <c r="C43" i="20" s="1"/>
  <c r="N34" i="2"/>
  <c r="C45" i="20" s="1"/>
  <c r="N35" i="2"/>
  <c r="C47" i="20" s="1"/>
  <c r="N36" i="2"/>
  <c r="C49" i="20" s="1"/>
  <c r="N37" i="2"/>
  <c r="C51" i="20" s="1"/>
  <c r="N39" i="2"/>
  <c r="C55" i="20" s="1"/>
  <c r="N50" i="2"/>
  <c r="N51" i="18" s="1"/>
  <c r="A1" i="5"/>
  <c r="H32" i="2"/>
  <c r="H33" i="2"/>
  <c r="K33" i="2" s="1"/>
  <c r="B42" i="16" s="1"/>
  <c r="K39" i="2"/>
  <c r="K50" i="4"/>
  <c r="C62" i="16" s="1"/>
  <c r="K50" i="5"/>
  <c r="D62" i="16" s="1"/>
  <c r="K50" i="13"/>
  <c r="E63" i="16" s="1"/>
  <c r="K50" i="14"/>
  <c r="F63" i="16" s="1"/>
  <c r="K50" i="2"/>
  <c r="I51" i="18" s="1"/>
  <c r="E44" i="23"/>
  <c r="E46" i="23" s="1"/>
  <c r="K34" i="2"/>
  <c r="B44" i="16" s="1"/>
  <c r="K36" i="2"/>
  <c r="B49" i="20" s="1"/>
  <c r="K37" i="2"/>
  <c r="B50" i="16" s="1"/>
  <c r="K7" i="4"/>
  <c r="K7" i="5"/>
  <c r="K7" i="13"/>
  <c r="K7" i="14"/>
  <c r="G9" i="23"/>
  <c r="C74" i="20" s="1"/>
  <c r="G12" i="23"/>
  <c r="N63" i="2" s="1"/>
  <c r="C75" i="20" s="1"/>
  <c r="G15" i="23"/>
  <c r="N64" i="2" s="1"/>
  <c r="G18" i="23"/>
  <c r="N65" i="2"/>
  <c r="C77" i="20" s="1"/>
  <c r="G21" i="23"/>
  <c r="N66" i="2"/>
  <c r="C78" i="20" s="1"/>
  <c r="G24" i="23"/>
  <c r="N67" i="2" s="1"/>
  <c r="C79" i="20" s="1"/>
  <c r="G27" i="23"/>
  <c r="N68" i="2" s="1"/>
  <c r="C80" i="20" s="1"/>
  <c r="G30" i="23"/>
  <c r="N69" i="2" s="1"/>
  <c r="C81" i="20" s="1"/>
  <c r="G33" i="23"/>
  <c r="N70" i="2" s="1"/>
  <c r="C82" i="20" s="1"/>
  <c r="G36" i="23"/>
  <c r="N71" i="2" s="1"/>
  <c r="C83" i="20" s="1"/>
  <c r="G39" i="23"/>
  <c r="N72" i="2" s="1"/>
  <c r="C84" i="20" s="1"/>
  <c r="G42" i="23"/>
  <c r="N73" i="2" s="1"/>
  <c r="C85" i="20" s="1"/>
  <c r="G44" i="23"/>
  <c r="G45" i="23"/>
  <c r="Q88" i="14"/>
  <c r="O84" i="6"/>
  <c r="Q88" i="13"/>
  <c r="Q88" i="5"/>
  <c r="Q88" i="4"/>
  <c r="R88" i="2"/>
  <c r="E45" i="23"/>
  <c r="O63" i="6"/>
  <c r="O64" i="6"/>
  <c r="O65" i="6"/>
  <c r="O66" i="6"/>
  <c r="O67" i="6"/>
  <c r="O68" i="6"/>
  <c r="O69" i="6"/>
  <c r="O70" i="6"/>
  <c r="O71" i="6"/>
  <c r="O72" i="6"/>
  <c r="O73" i="6"/>
  <c r="D2" i="20"/>
  <c r="Y4" i="23"/>
  <c r="T4" i="23"/>
  <c r="O4" i="23"/>
  <c r="J4" i="23"/>
  <c r="E42" i="23"/>
  <c r="K73" i="2" s="1"/>
  <c r="J73" i="4" s="1"/>
  <c r="E39" i="23"/>
  <c r="K72" i="2"/>
  <c r="J72" i="2" s="1"/>
  <c r="E36" i="23"/>
  <c r="K71" i="2" s="1"/>
  <c r="E33" i="23"/>
  <c r="K70" i="2" s="1"/>
  <c r="B84" i="16" s="1"/>
  <c r="E30" i="23"/>
  <c r="K69" i="2" s="1"/>
  <c r="B83" i="16" s="1"/>
  <c r="E27" i="23"/>
  <c r="K68" i="2" s="1"/>
  <c r="J68" i="4" s="1"/>
  <c r="E24" i="23"/>
  <c r="K67" i="2"/>
  <c r="B79" i="20" s="1"/>
  <c r="E21" i="23"/>
  <c r="K66" i="2"/>
  <c r="J66" i="2" s="1"/>
  <c r="E18" i="23"/>
  <c r="K65" i="2" s="1"/>
  <c r="B79" i="16" s="1"/>
  <c r="E15" i="23"/>
  <c r="K64" i="2" s="1"/>
  <c r="B76" i="20" s="1"/>
  <c r="E12" i="23"/>
  <c r="K63" i="2"/>
  <c r="J63" i="4" s="1"/>
  <c r="N67" i="18"/>
  <c r="I67" i="18"/>
  <c r="N63" i="18"/>
  <c r="N61" i="18"/>
  <c r="N59" i="18"/>
  <c r="N57" i="18"/>
  <c r="L51" i="18"/>
  <c r="M51" i="18"/>
  <c r="O62" i="6"/>
  <c r="G73" i="14"/>
  <c r="G72" i="14"/>
  <c r="G71" i="14"/>
  <c r="G70" i="14"/>
  <c r="G69" i="14"/>
  <c r="G68" i="14"/>
  <c r="G67" i="14"/>
  <c r="G66" i="14"/>
  <c r="G65" i="14"/>
  <c r="G64" i="14"/>
  <c r="G63" i="14"/>
  <c r="G62" i="14"/>
  <c r="G73" i="13"/>
  <c r="G72" i="13"/>
  <c r="G71" i="13"/>
  <c r="G70" i="13"/>
  <c r="G69" i="13"/>
  <c r="G68" i="13"/>
  <c r="G67" i="13"/>
  <c r="G66" i="13"/>
  <c r="G65" i="13"/>
  <c r="G64" i="13"/>
  <c r="G63" i="13"/>
  <c r="G62" i="13"/>
  <c r="G73" i="5"/>
  <c r="G72" i="5"/>
  <c r="G71" i="5"/>
  <c r="G70" i="5"/>
  <c r="G69" i="5"/>
  <c r="G68" i="5"/>
  <c r="G67" i="5"/>
  <c r="G66" i="5"/>
  <c r="G65" i="5"/>
  <c r="G64" i="5"/>
  <c r="G63" i="5"/>
  <c r="G62" i="5"/>
  <c r="G73" i="4"/>
  <c r="G72" i="4"/>
  <c r="G71" i="4"/>
  <c r="G70" i="4"/>
  <c r="G69" i="4"/>
  <c r="G68" i="4"/>
  <c r="G67" i="4"/>
  <c r="G66" i="4"/>
  <c r="G65" i="4"/>
  <c r="G64" i="4"/>
  <c r="G63" i="4"/>
  <c r="G62" i="4"/>
  <c r="P73" i="14"/>
  <c r="P72" i="14"/>
  <c r="P71" i="14"/>
  <c r="P70" i="14"/>
  <c r="P69" i="14"/>
  <c r="P68" i="14"/>
  <c r="P67" i="14"/>
  <c r="P66" i="14"/>
  <c r="P65" i="14"/>
  <c r="P64" i="14"/>
  <c r="P63" i="14"/>
  <c r="P62" i="14"/>
  <c r="P73" i="13"/>
  <c r="P72" i="13"/>
  <c r="P71" i="13"/>
  <c r="P70" i="13"/>
  <c r="P69" i="13"/>
  <c r="P68" i="13"/>
  <c r="P67" i="13"/>
  <c r="P66" i="13"/>
  <c r="P65" i="13"/>
  <c r="P64" i="13"/>
  <c r="P63" i="13"/>
  <c r="P62" i="13"/>
  <c r="P73" i="5"/>
  <c r="P72" i="5"/>
  <c r="P71" i="5"/>
  <c r="P70" i="5"/>
  <c r="P69" i="5"/>
  <c r="P68" i="5"/>
  <c r="P67" i="5"/>
  <c r="P66" i="5"/>
  <c r="P65" i="5"/>
  <c r="P64" i="5"/>
  <c r="P63" i="5"/>
  <c r="P62" i="5"/>
  <c r="P73" i="4"/>
  <c r="P72" i="4"/>
  <c r="P71" i="4"/>
  <c r="P70" i="4"/>
  <c r="P69" i="4"/>
  <c r="P68" i="4"/>
  <c r="P67" i="4"/>
  <c r="P66" i="4"/>
  <c r="P65" i="4"/>
  <c r="P64" i="4"/>
  <c r="P63" i="4"/>
  <c r="P62" i="4"/>
  <c r="P73" i="2"/>
  <c r="P72" i="2"/>
  <c r="P71" i="2"/>
  <c r="P70" i="2"/>
  <c r="P69" i="2"/>
  <c r="P68" i="2"/>
  <c r="P67" i="2"/>
  <c r="P66" i="2"/>
  <c r="P65" i="2"/>
  <c r="P64" i="2"/>
  <c r="P63" i="2"/>
  <c r="P62" i="2"/>
  <c r="G73" i="2"/>
  <c r="G73" i="6" s="1"/>
  <c r="G72" i="2"/>
  <c r="G72" i="6" s="1"/>
  <c r="G71" i="2"/>
  <c r="G71" i="6" s="1"/>
  <c r="G70" i="2"/>
  <c r="G70" i="6" s="1"/>
  <c r="G69" i="2"/>
  <c r="G69" i="6" s="1"/>
  <c r="G68" i="2"/>
  <c r="G68" i="6" s="1"/>
  <c r="G67" i="2"/>
  <c r="G67" i="6" s="1"/>
  <c r="G66" i="2"/>
  <c r="G66" i="6" s="1"/>
  <c r="G65" i="2"/>
  <c r="G65" i="6" s="1"/>
  <c r="G64" i="2"/>
  <c r="G64" i="6" s="1"/>
  <c r="G63" i="2"/>
  <c r="G63" i="6" s="1"/>
  <c r="G62" i="2"/>
  <c r="G62" i="6" s="1"/>
  <c r="AC40" i="21"/>
  <c r="X40" i="21"/>
  <c r="Y40" i="21" s="1"/>
  <c r="S40" i="21"/>
  <c r="AC39" i="21"/>
  <c r="X39" i="21"/>
  <c r="S39" i="21"/>
  <c r="T39" i="21" s="1"/>
  <c r="AC38" i="21"/>
  <c r="X38" i="21"/>
  <c r="Y38" i="21" s="1"/>
  <c r="S38" i="21"/>
  <c r="AC37" i="21"/>
  <c r="X37" i="21"/>
  <c r="S37" i="21"/>
  <c r="AC32" i="21"/>
  <c r="X32" i="21"/>
  <c r="S32" i="21"/>
  <c r="AC31" i="21"/>
  <c r="AD31" i="21" s="1"/>
  <c r="X31" i="21"/>
  <c r="S31" i="21"/>
  <c r="AC30" i="21"/>
  <c r="X30" i="21"/>
  <c r="S30" i="21"/>
  <c r="AC29" i="21"/>
  <c r="AD29" i="21" s="1"/>
  <c r="X29" i="21"/>
  <c r="S29" i="21"/>
  <c r="AC24" i="21"/>
  <c r="X24" i="21"/>
  <c r="Y24" i="21" s="1"/>
  <c r="S24" i="21"/>
  <c r="AC23" i="21"/>
  <c r="X23" i="21"/>
  <c r="S23" i="21"/>
  <c r="AC22" i="21"/>
  <c r="X22" i="21"/>
  <c r="Y22" i="21" s="1"/>
  <c r="S22" i="21"/>
  <c r="AC21" i="21"/>
  <c r="X21" i="21"/>
  <c r="S21" i="21"/>
  <c r="AC16" i="21"/>
  <c r="X16" i="21"/>
  <c r="Y16" i="21" s="1"/>
  <c r="S16" i="21"/>
  <c r="AC15" i="21"/>
  <c r="AD15" i="21" s="1"/>
  <c r="X15" i="21"/>
  <c r="S15" i="21"/>
  <c r="AC14" i="21"/>
  <c r="X14" i="21"/>
  <c r="S14" i="21"/>
  <c r="AC13" i="21"/>
  <c r="AD13" i="21" s="1"/>
  <c r="X13" i="21"/>
  <c r="Y13" i="21" s="1"/>
  <c r="S13" i="21"/>
  <c r="AA41" i="21"/>
  <c r="V41" i="21"/>
  <c r="Q41" i="21"/>
  <c r="AD35" i="21"/>
  <c r="AB35" i="21"/>
  <c r="Y35" i="21"/>
  <c r="Y37" i="21" s="1"/>
  <c r="W35" i="21"/>
  <c r="T35" i="21"/>
  <c r="T40" i="21" s="1"/>
  <c r="R35" i="21"/>
  <c r="AA34" i="21"/>
  <c r="V34" i="21"/>
  <c r="Q34" i="21"/>
  <c r="AA33" i="21"/>
  <c r="V33" i="21"/>
  <c r="Q33" i="21"/>
  <c r="M12" i="21" s="1"/>
  <c r="AD27" i="21"/>
  <c r="AD30" i="21" s="1"/>
  <c r="AB27" i="21"/>
  <c r="Y27" i="21"/>
  <c r="W27" i="21"/>
  <c r="T27" i="21"/>
  <c r="R27" i="21"/>
  <c r="AA26" i="21"/>
  <c r="V26" i="21"/>
  <c r="Q26" i="21"/>
  <c r="AA25" i="21"/>
  <c r="V25" i="21"/>
  <c r="L11" i="21" s="1"/>
  <c r="Q25" i="21"/>
  <c r="AD19" i="21"/>
  <c r="AB19" i="21"/>
  <c r="Y19" i="21"/>
  <c r="Y21" i="21" s="1"/>
  <c r="W19" i="21"/>
  <c r="T19" i="21"/>
  <c r="T22" i="21" s="1"/>
  <c r="R19" i="21"/>
  <c r="AA18" i="21"/>
  <c r="V18" i="21"/>
  <c r="Q18" i="21"/>
  <c r="AA17" i="21"/>
  <c r="V17" i="21"/>
  <c r="Q17" i="21"/>
  <c r="AD11" i="21"/>
  <c r="AD16" i="21" s="1"/>
  <c r="AB11" i="21"/>
  <c r="Y11" i="21"/>
  <c r="Y15" i="21" s="1"/>
  <c r="W11" i="21"/>
  <c r="T11" i="21"/>
  <c r="R11" i="21"/>
  <c r="AA10" i="21"/>
  <c r="V10" i="21"/>
  <c r="Q10" i="21"/>
  <c r="AA9" i="21"/>
  <c r="AC8" i="21"/>
  <c r="AD8" i="21" s="1"/>
  <c r="AC7" i="21"/>
  <c r="AC6" i="21"/>
  <c r="AC5" i="21"/>
  <c r="AD3" i="21"/>
  <c r="AD5" i="21" s="1"/>
  <c r="AB3" i="21"/>
  <c r="AA2" i="21"/>
  <c r="V9" i="21"/>
  <c r="X8" i="21"/>
  <c r="Y8" i="21" s="1"/>
  <c r="X7" i="21"/>
  <c r="X6" i="21"/>
  <c r="X5" i="21"/>
  <c r="Y3" i="21"/>
  <c r="W3" i="21"/>
  <c r="V2" i="21"/>
  <c r="S8" i="21"/>
  <c r="S7" i="21"/>
  <c r="T7" i="21" s="1"/>
  <c r="S6" i="21"/>
  <c r="S5" i="21"/>
  <c r="R3" i="21"/>
  <c r="T3" i="21"/>
  <c r="T8" i="21" s="1"/>
  <c r="D33" i="2"/>
  <c r="D33" i="5" s="1"/>
  <c r="E15" i="2"/>
  <c r="F15" i="2" s="1"/>
  <c r="A11" i="22"/>
  <c r="P11" i="22" s="1"/>
  <c r="A23" i="22"/>
  <c r="P23" i="22" s="1"/>
  <c r="A20" i="22"/>
  <c r="P20" i="22" s="1"/>
  <c r="A16" i="22"/>
  <c r="P16" i="22" s="1"/>
  <c r="A14" i="22"/>
  <c r="P14" i="22" s="1"/>
  <c r="B2" i="22"/>
  <c r="B4" i="22"/>
  <c r="H3" i="20"/>
  <c r="D3" i="16"/>
  <c r="E3" i="16"/>
  <c r="B2" i="16"/>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K3" i="6"/>
  <c r="A78" i="6" s="1"/>
  <c r="N8" i="18"/>
  <c r="N9" i="18"/>
  <c r="N10" i="18"/>
  <c r="N11" i="18"/>
  <c r="N12" i="18"/>
  <c r="N13" i="18"/>
  <c r="N14" i="18"/>
  <c r="N15" i="18"/>
  <c r="N16" i="18"/>
  <c r="N17" i="18"/>
  <c r="N18" i="18"/>
  <c r="N19" i="18"/>
  <c r="N20" i="18"/>
  <c r="N21" i="18"/>
  <c r="N7" i="18"/>
  <c r="A74" i="18"/>
  <c r="A73" i="18"/>
  <c r="I63" i="18"/>
  <c r="I61" i="18"/>
  <c r="I59" i="18"/>
  <c r="I57" i="18"/>
  <c r="A2" i="18"/>
  <c r="D35" i="2"/>
  <c r="D36" i="2"/>
  <c r="D37" i="2"/>
  <c r="F5" i="16"/>
  <c r="E5" i="16"/>
  <c r="D5" i="16"/>
  <c r="C5" i="16"/>
  <c r="N5" i="20"/>
  <c r="N111" i="20" s="1"/>
  <c r="K5" i="20"/>
  <c r="K111" i="20" s="1"/>
  <c r="H5" i="20"/>
  <c r="H111" i="20" s="1"/>
  <c r="E5" i="20"/>
  <c r="E111" i="20" s="1"/>
  <c r="N86" i="2"/>
  <c r="D40" i="2"/>
  <c r="A57" i="16" s="1"/>
  <c r="D39" i="2"/>
  <c r="D38" i="2"/>
  <c r="N3" i="20"/>
  <c r="D77" i="2"/>
  <c r="N85" i="6"/>
  <c r="E11" i="6"/>
  <c r="E9" i="6"/>
  <c r="E10" i="6"/>
  <c r="E8" i="6"/>
  <c r="L2" i="6"/>
  <c r="K2" i="6"/>
  <c r="C68" i="6"/>
  <c r="E10" i="5"/>
  <c r="E10" i="13"/>
  <c r="E10" i="14"/>
  <c r="E10" i="4"/>
  <c r="E8" i="5"/>
  <c r="E8" i="13"/>
  <c r="E8" i="14"/>
  <c r="E8" i="4"/>
  <c r="E11" i="5"/>
  <c r="E11" i="13"/>
  <c r="E11" i="14"/>
  <c r="E11" i="4"/>
  <c r="A1" i="4"/>
  <c r="A1" i="13"/>
  <c r="A1" i="14"/>
  <c r="M110" i="9"/>
  <c r="O110" i="9"/>
  <c r="A65" i="20"/>
  <c r="A64" i="20"/>
  <c r="P89" i="2"/>
  <c r="R104" i="20" s="1"/>
  <c r="P89" i="4"/>
  <c r="P89" i="5"/>
  <c r="P89" i="13"/>
  <c r="P89" i="14"/>
  <c r="Q93" i="5"/>
  <c r="Q91" i="5"/>
  <c r="Q90" i="5"/>
  <c r="Q89" i="5"/>
  <c r="Q93" i="13"/>
  <c r="Q91" i="13"/>
  <c r="Q90" i="13"/>
  <c r="Q89" i="13"/>
  <c r="Q93" i="14"/>
  <c r="Q91" i="14"/>
  <c r="Q90" i="14"/>
  <c r="Q89" i="14"/>
  <c r="Q93" i="4"/>
  <c r="Q91" i="4"/>
  <c r="Q90" i="4"/>
  <c r="Q89" i="4"/>
  <c r="R93" i="2"/>
  <c r="R91" i="2"/>
  <c r="R90" i="2"/>
  <c r="R89" i="2"/>
  <c r="C73" i="20"/>
  <c r="B73" i="20"/>
  <c r="C72" i="20"/>
  <c r="B72" i="20"/>
  <c r="C70" i="20"/>
  <c r="B70" i="20"/>
  <c r="C69" i="20"/>
  <c r="B69" i="20"/>
  <c r="C68" i="20"/>
  <c r="B68" i="20"/>
  <c r="C67" i="20"/>
  <c r="B67" i="20"/>
  <c r="B75" i="16"/>
  <c r="B74" i="16"/>
  <c r="B72" i="16"/>
  <c r="B71" i="16"/>
  <c r="B70" i="16"/>
  <c r="B69" i="16"/>
  <c r="K35" i="16"/>
  <c r="A35" i="16" s="1"/>
  <c r="K33" i="16"/>
  <c r="A33" i="16" s="1"/>
  <c r="K31" i="16"/>
  <c r="K29" i="16"/>
  <c r="A29" i="16" s="1"/>
  <c r="K27" i="16"/>
  <c r="K25" i="16"/>
  <c r="A26" i="16" s="1"/>
  <c r="K23" i="16"/>
  <c r="A24" i="16" s="1"/>
  <c r="K21" i="16"/>
  <c r="A22" i="16" s="1"/>
  <c r="K19" i="16"/>
  <c r="A20" i="16" s="1"/>
  <c r="K17" i="16"/>
  <c r="A17" i="16" s="1"/>
  <c r="K15" i="16"/>
  <c r="K13" i="16"/>
  <c r="A13" i="16" s="1"/>
  <c r="K11" i="16"/>
  <c r="A12" i="16" s="1"/>
  <c r="K9" i="16"/>
  <c r="A9" i="16" s="1"/>
  <c r="K7" i="16"/>
  <c r="A67" i="16"/>
  <c r="A66" i="16"/>
  <c r="AR36" i="20"/>
  <c r="V36" i="20"/>
  <c r="A37" i="20" s="1"/>
  <c r="AR34" i="20"/>
  <c r="V34" i="20"/>
  <c r="A35" i="20" s="1"/>
  <c r="AR32" i="20"/>
  <c r="V32" i="20"/>
  <c r="A33" i="20" s="1"/>
  <c r="AR30" i="20"/>
  <c r="V30" i="20"/>
  <c r="A30" i="20" s="1"/>
  <c r="AR28" i="20"/>
  <c r="V28" i="20"/>
  <c r="A29" i="20" s="1"/>
  <c r="AR26" i="20"/>
  <c r="V26" i="20"/>
  <c r="A27" i="20" s="1"/>
  <c r="AR24" i="20"/>
  <c r="V24" i="20"/>
  <c r="AR22" i="20"/>
  <c r="V22" i="20"/>
  <c r="A22" i="20" s="1"/>
  <c r="AR20" i="20"/>
  <c r="V20" i="20"/>
  <c r="A21" i="20" s="1"/>
  <c r="AR18" i="20"/>
  <c r="V18" i="20"/>
  <c r="A18" i="20" s="1"/>
  <c r="AR8" i="20"/>
  <c r="V8" i="20"/>
  <c r="A8" i="20"/>
  <c r="A62" i="16"/>
  <c r="A63" i="20"/>
  <c r="A65" i="16"/>
  <c r="A75" i="16"/>
  <c r="A74" i="16"/>
  <c r="A73" i="16"/>
  <c r="A72" i="16"/>
  <c r="A71" i="16"/>
  <c r="A70" i="16"/>
  <c r="A69" i="16"/>
  <c r="A73" i="20"/>
  <c r="A72" i="20"/>
  <c r="A71" i="20"/>
  <c r="A70" i="20"/>
  <c r="A69" i="20"/>
  <c r="A68" i="20"/>
  <c r="A67" i="20"/>
  <c r="A8" i="16"/>
  <c r="A7" i="16"/>
  <c r="V10" i="20"/>
  <c r="A11" i="20" s="1"/>
  <c r="A9" i="20"/>
  <c r="AR16" i="20"/>
  <c r="V16" i="20"/>
  <c r="A16" i="20" s="1"/>
  <c r="AR14" i="20"/>
  <c r="V14" i="20"/>
  <c r="AR12" i="20"/>
  <c r="V12" i="20"/>
  <c r="A12" i="20" s="1"/>
  <c r="AR10" i="20"/>
  <c r="Q111" i="20"/>
  <c r="B111" i="20"/>
  <c r="N2" i="20"/>
  <c r="F2" i="16"/>
  <c r="I3" i="21"/>
  <c r="F157" i="9"/>
  <c r="E157" i="9"/>
  <c r="D157" i="9"/>
  <c r="F156" i="9"/>
  <c r="E156" i="9"/>
  <c r="D156" i="9"/>
  <c r="F155" i="9"/>
  <c r="E155" i="9"/>
  <c r="D155" i="9"/>
  <c r="F154" i="9"/>
  <c r="E154" i="9"/>
  <c r="D154" i="9"/>
  <c r="F153" i="9"/>
  <c r="E153" i="9"/>
  <c r="D153" i="9"/>
  <c r="F152" i="9"/>
  <c r="E152" i="9"/>
  <c r="D152" i="9"/>
  <c r="F151" i="9"/>
  <c r="E151" i="9"/>
  <c r="D151" i="9"/>
  <c r="F150" i="9"/>
  <c r="E150" i="9"/>
  <c r="D150" i="9"/>
  <c r="F149" i="9"/>
  <c r="E149" i="9"/>
  <c r="D149" i="9"/>
  <c r="F148" i="9"/>
  <c r="E148" i="9"/>
  <c r="D148" i="9"/>
  <c r="F147" i="9"/>
  <c r="E147" i="9"/>
  <c r="D147" i="9"/>
  <c r="D146" i="9"/>
  <c r="F145" i="9"/>
  <c r="E145" i="9"/>
  <c r="D145" i="9"/>
  <c r="C145" i="9"/>
  <c r="F144" i="9"/>
  <c r="E144" i="9"/>
  <c r="D144" i="9"/>
  <c r="C144" i="9"/>
  <c r="F143" i="9"/>
  <c r="E143" i="9"/>
  <c r="D143" i="9"/>
  <c r="C143" i="9"/>
  <c r="F142" i="9"/>
  <c r="E142" i="9"/>
  <c r="D142" i="9"/>
  <c r="C142" i="9"/>
  <c r="F141" i="9"/>
  <c r="E141" i="9"/>
  <c r="D141" i="9"/>
  <c r="C141" i="9"/>
  <c r="F140" i="9"/>
  <c r="E140" i="9"/>
  <c r="D140" i="9"/>
  <c r="C140" i="9"/>
  <c r="F139" i="9"/>
  <c r="E139" i="9"/>
  <c r="D139" i="9"/>
  <c r="C139" i="9"/>
  <c r="F138" i="9"/>
  <c r="E138" i="9"/>
  <c r="D138" i="9"/>
  <c r="C138" i="9"/>
  <c r="F137" i="9"/>
  <c r="E137" i="9"/>
  <c r="D137" i="9"/>
  <c r="C137" i="9"/>
  <c r="F136" i="9"/>
  <c r="E136" i="9"/>
  <c r="D136" i="9"/>
  <c r="C136" i="9"/>
  <c r="F135" i="9"/>
  <c r="E135" i="9"/>
  <c r="D135" i="9"/>
  <c r="C135" i="9"/>
  <c r="D134" i="9"/>
  <c r="F133" i="9"/>
  <c r="E133" i="9"/>
  <c r="D133" i="9"/>
  <c r="C133" i="9"/>
  <c r="F132" i="9"/>
  <c r="E132" i="9"/>
  <c r="D132" i="9"/>
  <c r="C132" i="9"/>
  <c r="F131" i="9"/>
  <c r="E131" i="9"/>
  <c r="D131" i="9"/>
  <c r="C131" i="9"/>
  <c r="F130" i="9"/>
  <c r="E130" i="9"/>
  <c r="D130" i="9"/>
  <c r="C130" i="9"/>
  <c r="F129" i="9"/>
  <c r="E129" i="9"/>
  <c r="D129" i="9"/>
  <c r="C129" i="9"/>
  <c r="F128" i="9"/>
  <c r="E128" i="9"/>
  <c r="D128" i="9"/>
  <c r="C128" i="9"/>
  <c r="F127" i="9"/>
  <c r="E127" i="9"/>
  <c r="D127" i="9"/>
  <c r="C127" i="9"/>
  <c r="F126" i="9"/>
  <c r="E126" i="9"/>
  <c r="D126" i="9"/>
  <c r="C126" i="9"/>
  <c r="F125" i="9"/>
  <c r="E125" i="9"/>
  <c r="D125" i="9"/>
  <c r="C125" i="9"/>
  <c r="F124" i="9"/>
  <c r="E124" i="9"/>
  <c r="D124" i="9"/>
  <c r="C124" i="9"/>
  <c r="F123" i="9"/>
  <c r="E123" i="9"/>
  <c r="D123" i="9"/>
  <c r="C123" i="9"/>
  <c r="F122" i="9"/>
  <c r="E122" i="9"/>
  <c r="D122" i="9"/>
  <c r="C122" i="9"/>
  <c r="F121" i="9"/>
  <c r="E121" i="9"/>
  <c r="D121" i="9"/>
  <c r="C121" i="9"/>
  <c r="F120" i="9"/>
  <c r="E120" i="9"/>
  <c r="D120" i="9"/>
  <c r="C120" i="9"/>
  <c r="F119" i="9"/>
  <c r="E119" i="9"/>
  <c r="D119" i="9"/>
  <c r="C119" i="9"/>
  <c r="F118" i="9"/>
  <c r="E118" i="9"/>
  <c r="D118" i="9"/>
  <c r="C118" i="9"/>
  <c r="F117" i="9"/>
  <c r="E117" i="9"/>
  <c r="D117" i="9"/>
  <c r="C117" i="9"/>
  <c r="F116" i="9"/>
  <c r="E116" i="9"/>
  <c r="D116" i="9"/>
  <c r="C116" i="9"/>
  <c r="F115" i="9"/>
  <c r="E115" i="9"/>
  <c r="D115" i="9"/>
  <c r="C115" i="9"/>
  <c r="F114" i="9"/>
  <c r="E114" i="9"/>
  <c r="D114" i="9"/>
  <c r="C114" i="9"/>
  <c r="F113" i="9"/>
  <c r="E113" i="9"/>
  <c r="D113" i="9"/>
  <c r="C113" i="9"/>
  <c r="F112" i="9"/>
  <c r="E112" i="9"/>
  <c r="D112" i="9"/>
  <c r="C112" i="9"/>
  <c r="F111" i="9"/>
  <c r="E111" i="9"/>
  <c r="D111" i="9"/>
  <c r="C111" i="9"/>
  <c r="F110" i="9"/>
  <c r="E110" i="9"/>
  <c r="D110" i="9"/>
  <c r="C110" i="9"/>
  <c r="F109" i="9"/>
  <c r="E109" i="9"/>
  <c r="D109" i="9"/>
  <c r="C109" i="9"/>
  <c r="F108" i="9"/>
  <c r="E108" i="9"/>
  <c r="D108" i="9"/>
  <c r="C108" i="9"/>
  <c r="F107" i="9"/>
  <c r="E107" i="9"/>
  <c r="D107" i="9"/>
  <c r="C107" i="9"/>
  <c r="F106" i="9"/>
  <c r="E106" i="9"/>
  <c r="D106" i="9"/>
  <c r="C106" i="9"/>
  <c r="F105" i="9"/>
  <c r="E105" i="9"/>
  <c r="D105" i="9"/>
  <c r="C105" i="9"/>
  <c r="F104" i="9"/>
  <c r="E104" i="9"/>
  <c r="D104" i="9"/>
  <c r="C104" i="9"/>
  <c r="F103" i="9"/>
  <c r="E103" i="9"/>
  <c r="D103" i="9"/>
  <c r="C103" i="9"/>
  <c r="F102" i="9"/>
  <c r="E102" i="9"/>
  <c r="D102" i="9"/>
  <c r="C102" i="9"/>
  <c r="F101" i="9"/>
  <c r="E101" i="9"/>
  <c r="D101" i="9"/>
  <c r="C101" i="9"/>
  <c r="F100" i="9"/>
  <c r="E100" i="9"/>
  <c r="D100" i="9"/>
  <c r="C100" i="9"/>
  <c r="F99" i="9"/>
  <c r="E99" i="9"/>
  <c r="D99" i="9"/>
  <c r="C99" i="9"/>
  <c r="F98" i="9"/>
  <c r="E98" i="9"/>
  <c r="D98" i="9"/>
  <c r="C98" i="9"/>
  <c r="F97" i="9"/>
  <c r="E97" i="9"/>
  <c r="D97" i="9"/>
  <c r="C97" i="9"/>
  <c r="F96" i="9"/>
  <c r="E96" i="9"/>
  <c r="D96" i="9"/>
  <c r="C96" i="9"/>
  <c r="F95" i="9"/>
  <c r="E95" i="9"/>
  <c r="D95" i="9"/>
  <c r="C95" i="9"/>
  <c r="F94" i="9"/>
  <c r="E94" i="9"/>
  <c r="D94" i="9"/>
  <c r="C94" i="9"/>
  <c r="F93" i="9"/>
  <c r="E93" i="9"/>
  <c r="D93" i="9"/>
  <c r="C93" i="9"/>
  <c r="F92" i="9"/>
  <c r="E92" i="9"/>
  <c r="D92" i="9"/>
  <c r="C92" i="9"/>
  <c r="F91" i="9"/>
  <c r="E91" i="9"/>
  <c r="D91" i="9"/>
  <c r="C91" i="9"/>
  <c r="F90" i="9"/>
  <c r="E90" i="9"/>
  <c r="D90" i="9"/>
  <c r="C90" i="9"/>
  <c r="F89" i="9"/>
  <c r="E89" i="9"/>
  <c r="D89" i="9"/>
  <c r="C89" i="9"/>
  <c r="F88" i="9"/>
  <c r="E88" i="9"/>
  <c r="D88" i="9"/>
  <c r="C88" i="9"/>
  <c r="F87" i="9"/>
  <c r="E87" i="9"/>
  <c r="D87" i="9"/>
  <c r="C87" i="9"/>
  <c r="F86" i="9"/>
  <c r="E86" i="9"/>
  <c r="D86" i="9"/>
  <c r="C86" i="9"/>
  <c r="F85" i="9"/>
  <c r="E85" i="9"/>
  <c r="D85" i="9"/>
  <c r="C85" i="9"/>
  <c r="F84" i="9"/>
  <c r="E84" i="9"/>
  <c r="D84" i="9"/>
  <c r="C84" i="9"/>
  <c r="F83" i="9"/>
  <c r="E83" i="9"/>
  <c r="D83" i="9"/>
  <c r="C83" i="9"/>
  <c r="F82" i="9"/>
  <c r="E82" i="9"/>
  <c r="D82" i="9"/>
  <c r="C82" i="9"/>
  <c r="F81" i="9"/>
  <c r="E81" i="9"/>
  <c r="D81" i="9"/>
  <c r="C81" i="9"/>
  <c r="F80" i="9"/>
  <c r="E80" i="9"/>
  <c r="D80" i="9"/>
  <c r="C80" i="9"/>
  <c r="F79" i="9"/>
  <c r="E79" i="9"/>
  <c r="D79" i="9"/>
  <c r="C79" i="9"/>
  <c r="F78" i="9"/>
  <c r="E78" i="9"/>
  <c r="D78" i="9"/>
  <c r="C78" i="9"/>
  <c r="F77" i="9"/>
  <c r="E77" i="9"/>
  <c r="D77" i="9"/>
  <c r="C77" i="9"/>
  <c r="F76" i="9"/>
  <c r="E76" i="9"/>
  <c r="D76" i="9"/>
  <c r="C76" i="9"/>
  <c r="F75" i="9"/>
  <c r="E75" i="9"/>
  <c r="D75" i="9"/>
  <c r="C75" i="9"/>
  <c r="F74" i="9"/>
  <c r="E74" i="9"/>
  <c r="D74" i="9"/>
  <c r="C74" i="9"/>
  <c r="F73" i="9"/>
  <c r="E73" i="9"/>
  <c r="D73" i="9"/>
  <c r="C73" i="9"/>
  <c r="F72" i="9"/>
  <c r="E72" i="9"/>
  <c r="D72" i="9"/>
  <c r="C72" i="9"/>
  <c r="F71" i="9"/>
  <c r="E71" i="9"/>
  <c r="D71" i="9"/>
  <c r="C71" i="9"/>
  <c r="F70" i="9"/>
  <c r="E70" i="9"/>
  <c r="D70" i="9"/>
  <c r="C70" i="9"/>
  <c r="F69" i="9"/>
  <c r="E69" i="9"/>
  <c r="D69" i="9"/>
  <c r="C69" i="9"/>
  <c r="F68" i="9"/>
  <c r="E68" i="9"/>
  <c r="D68" i="9"/>
  <c r="C68" i="9"/>
  <c r="F67" i="9"/>
  <c r="E67" i="9"/>
  <c r="D67" i="9"/>
  <c r="C67" i="9"/>
  <c r="F66" i="9"/>
  <c r="E66" i="9"/>
  <c r="D66" i="9"/>
  <c r="C66" i="9"/>
  <c r="F65" i="9"/>
  <c r="E65" i="9"/>
  <c r="D65" i="9"/>
  <c r="C65" i="9"/>
  <c r="F64" i="9"/>
  <c r="E64" i="9"/>
  <c r="D64" i="9"/>
  <c r="C64" i="9"/>
  <c r="F63" i="9"/>
  <c r="E63" i="9"/>
  <c r="D63" i="9"/>
  <c r="C63" i="9"/>
  <c r="F62" i="9"/>
  <c r="E62" i="9"/>
  <c r="D62" i="9"/>
  <c r="C62" i="9"/>
  <c r="F61" i="9"/>
  <c r="E61" i="9"/>
  <c r="D61" i="9"/>
  <c r="C61" i="9"/>
  <c r="F60" i="9"/>
  <c r="E60" i="9"/>
  <c r="D60" i="9"/>
  <c r="C60" i="9"/>
  <c r="F59" i="9"/>
  <c r="E59" i="9"/>
  <c r="D59" i="9"/>
  <c r="C59" i="9"/>
  <c r="F58" i="9"/>
  <c r="E58" i="9"/>
  <c r="D58" i="9"/>
  <c r="C58" i="9"/>
  <c r="F57" i="9"/>
  <c r="E57" i="9"/>
  <c r="D57" i="9"/>
  <c r="C57" i="9"/>
  <c r="F56" i="9"/>
  <c r="E56" i="9"/>
  <c r="D56" i="9"/>
  <c r="C56" i="9"/>
  <c r="F55" i="9"/>
  <c r="E55" i="9"/>
  <c r="D55" i="9"/>
  <c r="C55" i="9"/>
  <c r="F54" i="9"/>
  <c r="E54" i="9"/>
  <c r="D54" i="9"/>
  <c r="C54" i="9"/>
  <c r="F53" i="9"/>
  <c r="E53" i="9"/>
  <c r="D53" i="9"/>
  <c r="C53" i="9"/>
  <c r="F52" i="9"/>
  <c r="E52" i="9"/>
  <c r="D52" i="9"/>
  <c r="C52" i="9"/>
  <c r="F51" i="9"/>
  <c r="E51" i="9"/>
  <c r="D51" i="9"/>
  <c r="C51" i="9"/>
  <c r="F50" i="9"/>
  <c r="E50" i="9"/>
  <c r="D50" i="9"/>
  <c r="C50" i="9"/>
  <c r="F49" i="9"/>
  <c r="E49" i="9"/>
  <c r="D49" i="9"/>
  <c r="C49" i="9"/>
  <c r="F48" i="9"/>
  <c r="E48" i="9"/>
  <c r="D48" i="9"/>
  <c r="C48" i="9"/>
  <c r="F47" i="9"/>
  <c r="E47" i="9"/>
  <c r="D47" i="9"/>
  <c r="C47" i="9"/>
  <c r="F46" i="9"/>
  <c r="E46" i="9"/>
  <c r="D46" i="9"/>
  <c r="C46" i="9"/>
  <c r="F45" i="9"/>
  <c r="E45" i="9"/>
  <c r="D45" i="9"/>
  <c r="C45" i="9"/>
  <c r="F44" i="9"/>
  <c r="E44" i="9"/>
  <c r="D44" i="9"/>
  <c r="C44" i="9"/>
  <c r="F43" i="9"/>
  <c r="E43" i="9"/>
  <c r="D43" i="9"/>
  <c r="C43" i="9"/>
  <c r="F42" i="9"/>
  <c r="E42" i="9"/>
  <c r="D42" i="9"/>
  <c r="C42" i="9"/>
  <c r="F41" i="9"/>
  <c r="E41" i="9"/>
  <c r="D41" i="9"/>
  <c r="C41" i="9"/>
  <c r="F40" i="9"/>
  <c r="E40" i="9"/>
  <c r="D40" i="9"/>
  <c r="C40" i="9"/>
  <c r="F39" i="9"/>
  <c r="E39" i="9"/>
  <c r="D39" i="9"/>
  <c r="C39" i="9"/>
  <c r="F38" i="9"/>
  <c r="E38" i="9"/>
  <c r="D38" i="9"/>
  <c r="C38" i="9"/>
  <c r="F37" i="9"/>
  <c r="E37" i="9"/>
  <c r="D37" i="9"/>
  <c r="C37" i="9"/>
  <c r="F36" i="9"/>
  <c r="E36" i="9"/>
  <c r="D36" i="9"/>
  <c r="C36" i="9"/>
  <c r="F35" i="9"/>
  <c r="E35" i="9"/>
  <c r="D35" i="9"/>
  <c r="C35" i="9"/>
  <c r="F34" i="9"/>
  <c r="E34" i="9"/>
  <c r="D34" i="9"/>
  <c r="C34" i="9"/>
  <c r="F33" i="9"/>
  <c r="E33" i="9"/>
  <c r="D33" i="9"/>
  <c r="C33"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5" i="9"/>
  <c r="E25" i="9"/>
  <c r="D25" i="9"/>
  <c r="C25" i="9"/>
  <c r="F24" i="9"/>
  <c r="E24" i="9"/>
  <c r="D24" i="9"/>
  <c r="C24" i="9"/>
  <c r="F23" i="9"/>
  <c r="E23" i="9"/>
  <c r="D23" i="9"/>
  <c r="C23" i="9"/>
  <c r="F22" i="9"/>
  <c r="E22" i="9"/>
  <c r="D22" i="9"/>
  <c r="C22" i="9"/>
  <c r="F21" i="9"/>
  <c r="E21" i="9"/>
  <c r="D21" i="9"/>
  <c r="C21" i="9"/>
  <c r="F20" i="9"/>
  <c r="E20" i="9"/>
  <c r="D20" i="9"/>
  <c r="C20" i="9"/>
  <c r="F19" i="9"/>
  <c r="E19" i="9"/>
  <c r="D19" i="9"/>
  <c r="C19" i="9"/>
  <c r="F18" i="9"/>
  <c r="E18" i="9"/>
  <c r="D18" i="9"/>
  <c r="C18" i="9"/>
  <c r="F17" i="9"/>
  <c r="E17" i="9"/>
  <c r="D17" i="9"/>
  <c r="C17" i="9"/>
  <c r="F16" i="9"/>
  <c r="E16" i="9"/>
  <c r="D16" i="9"/>
  <c r="C16" i="9"/>
  <c r="F15" i="9"/>
  <c r="E15" i="9"/>
  <c r="D15" i="9"/>
  <c r="C15" i="9"/>
  <c r="F14" i="9"/>
  <c r="E14" i="9"/>
  <c r="D14" i="9"/>
  <c r="C14" i="9"/>
  <c r="F13" i="9"/>
  <c r="E13" i="9"/>
  <c r="D13" i="9"/>
  <c r="C13" i="9"/>
  <c r="F12" i="9"/>
  <c r="E12" i="9"/>
  <c r="D12" i="9"/>
  <c r="C12" i="9"/>
  <c r="F11" i="9"/>
  <c r="E11" i="9"/>
  <c r="D11" i="9"/>
  <c r="C11" i="9"/>
  <c r="F10" i="9"/>
  <c r="E10" i="9"/>
  <c r="D10" i="9"/>
  <c r="C10" i="9"/>
  <c r="F9" i="9"/>
  <c r="E9" i="9"/>
  <c r="D9" i="9"/>
  <c r="C9" i="9"/>
  <c r="F8" i="9"/>
  <c r="E8" i="9"/>
  <c r="D8" i="9"/>
  <c r="C8" i="9"/>
  <c r="F7" i="9"/>
  <c r="E7" i="9"/>
  <c r="D7" i="9"/>
  <c r="C7" i="9"/>
  <c r="F6" i="9"/>
  <c r="E6" i="9"/>
  <c r="D6" i="9"/>
  <c r="C6" i="9"/>
  <c r="F5" i="9"/>
  <c r="E5" i="9"/>
  <c r="D5" i="9"/>
  <c r="C5" i="9"/>
  <c r="F4" i="9"/>
  <c r="E4" i="9"/>
  <c r="D4" i="9"/>
  <c r="C4" i="9"/>
  <c r="F3" i="9"/>
  <c r="E3" i="9"/>
  <c r="D3" i="9"/>
  <c r="C3" i="9"/>
  <c r="F2" i="9"/>
  <c r="D2" i="9"/>
  <c r="E2" i="9"/>
  <c r="C2" i="9"/>
  <c r="O157" i="9"/>
  <c r="M157" i="9"/>
  <c r="O156" i="9"/>
  <c r="M156" i="9"/>
  <c r="O155" i="9"/>
  <c r="M155" i="9"/>
  <c r="O154" i="9"/>
  <c r="M154" i="9"/>
  <c r="O153" i="9"/>
  <c r="M153" i="9"/>
  <c r="O152" i="9"/>
  <c r="M152" i="9"/>
  <c r="O151" i="9"/>
  <c r="M151" i="9"/>
  <c r="O150" i="9"/>
  <c r="M150" i="9"/>
  <c r="O149" i="9"/>
  <c r="M149" i="9"/>
  <c r="O148" i="9"/>
  <c r="M148" i="9"/>
  <c r="O147" i="9"/>
  <c r="M147" i="9"/>
  <c r="O146" i="9"/>
  <c r="M146" i="9"/>
  <c r="O145" i="9"/>
  <c r="M145" i="9"/>
  <c r="O144" i="9"/>
  <c r="M144" i="9"/>
  <c r="O143" i="9"/>
  <c r="M143" i="9"/>
  <c r="O142" i="9"/>
  <c r="M142" i="9"/>
  <c r="O141" i="9"/>
  <c r="M141" i="9"/>
  <c r="O140" i="9"/>
  <c r="M140" i="9"/>
  <c r="O139" i="9"/>
  <c r="M139" i="9"/>
  <c r="O138" i="9"/>
  <c r="M138" i="9"/>
  <c r="O137" i="9"/>
  <c r="M137" i="9"/>
  <c r="O136" i="9"/>
  <c r="M136" i="9"/>
  <c r="O135" i="9"/>
  <c r="M135" i="9"/>
  <c r="O134" i="9"/>
  <c r="M134" i="9"/>
  <c r="K134" i="9"/>
  <c r="O133" i="9"/>
  <c r="M133" i="9"/>
  <c r="K133" i="9"/>
  <c r="O132" i="9"/>
  <c r="M132" i="9"/>
  <c r="K132" i="9"/>
  <c r="O131" i="9"/>
  <c r="M131" i="9"/>
  <c r="O130" i="9"/>
  <c r="M130" i="9"/>
  <c r="K130" i="9"/>
  <c r="O129" i="9"/>
  <c r="M129" i="9"/>
  <c r="K129" i="9"/>
  <c r="O128" i="9"/>
  <c r="M128" i="9"/>
  <c r="K128" i="9"/>
  <c r="O127" i="9"/>
  <c r="M127" i="9"/>
  <c r="K127" i="9"/>
  <c r="O126" i="9"/>
  <c r="M126" i="9"/>
  <c r="K126" i="9"/>
  <c r="O125" i="9"/>
  <c r="M125" i="9"/>
  <c r="K125" i="9"/>
  <c r="O124" i="9"/>
  <c r="M124" i="9"/>
  <c r="K124" i="9"/>
  <c r="O123" i="9"/>
  <c r="M123" i="9"/>
  <c r="K123" i="9"/>
  <c r="O122" i="9"/>
  <c r="M122" i="9"/>
  <c r="K122" i="9"/>
  <c r="O121" i="9"/>
  <c r="M121" i="9"/>
  <c r="K121" i="9"/>
  <c r="O120" i="9"/>
  <c r="M120" i="9"/>
  <c r="K120" i="9"/>
  <c r="O119" i="9"/>
  <c r="M119" i="9"/>
  <c r="K119" i="9"/>
  <c r="O118" i="9"/>
  <c r="M118" i="9"/>
  <c r="K118" i="9"/>
  <c r="O117" i="9"/>
  <c r="M117" i="9"/>
  <c r="K117" i="9"/>
  <c r="O116" i="9"/>
  <c r="M116" i="9"/>
  <c r="K116" i="9"/>
  <c r="O115" i="9"/>
  <c r="M115" i="9"/>
  <c r="K115" i="9"/>
  <c r="O114" i="9"/>
  <c r="M114" i="9"/>
  <c r="K114" i="9"/>
  <c r="O113" i="9"/>
  <c r="M113" i="9"/>
  <c r="K113" i="9"/>
  <c r="O112" i="9"/>
  <c r="M112" i="9"/>
  <c r="K112" i="9"/>
  <c r="O111" i="9"/>
  <c r="M111"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3" i="9"/>
  <c r="K2" i="9"/>
  <c r="K131" i="9"/>
  <c r="K143" i="9"/>
  <c r="K139" i="9"/>
  <c r="K135" i="9"/>
  <c r="K136" i="9"/>
  <c r="K146" i="9"/>
  <c r="K156" i="9"/>
  <c r="K144" i="9"/>
  <c r="K140" i="9"/>
  <c r="K138" i="9"/>
  <c r="K142" i="9"/>
  <c r="K137" i="9"/>
  <c r="K141" i="9"/>
  <c r="K145" i="9"/>
  <c r="Q2" i="21"/>
  <c r="I4" i="21"/>
  <c r="Q9" i="21"/>
  <c r="L9" i="21" s="1"/>
  <c r="K49" i="6"/>
  <c r="N49" i="6"/>
  <c r="N48" i="6"/>
  <c r="N47" i="6"/>
  <c r="N46" i="6"/>
  <c r="N45" i="6"/>
  <c r="K46" i="6"/>
  <c r="K47" i="6"/>
  <c r="K48" i="6"/>
  <c r="K45" i="6"/>
  <c r="B46" i="6"/>
  <c r="B47" i="6"/>
  <c r="B48" i="6"/>
  <c r="B49" i="6"/>
  <c r="B45" i="6"/>
  <c r="O104" i="20"/>
  <c r="L104" i="20"/>
  <c r="I104" i="20"/>
  <c r="F104" i="20"/>
  <c r="C104" i="20"/>
  <c r="O88" i="6"/>
  <c r="O87" i="6"/>
  <c r="O86" i="6"/>
  <c r="O85" i="6"/>
  <c r="G89" i="6"/>
  <c r="G88" i="6"/>
  <c r="G86" i="6"/>
  <c r="A1" i="20"/>
  <c r="O61" i="6"/>
  <c r="O60" i="6"/>
  <c r="O59" i="6"/>
  <c r="O58" i="6"/>
  <c r="O57" i="6"/>
  <c r="O56" i="6"/>
  <c r="O55" i="6"/>
  <c r="O52" i="6"/>
  <c r="O51" i="6"/>
  <c r="O50" i="6"/>
  <c r="M30" i="2"/>
  <c r="I30" i="2"/>
  <c r="J30" i="2"/>
  <c r="H30" i="2"/>
  <c r="G15" i="6"/>
  <c r="G16" i="6"/>
  <c r="H19" i="8"/>
  <c r="F19" i="8"/>
  <c r="D19" i="8"/>
  <c r="K7" i="6"/>
  <c r="K5" i="6"/>
  <c r="A1" i="6"/>
  <c r="C61" i="6"/>
  <c r="C60" i="6"/>
  <c r="C58" i="6"/>
  <c r="C57" i="6"/>
  <c r="C56" i="6"/>
  <c r="C55" i="6"/>
  <c r="C61" i="14"/>
  <c r="C60" i="14"/>
  <c r="C58" i="14"/>
  <c r="C57" i="14"/>
  <c r="C56" i="14"/>
  <c r="C55" i="14"/>
  <c r="C61" i="13"/>
  <c r="C60" i="13"/>
  <c r="C58" i="13"/>
  <c r="C57" i="13"/>
  <c r="C56" i="13"/>
  <c r="C55" i="13"/>
  <c r="C61" i="5"/>
  <c r="C60" i="5"/>
  <c r="C58" i="5"/>
  <c r="C57" i="5"/>
  <c r="C56" i="5"/>
  <c r="C55" i="5"/>
  <c r="C61" i="4"/>
  <c r="C60" i="4"/>
  <c r="C56" i="4"/>
  <c r="C57" i="4"/>
  <c r="C58" i="4"/>
  <c r="C55" i="4"/>
  <c r="A11" i="2"/>
  <c r="A11" i="4" s="1"/>
  <c r="U71" i="18"/>
  <c r="A43" i="8"/>
  <c r="A42" i="8"/>
  <c r="A41" i="8"/>
  <c r="A40" i="8"/>
  <c r="A39" i="8"/>
  <c r="A38" i="8"/>
  <c r="A37" i="8"/>
  <c r="A36" i="8"/>
  <c r="A35" i="8"/>
  <c r="A34" i="8"/>
  <c r="A33" i="8"/>
  <c r="A32" i="8"/>
  <c r="A31" i="8"/>
  <c r="A30" i="8"/>
  <c r="B29" i="6"/>
  <c r="B28" i="6"/>
  <c r="B27" i="6"/>
  <c r="B26" i="6"/>
  <c r="B25" i="6"/>
  <c r="B24" i="6"/>
  <c r="B23" i="6"/>
  <c r="B22" i="6"/>
  <c r="B21" i="6"/>
  <c r="B20" i="6"/>
  <c r="B19" i="6"/>
  <c r="B18" i="6"/>
  <c r="B17" i="6"/>
  <c r="B16" i="6"/>
  <c r="E31" i="8"/>
  <c r="D31" i="8"/>
  <c r="F31" i="8"/>
  <c r="E32" i="8"/>
  <c r="E33" i="8"/>
  <c r="E34" i="8"/>
  <c r="E35" i="8"/>
  <c r="D35" i="8"/>
  <c r="F35" i="8"/>
  <c r="E36" i="8"/>
  <c r="E37" i="8"/>
  <c r="E38" i="8"/>
  <c r="E39" i="8"/>
  <c r="D39" i="8"/>
  <c r="F39" i="8"/>
  <c r="E40" i="8"/>
  <c r="E41" i="8"/>
  <c r="E42" i="8"/>
  <c r="E43" i="8"/>
  <c r="D43" i="8"/>
  <c r="F43" i="8"/>
  <c r="E30" i="8"/>
  <c r="E29" i="8"/>
  <c r="D32" i="8"/>
  <c r="F32" i="8"/>
  <c r="D33" i="8"/>
  <c r="D34" i="8"/>
  <c r="D36" i="8"/>
  <c r="F36" i="8"/>
  <c r="D37" i="8"/>
  <c r="D38" i="8"/>
  <c r="D40" i="8"/>
  <c r="F40" i="8"/>
  <c r="D41" i="8"/>
  <c r="D42" i="8"/>
  <c r="D30" i="8"/>
  <c r="D29" i="8"/>
  <c r="F33" i="8"/>
  <c r="F34" i="8"/>
  <c r="F37" i="8"/>
  <c r="F38" i="8"/>
  <c r="F41" i="8"/>
  <c r="F42" i="8"/>
  <c r="F30" i="8"/>
  <c r="F29" i="8"/>
  <c r="A29" i="8"/>
  <c r="G29" i="6"/>
  <c r="G28" i="6"/>
  <c r="G27" i="6"/>
  <c r="G26" i="6"/>
  <c r="G25" i="6"/>
  <c r="G24" i="6"/>
  <c r="G23" i="6"/>
  <c r="G22" i="6"/>
  <c r="G21" i="6"/>
  <c r="G20" i="6"/>
  <c r="G19" i="6"/>
  <c r="G18" i="6"/>
  <c r="G17" i="6"/>
  <c r="H13" i="8"/>
  <c r="F13" i="8"/>
  <c r="D13" i="8"/>
  <c r="H7" i="8"/>
  <c r="F7" i="8"/>
  <c r="D7" i="8"/>
  <c r="K8" i="6"/>
  <c r="A3" i="9"/>
  <c r="B3" i="9" s="1"/>
  <c r="A1" i="16"/>
  <c r="B2" i="9"/>
  <c r="D46" i="8"/>
  <c r="H46" i="8" s="1"/>
  <c r="C69" i="6"/>
  <c r="C65" i="6"/>
  <c r="C64" i="6"/>
  <c r="C67" i="6"/>
  <c r="C72" i="6"/>
  <c r="C62" i="6"/>
  <c r="C66" i="6"/>
  <c r="C73" i="6"/>
  <c r="C71" i="6"/>
  <c r="C70" i="6"/>
  <c r="C63" i="6"/>
  <c r="Y39" i="21"/>
  <c r="Y23" i="21"/>
  <c r="D47" i="8"/>
  <c r="H47" i="8" s="1"/>
  <c r="J47" i="8" s="1"/>
  <c r="Y32" i="21"/>
  <c r="M10" i="21"/>
  <c r="L13" i="21"/>
  <c r="K149" i="9"/>
  <c r="K152" i="9"/>
  <c r="K155" i="9"/>
  <c r="K148" i="9"/>
  <c r="K154" i="9"/>
  <c r="K150" i="9"/>
  <c r="K147" i="9"/>
  <c r="K157" i="9"/>
  <c r="K151" i="9"/>
  <c r="K153" i="9"/>
  <c r="T6" i="21"/>
  <c r="T14" i="21"/>
  <c r="AD7" i="21"/>
  <c r="Y5" i="21"/>
  <c r="K42" i="16"/>
  <c r="G46" i="23"/>
  <c r="AF11" i="23"/>
  <c r="AF13" i="23"/>
  <c r="AF23" i="23"/>
  <c r="AF25" i="23"/>
  <c r="AF35" i="23"/>
  <c r="AF37" i="23"/>
  <c r="AA12" i="23"/>
  <c r="AF14" i="23"/>
  <c r="AF20" i="23"/>
  <c r="AA24" i="23"/>
  <c r="AA27" i="23"/>
  <c r="AA36" i="23"/>
  <c r="AA39" i="23"/>
  <c r="AF17" i="23"/>
  <c r="AF31" i="23"/>
  <c r="K40" i="2"/>
  <c r="D48" i="8"/>
  <c r="H48" i="8" s="1"/>
  <c r="L18" i="23"/>
  <c r="Q24" i="23"/>
  <c r="V30" i="23"/>
  <c r="L30" i="23"/>
  <c r="Q36" i="23"/>
  <c r="L15" i="23"/>
  <c r="V27" i="23"/>
  <c r="L27" i="23"/>
  <c r="V39" i="23"/>
  <c r="L9" i="23"/>
  <c r="Q30" i="23"/>
  <c r="Q42" i="23"/>
  <c r="T44" i="23"/>
  <c r="T46" i="23" s="1"/>
  <c r="L45" i="23"/>
  <c r="Y45" i="23"/>
  <c r="Y46" i="23" s="1"/>
  <c r="L12" i="23"/>
  <c r="L24" i="23"/>
  <c r="L36" i="23"/>
  <c r="Y44" i="23"/>
  <c r="L21" i="23"/>
  <c r="L33" i="23"/>
  <c r="Q12" i="23"/>
  <c r="L39" i="23"/>
  <c r="V42" i="23"/>
  <c r="L42" i="23"/>
  <c r="J45" i="23"/>
  <c r="V18" i="23"/>
  <c r="L44" i="23"/>
  <c r="J44" i="23"/>
  <c r="J46" i="23" s="1"/>
  <c r="T45" i="23"/>
  <c r="O45" i="23"/>
  <c r="O44" i="23"/>
  <c r="O46" i="23" s="1"/>
  <c r="V12" i="23"/>
  <c r="Q21" i="23"/>
  <c r="V24" i="23"/>
  <c r="Q33" i="23"/>
  <c r="V15" i="23"/>
  <c r="Q18" i="23"/>
  <c r="V36" i="23"/>
  <c r="Q15" i="23"/>
  <c r="V21" i="23"/>
  <c r="Q27" i="23"/>
  <c r="V33" i="23"/>
  <c r="Q39" i="23"/>
  <c r="AA15" i="23"/>
  <c r="AA21" i="23"/>
  <c r="AA42" i="23"/>
  <c r="AA30" i="23"/>
  <c r="AA18" i="23"/>
  <c r="AA33" i="23"/>
  <c r="AA44" i="23"/>
  <c r="AA45" i="23"/>
  <c r="AA9" i="23"/>
  <c r="V44" i="23"/>
  <c r="V45" i="23"/>
  <c r="V46" i="23" s="1"/>
  <c r="L46" i="23"/>
  <c r="Q45" i="23"/>
  <c r="V9" i="23"/>
  <c r="Q44" i="23"/>
  <c r="Q9" i="23"/>
  <c r="AF8" i="23"/>
  <c r="AF29" i="23"/>
  <c r="AF40" i="23"/>
  <c r="AF16" i="23"/>
  <c r="AF38" i="23"/>
  <c r="AF41" i="23"/>
  <c r="AF22" i="23"/>
  <c r="AF32" i="23"/>
  <c r="AF10" i="23"/>
  <c r="AF26" i="23"/>
  <c r="AF34" i="23"/>
  <c r="AF19" i="23"/>
  <c r="AF28" i="23"/>
  <c r="AF7" i="23"/>
  <c r="Q46" i="23"/>
  <c r="A78" i="13" l="1"/>
  <c r="A78" i="14"/>
  <c r="G77" i="4"/>
  <c r="D77" i="4"/>
  <c r="D77" i="5"/>
  <c r="D77" i="14"/>
  <c r="D77" i="13"/>
  <c r="Y7" i="21"/>
  <c r="L10" i="21"/>
  <c r="N10" i="21" s="1"/>
  <c r="L12" i="21"/>
  <c r="N12" i="21" s="1"/>
  <c r="M13" i="21"/>
  <c r="N13" i="21" s="1"/>
  <c r="Y29" i="21"/>
  <c r="B56" i="16"/>
  <c r="L40" i="2"/>
  <c r="C53" i="20"/>
  <c r="C98" i="20" s="1"/>
  <c r="B53" i="20"/>
  <c r="L38" i="2"/>
  <c r="Q25" i="14"/>
  <c r="Q24" i="14"/>
  <c r="B6" i="20"/>
  <c r="B63" i="16"/>
  <c r="A44" i="20"/>
  <c r="K44" i="16"/>
  <c r="D45" i="8"/>
  <c r="H45" i="8" s="1"/>
  <c r="J45" i="8" s="1"/>
  <c r="K51" i="18"/>
  <c r="F63" i="20"/>
  <c r="C63" i="16"/>
  <c r="E63" i="20"/>
  <c r="J51" i="18"/>
  <c r="J72" i="4"/>
  <c r="B86" i="16"/>
  <c r="B84" i="20"/>
  <c r="A4" i="9"/>
  <c r="D34" i="14"/>
  <c r="C63" i="20"/>
  <c r="D63" i="16"/>
  <c r="N63" i="20"/>
  <c r="A11" i="6"/>
  <c r="B15" i="6" s="1"/>
  <c r="H63" i="20"/>
  <c r="G25" i="4"/>
  <c r="I25" i="4" s="1"/>
  <c r="AC29" i="20" s="1"/>
  <c r="A44" i="16"/>
  <c r="Q27" i="4"/>
  <c r="B40" i="4"/>
  <c r="M40" i="4" s="1"/>
  <c r="AV58" i="20" s="1"/>
  <c r="AA53" i="26" s="1"/>
  <c r="D34" i="5"/>
  <c r="B51" i="20"/>
  <c r="D34" i="6"/>
  <c r="AR45" i="20"/>
  <c r="A45" i="20"/>
  <c r="A46" i="20"/>
  <c r="V45" i="20"/>
  <c r="A45" i="16"/>
  <c r="E5" i="23"/>
  <c r="G19" i="4"/>
  <c r="I19" i="4" s="1"/>
  <c r="AC17" i="20" s="1"/>
  <c r="B43" i="20"/>
  <c r="B15" i="4"/>
  <c r="Q29" i="13"/>
  <c r="G20" i="4"/>
  <c r="H20" i="4" s="1"/>
  <c r="Q18" i="16" s="1"/>
  <c r="B16" i="4"/>
  <c r="G29" i="4"/>
  <c r="H29" i="4" s="1"/>
  <c r="AB37" i="20" s="1"/>
  <c r="Q26" i="13"/>
  <c r="Q23" i="13"/>
  <c r="B6" i="16"/>
  <c r="Q27" i="13"/>
  <c r="B25" i="4"/>
  <c r="G22" i="4"/>
  <c r="H22" i="4" s="1"/>
  <c r="Q22" i="16" s="1"/>
  <c r="Q25" i="13"/>
  <c r="N60" i="4"/>
  <c r="N86" i="4"/>
  <c r="B39" i="4"/>
  <c r="M39" i="4" s="1"/>
  <c r="AV56" i="20" s="1"/>
  <c r="AA51" i="26" s="1"/>
  <c r="D37" i="13"/>
  <c r="A46" i="26"/>
  <c r="W46" i="26"/>
  <c r="K61" i="4"/>
  <c r="C75" i="16" s="1"/>
  <c r="K60" i="4"/>
  <c r="C74" i="16" s="1"/>
  <c r="B19" i="4"/>
  <c r="V43" i="20"/>
  <c r="AR43" i="20"/>
  <c r="E62" i="16"/>
  <c r="K46" i="16"/>
  <c r="W42" i="26"/>
  <c r="A42" i="26"/>
  <c r="K55" i="4"/>
  <c r="E67" i="20" s="1"/>
  <c r="B29" i="4"/>
  <c r="B23" i="4"/>
  <c r="B62" i="16"/>
  <c r="D33" i="4"/>
  <c r="A43" i="20"/>
  <c r="V53" i="20"/>
  <c r="W48" i="26"/>
  <c r="A48" i="26"/>
  <c r="N43" i="16"/>
  <c r="Y44" i="20"/>
  <c r="D39" i="26" s="1"/>
  <c r="Q29" i="5"/>
  <c r="G27" i="4"/>
  <c r="I27" i="4" s="1"/>
  <c r="AC33" i="20" s="1"/>
  <c r="Q25" i="5"/>
  <c r="K56" i="16"/>
  <c r="A52" i="26"/>
  <c r="W52" i="26"/>
  <c r="A58" i="20"/>
  <c r="B37" i="4"/>
  <c r="M37" i="4" s="1"/>
  <c r="AV52" i="20" s="1"/>
  <c r="AA47" i="26" s="1"/>
  <c r="N55" i="4"/>
  <c r="F67" i="20" s="1"/>
  <c r="B22" i="4"/>
  <c r="B17" i="4"/>
  <c r="B26" i="4"/>
  <c r="K63" i="20"/>
  <c r="D33" i="14"/>
  <c r="D33" i="13"/>
  <c r="B36" i="4"/>
  <c r="M36" i="4" s="1"/>
  <c r="AV50" i="20" s="1"/>
  <c r="AA45" i="26" s="1"/>
  <c r="Q21" i="13"/>
  <c r="Q18" i="5"/>
  <c r="B35" i="4"/>
  <c r="M35" i="4" s="1"/>
  <c r="AV48" i="20" s="1"/>
  <c r="AA43" i="26" s="1"/>
  <c r="Q28" i="5"/>
  <c r="G24" i="4"/>
  <c r="M24" i="4" s="1"/>
  <c r="AV27" i="20" s="1"/>
  <c r="AA22" i="26" s="1"/>
  <c r="Q21" i="5"/>
  <c r="N61" i="4"/>
  <c r="F73" i="20" s="1"/>
  <c r="A57" i="20"/>
  <c r="K58" i="4"/>
  <c r="C72" i="16" s="1"/>
  <c r="N58" i="4"/>
  <c r="F70" i="20" s="1"/>
  <c r="A49" i="16"/>
  <c r="A44" i="26"/>
  <c r="W44" i="26"/>
  <c r="D34" i="4"/>
  <c r="W40" i="26"/>
  <c r="A40" i="26"/>
  <c r="B34" i="4"/>
  <c r="M34" i="4" s="1"/>
  <c r="AV46" i="20" s="1"/>
  <c r="AA41" i="26" s="1"/>
  <c r="G28" i="4"/>
  <c r="H28" i="4" s="1"/>
  <c r="G21" i="4"/>
  <c r="H21" i="4" s="1"/>
  <c r="AB21" i="20" s="1"/>
  <c r="V55" i="20"/>
  <c r="W50" i="26"/>
  <c r="A50" i="26"/>
  <c r="A55" i="16"/>
  <c r="A56" i="20"/>
  <c r="D33" i="6"/>
  <c r="A38" i="26"/>
  <c r="W38" i="26"/>
  <c r="N41" i="16"/>
  <c r="Y42" i="20"/>
  <c r="D37" i="26" s="1"/>
  <c r="B24" i="4"/>
  <c r="B21" i="4"/>
  <c r="A54" i="16"/>
  <c r="B20" i="4"/>
  <c r="B27" i="4"/>
  <c r="N56" i="4"/>
  <c r="F68" i="20" s="1"/>
  <c r="B28" i="4"/>
  <c r="V57" i="20"/>
  <c r="A42" i="16"/>
  <c r="N57" i="4"/>
  <c r="O61" i="18" s="1"/>
  <c r="B33" i="4"/>
  <c r="M33" i="4" s="1"/>
  <c r="AV44" i="20" s="1"/>
  <c r="AA39" i="26" s="1"/>
  <c r="K57" i="4"/>
  <c r="E69" i="20" s="1"/>
  <c r="B18" i="4"/>
  <c r="K56" i="4"/>
  <c r="E68" i="20" s="1"/>
  <c r="A43" i="16"/>
  <c r="A42" i="20"/>
  <c r="A36" i="26"/>
  <c r="W36" i="26"/>
  <c r="G23" i="4"/>
  <c r="I23" i="4" s="1"/>
  <c r="AC25" i="20" s="1"/>
  <c r="J63" i="2"/>
  <c r="B75" i="20"/>
  <c r="B77" i="16"/>
  <c r="A32" i="20"/>
  <c r="G17" i="4"/>
  <c r="H17" i="4" s="1"/>
  <c r="B87" i="16"/>
  <c r="Y41" i="21"/>
  <c r="J71" i="4"/>
  <c r="B85" i="16"/>
  <c r="J71" i="2"/>
  <c r="B83" i="20"/>
  <c r="T23" i="21"/>
  <c r="T24" i="21"/>
  <c r="M11" i="21"/>
  <c r="N11" i="21" s="1"/>
  <c r="D36" i="4"/>
  <c r="T5" i="21"/>
  <c r="T9" i="21" s="1"/>
  <c r="Y6" i="21"/>
  <c r="Y9" i="21" s="1"/>
  <c r="AD6" i="21"/>
  <c r="AD9" i="21" s="1"/>
  <c r="T15" i="21"/>
  <c r="AD24" i="21"/>
  <c r="T29" i="21"/>
  <c r="AD40" i="21"/>
  <c r="Y14" i="21"/>
  <c r="Y17" i="21" s="1"/>
  <c r="T21" i="21"/>
  <c r="T25" i="21" s="1"/>
  <c r="AD23" i="21"/>
  <c r="Y30" i="21"/>
  <c r="T37" i="21"/>
  <c r="AD39" i="21"/>
  <c r="K190" i="9"/>
  <c r="K191" i="9"/>
  <c r="V49" i="20"/>
  <c r="AD32" i="21"/>
  <c r="AD33" i="21" s="1"/>
  <c r="A48" i="16"/>
  <c r="A2" i="16"/>
  <c r="Y31" i="21"/>
  <c r="T38" i="21"/>
  <c r="AD14" i="21"/>
  <c r="AD17" i="21" s="1"/>
  <c r="K186" i="9"/>
  <c r="K183" i="9"/>
  <c r="K193" i="9"/>
  <c r="Y25" i="21"/>
  <c r="AR41" i="20"/>
  <c r="K189" i="9"/>
  <c r="K200" i="9"/>
  <c r="K197" i="9"/>
  <c r="AD21" i="23"/>
  <c r="K66" i="4" s="1"/>
  <c r="K66" i="5" s="1"/>
  <c r="AD15" i="23"/>
  <c r="K64" i="4" s="1"/>
  <c r="E76" i="20" s="1"/>
  <c r="B80" i="16"/>
  <c r="Q22" i="13"/>
  <c r="Q20" i="14"/>
  <c r="A26" i="20"/>
  <c r="J70" i="2"/>
  <c r="A18" i="16"/>
  <c r="J70" i="4"/>
  <c r="J64" i="2"/>
  <c r="A19" i="20"/>
  <c r="J73" i="2"/>
  <c r="J69" i="4"/>
  <c r="B85" i="20"/>
  <c r="A34" i="20"/>
  <c r="J64" i="4"/>
  <c r="B78" i="16"/>
  <c r="Q24" i="5"/>
  <c r="Q20" i="13"/>
  <c r="Q24" i="4"/>
  <c r="Q28" i="4"/>
  <c r="Q29" i="4"/>
  <c r="Q26" i="4"/>
  <c r="Q23" i="4"/>
  <c r="Q22" i="4"/>
  <c r="Q27" i="14"/>
  <c r="Q26" i="5"/>
  <c r="Q23" i="5"/>
  <c r="Q20" i="5"/>
  <c r="Q20" i="4"/>
  <c r="Q17" i="4"/>
  <c r="K76" i="5"/>
  <c r="D91" i="16" s="1"/>
  <c r="J48" i="8"/>
  <c r="J46" i="8"/>
  <c r="A21" i="16"/>
  <c r="B81" i="16"/>
  <c r="J67" i="2"/>
  <c r="J67" i="4"/>
  <c r="B74" i="20"/>
  <c r="A17" i="20"/>
  <c r="B82" i="20"/>
  <c r="AD30" i="23"/>
  <c r="K69" i="4" s="1"/>
  <c r="E81" i="20" s="1"/>
  <c r="Q16" i="13"/>
  <c r="B77" i="20"/>
  <c r="J65" i="4"/>
  <c r="AF36" i="23"/>
  <c r="N71" i="4" s="1"/>
  <c r="F83" i="20" s="1"/>
  <c r="A31" i="20"/>
  <c r="J65" i="2"/>
  <c r="B32" i="4"/>
  <c r="H32" i="4" s="1"/>
  <c r="Q29" i="14"/>
  <c r="Q28" i="13"/>
  <c r="Q27" i="5"/>
  <c r="G26" i="4"/>
  <c r="H26" i="4" s="1"/>
  <c r="Q25" i="4"/>
  <c r="Q23" i="14"/>
  <c r="Q22" i="5"/>
  <c r="Q19" i="5"/>
  <c r="L14" i="21"/>
  <c r="T16" i="21"/>
  <c r="AD37" i="21"/>
  <c r="T30" i="21"/>
  <c r="T13" i="21"/>
  <c r="T32" i="21"/>
  <c r="AD38" i="21"/>
  <c r="T31" i="21"/>
  <c r="AD22" i="21"/>
  <c r="M9" i="21"/>
  <c r="M14" i="21" s="1"/>
  <c r="AD21" i="21"/>
  <c r="O63" i="20"/>
  <c r="K50" i="6"/>
  <c r="F62" i="16"/>
  <c r="L63" i="20"/>
  <c r="I63" i="20"/>
  <c r="H38" i="8"/>
  <c r="J38" i="8" s="1"/>
  <c r="H35" i="8"/>
  <c r="J35" i="8" s="1"/>
  <c r="A2" i="20"/>
  <c r="B63" i="20"/>
  <c r="AD9" i="23"/>
  <c r="K62" i="4" s="1"/>
  <c r="J62" i="5" s="1"/>
  <c r="AD33" i="23"/>
  <c r="K70" i="4" s="1"/>
  <c r="C84" i="16" s="1"/>
  <c r="Q21" i="4"/>
  <c r="Q17" i="13"/>
  <c r="Q15" i="13"/>
  <c r="AR57" i="20"/>
  <c r="G16" i="4"/>
  <c r="M16" i="4" s="1"/>
  <c r="AF42" i="23"/>
  <c r="N73" i="6" s="1"/>
  <c r="A11" i="16"/>
  <c r="A36" i="20"/>
  <c r="H41" i="8"/>
  <c r="J41" i="8" s="1"/>
  <c r="AD27" i="23"/>
  <c r="K68" i="4" s="1"/>
  <c r="K68" i="5" s="1"/>
  <c r="AD39" i="23"/>
  <c r="K72" i="4" s="1"/>
  <c r="E84" i="20" s="1"/>
  <c r="A47" i="20"/>
  <c r="B57" i="20"/>
  <c r="A20" i="20"/>
  <c r="D35" i="14"/>
  <c r="A11" i="13"/>
  <c r="A28" i="20"/>
  <c r="I2" i="21"/>
  <c r="A12" i="22"/>
  <c r="P12" i="22" s="1"/>
  <c r="V47" i="20"/>
  <c r="D35" i="6"/>
  <c r="D35" i="13"/>
  <c r="A56" i="16"/>
  <c r="A11" i="5"/>
  <c r="A11" i="14"/>
  <c r="H43" i="8"/>
  <c r="J43" i="8" s="1"/>
  <c r="AF24" i="23"/>
  <c r="N67" i="4" s="1"/>
  <c r="F79" i="20" s="1"/>
  <c r="B52" i="16"/>
  <c r="K50" i="16"/>
  <c r="AR47" i="20"/>
  <c r="D37" i="6"/>
  <c r="D35" i="4"/>
  <c r="D37" i="5"/>
  <c r="D35" i="5"/>
  <c r="A48" i="20"/>
  <c r="A47" i="16"/>
  <c r="A30" i="16"/>
  <c r="AD12" i="23"/>
  <c r="K63" i="4" s="1"/>
  <c r="E75" i="20" s="1"/>
  <c r="AD24" i="23"/>
  <c r="K67" i="4" s="1"/>
  <c r="E79" i="20" s="1"/>
  <c r="AD36" i="23"/>
  <c r="K71" i="4" s="1"/>
  <c r="J71" i="5" s="1"/>
  <c r="AF27" i="23"/>
  <c r="N68" i="4" s="1"/>
  <c r="K48" i="16"/>
  <c r="H40" i="8"/>
  <c r="J40" i="8" s="1"/>
  <c r="H29" i="8"/>
  <c r="K32" i="2"/>
  <c r="B41" i="20" s="1"/>
  <c r="H33" i="8"/>
  <c r="J33" i="8" s="1"/>
  <c r="H30" i="8"/>
  <c r="J30" i="8" s="1"/>
  <c r="H39" i="8"/>
  <c r="J39" i="8" s="1"/>
  <c r="H34" i="8"/>
  <c r="J34" i="8" s="1"/>
  <c r="D44" i="8"/>
  <c r="H44" i="8" s="1"/>
  <c r="A13" i="20"/>
  <c r="A53" i="20"/>
  <c r="A34" i="16"/>
  <c r="A52" i="20"/>
  <c r="AR53" i="20"/>
  <c r="A50" i="20"/>
  <c r="A54" i="20"/>
  <c r="A19" i="16"/>
  <c r="D37" i="4"/>
  <c r="A49" i="20"/>
  <c r="H42" i="8"/>
  <c r="J42" i="8" s="1"/>
  <c r="H36" i="8"/>
  <c r="J36" i="8" s="1"/>
  <c r="Q16" i="5"/>
  <c r="B54" i="16"/>
  <c r="B55" i="20"/>
  <c r="AF18" i="23"/>
  <c r="N65" i="6" s="1"/>
  <c r="A23" i="20"/>
  <c r="A46" i="16"/>
  <c r="K52" i="16"/>
  <c r="D36" i="13"/>
  <c r="A41" i="20"/>
  <c r="D36" i="14"/>
  <c r="A51" i="16"/>
  <c r="AR51" i="20"/>
  <c r="V51" i="20"/>
  <c r="K40" i="16"/>
  <c r="A53" i="16"/>
  <c r="K54" i="16"/>
  <c r="A52" i="16"/>
  <c r="AR55" i="20"/>
  <c r="D36" i="6"/>
  <c r="A23" i="16"/>
  <c r="D36" i="5"/>
  <c r="N50" i="6"/>
  <c r="H32" i="8"/>
  <c r="J32" i="8" s="1"/>
  <c r="A76" i="4"/>
  <c r="A10" i="20"/>
  <c r="AR49" i="20"/>
  <c r="A25" i="16"/>
  <c r="D37" i="14"/>
  <c r="A40" i="16"/>
  <c r="K35" i="2"/>
  <c r="V41" i="20"/>
  <c r="A10" i="16"/>
  <c r="A76" i="5"/>
  <c r="AF39" i="23"/>
  <c r="N72" i="4" s="1"/>
  <c r="F84" i="20" s="1"/>
  <c r="A50" i="16"/>
  <c r="A41" i="16"/>
  <c r="A51" i="20"/>
  <c r="AF15" i="23"/>
  <c r="N64" i="6" s="1"/>
  <c r="A36" i="16"/>
  <c r="T51" i="18"/>
  <c r="AD18" i="23"/>
  <c r="K65" i="4" s="1"/>
  <c r="E77" i="20" s="1"/>
  <c r="A89" i="20"/>
  <c r="A55" i="20"/>
  <c r="H37" i="8"/>
  <c r="J37" i="8" s="1"/>
  <c r="A14" i="16"/>
  <c r="Q17" i="5"/>
  <c r="AF21" i="23"/>
  <c r="N66" i="4" s="1"/>
  <c r="F78" i="20" s="1"/>
  <c r="A15" i="16"/>
  <c r="A16" i="16"/>
  <c r="A24" i="20"/>
  <c r="A25" i="20"/>
  <c r="J68" i="2"/>
  <c r="B82" i="16"/>
  <c r="I69" i="18"/>
  <c r="C76" i="20"/>
  <c r="N88" i="2"/>
  <c r="C103" i="20" s="1"/>
  <c r="N69" i="18"/>
  <c r="B80" i="20"/>
  <c r="A15" i="20"/>
  <c r="A14" i="20"/>
  <c r="A28" i="16"/>
  <c r="A27" i="16"/>
  <c r="H31" i="8"/>
  <c r="J31" i="8" s="1"/>
  <c r="A31" i="16"/>
  <c r="A32" i="16"/>
  <c r="AD44" i="23"/>
  <c r="J66" i="4"/>
  <c r="B78" i="20"/>
  <c r="AD45" i="23"/>
  <c r="AF33" i="23"/>
  <c r="N70" i="6" s="1"/>
  <c r="J62" i="2"/>
  <c r="J62" i="4"/>
  <c r="AF30" i="23"/>
  <c r="N69" i="4" s="1"/>
  <c r="F81" i="20" s="1"/>
  <c r="B81" i="20"/>
  <c r="J69" i="2"/>
  <c r="AD42" i="23"/>
  <c r="B38" i="4"/>
  <c r="H38" i="4" s="1"/>
  <c r="Q24" i="13"/>
  <c r="Q22" i="14"/>
  <c r="Q21" i="14"/>
  <c r="Q19" i="13"/>
  <c r="Q19" i="4"/>
  <c r="G18" i="4"/>
  <c r="H18" i="4" s="1"/>
  <c r="Q16" i="4"/>
  <c r="A5" i="5"/>
  <c r="B18" i="5" s="1"/>
  <c r="Q18" i="4"/>
  <c r="G15" i="4"/>
  <c r="J15" i="4" s="1"/>
  <c r="AA46" i="23"/>
  <c r="K76" i="13"/>
  <c r="E91" i="16" s="1"/>
  <c r="A76" i="2"/>
  <c r="A76" i="6"/>
  <c r="K76" i="14"/>
  <c r="F91" i="16" s="1"/>
  <c r="K76" i="4"/>
  <c r="C91" i="16" s="1"/>
  <c r="AF45" i="23"/>
  <c r="AF9" i="23"/>
  <c r="AF12" i="23"/>
  <c r="AF44" i="23"/>
  <c r="B48" i="16"/>
  <c r="B45" i="20"/>
  <c r="K10" i="4"/>
  <c r="A76" i="13"/>
  <c r="A76" i="14"/>
  <c r="K199" i="9"/>
  <c r="K195" i="9"/>
  <c r="K205" i="9"/>
  <c r="K204" i="9"/>
  <c r="Q17" i="14"/>
  <c r="Q16" i="14"/>
  <c r="Q19" i="14"/>
  <c r="Q18" i="14"/>
  <c r="P18" i="4"/>
  <c r="P39" i="4"/>
  <c r="P28" i="4"/>
  <c r="P36" i="4"/>
  <c r="P20" i="4"/>
  <c r="P22" i="4"/>
  <c r="P21" i="4"/>
  <c r="P26" i="4"/>
  <c r="P16" i="4"/>
  <c r="P34" i="4"/>
  <c r="P32" i="4"/>
  <c r="P35" i="4"/>
  <c r="P24" i="4"/>
  <c r="P38" i="4"/>
  <c r="P19" i="4"/>
  <c r="P40" i="4"/>
  <c r="P27" i="4"/>
  <c r="P29" i="4"/>
  <c r="P17" i="4"/>
  <c r="P23" i="4"/>
  <c r="P33" i="4"/>
  <c r="P15" i="4"/>
  <c r="P25" i="4"/>
  <c r="P37" i="4"/>
  <c r="H40" i="4" l="1"/>
  <c r="K52" i="2"/>
  <c r="N52" i="2"/>
  <c r="N53" i="2" s="1"/>
  <c r="N54" i="18" s="1"/>
  <c r="T41" i="21"/>
  <c r="G63" i="16"/>
  <c r="P25" i="6"/>
  <c r="P20" i="6"/>
  <c r="P29" i="6"/>
  <c r="P27" i="6"/>
  <c r="P17" i="6"/>
  <c r="P26" i="6"/>
  <c r="P16" i="6"/>
  <c r="P28" i="6"/>
  <c r="P23" i="6"/>
  <c r="P18" i="6"/>
  <c r="P24" i="6"/>
  <c r="J22" i="4"/>
  <c r="P21" i="6"/>
  <c r="M22" i="4"/>
  <c r="N22" i="4" s="1"/>
  <c r="F22" i="20" s="1"/>
  <c r="S51" i="18"/>
  <c r="I22" i="4"/>
  <c r="R22" i="16" s="1"/>
  <c r="P19" i="6"/>
  <c r="AB23" i="20"/>
  <c r="G18" i="26" s="1"/>
  <c r="P22" i="6"/>
  <c r="C70" i="16"/>
  <c r="I29" i="4"/>
  <c r="R36" i="16" s="1"/>
  <c r="O32" i="18"/>
  <c r="B20" i="5"/>
  <c r="B22" i="5"/>
  <c r="B28" i="5"/>
  <c r="B17" i="5"/>
  <c r="B26" i="5"/>
  <c r="B16" i="5"/>
  <c r="B23" i="5"/>
  <c r="B19" i="5"/>
  <c r="B21" i="5"/>
  <c r="B27" i="5"/>
  <c r="B29" i="5"/>
  <c r="B15" i="5"/>
  <c r="B24" i="5"/>
  <c r="B25" i="5"/>
  <c r="D39" i="4"/>
  <c r="J5" i="23"/>
  <c r="C6" i="16"/>
  <c r="E6" i="20"/>
  <c r="H37" i="4"/>
  <c r="Q51" i="16" s="1"/>
  <c r="H36" i="4"/>
  <c r="AB50" i="20" s="1"/>
  <c r="G45" i="26" s="1"/>
  <c r="H39" i="4"/>
  <c r="AB56" i="20" s="1"/>
  <c r="C69" i="16"/>
  <c r="I17" i="4"/>
  <c r="R12" i="16" s="1"/>
  <c r="M29" i="4"/>
  <c r="O21" i="18" s="1"/>
  <c r="J17" i="4"/>
  <c r="AD13" i="20" s="1"/>
  <c r="J59" i="18"/>
  <c r="O28" i="18"/>
  <c r="J29" i="4"/>
  <c r="AD37" i="20" s="1"/>
  <c r="J57" i="18"/>
  <c r="H35" i="4"/>
  <c r="Q47" i="16" s="1"/>
  <c r="Q36" i="16"/>
  <c r="N39" i="4"/>
  <c r="F55" i="20" s="1"/>
  <c r="J63" i="18"/>
  <c r="H34" i="4"/>
  <c r="Q45" i="16" s="1"/>
  <c r="J67" i="18"/>
  <c r="B38" i="5"/>
  <c r="J61" i="18"/>
  <c r="H33" i="4"/>
  <c r="K33" i="4" s="1"/>
  <c r="F72" i="20"/>
  <c r="O67" i="18"/>
  <c r="D40" i="4"/>
  <c r="O33" i="18"/>
  <c r="A5" i="9"/>
  <c r="B4" i="9"/>
  <c r="H25" i="4"/>
  <c r="Q28" i="16" s="1"/>
  <c r="I21" i="4"/>
  <c r="AC21" i="20" s="1"/>
  <c r="J25" i="4"/>
  <c r="AD29" i="20" s="1"/>
  <c r="I24" i="26" s="1"/>
  <c r="M25" i="4"/>
  <c r="N25" i="4" s="1"/>
  <c r="F28" i="20" s="1"/>
  <c r="J23" i="4"/>
  <c r="AD25" i="20" s="1"/>
  <c r="R28" i="16"/>
  <c r="H27" i="4"/>
  <c r="AB33" i="20" s="1"/>
  <c r="R24" i="16"/>
  <c r="M27" i="4"/>
  <c r="AV33" i="20" s="1"/>
  <c r="M19" i="4"/>
  <c r="AV17" i="20" s="1"/>
  <c r="M26" i="4"/>
  <c r="AV31" i="20" s="1"/>
  <c r="J19" i="4"/>
  <c r="S16" i="16" s="1"/>
  <c r="M21" i="4"/>
  <c r="O13" i="18" s="1"/>
  <c r="J21" i="4"/>
  <c r="AD21" i="20" s="1"/>
  <c r="H19" i="4"/>
  <c r="AB17" i="20" s="1"/>
  <c r="O63" i="18"/>
  <c r="O30" i="18"/>
  <c r="R16" i="16"/>
  <c r="E73" i="20"/>
  <c r="C71" i="16"/>
  <c r="H23" i="4"/>
  <c r="Q20" i="16"/>
  <c r="J27" i="4"/>
  <c r="AD33" i="20" s="1"/>
  <c r="M17" i="4"/>
  <c r="AV13" i="20" s="1"/>
  <c r="R32" i="16"/>
  <c r="O29" i="18"/>
  <c r="J20" i="4"/>
  <c r="AD19" i="20" s="1"/>
  <c r="M23" i="4"/>
  <c r="N23" i="4" s="1"/>
  <c r="F24" i="20" s="1"/>
  <c r="AB19" i="20"/>
  <c r="G14" i="26" s="1"/>
  <c r="K72" i="5"/>
  <c r="H84" i="20" s="1"/>
  <c r="N70" i="4"/>
  <c r="F82" i="20" s="1"/>
  <c r="O59" i="18"/>
  <c r="E72" i="20"/>
  <c r="M20" i="4"/>
  <c r="AV19" i="20" s="1"/>
  <c r="AA14" i="26" s="1"/>
  <c r="J72" i="5"/>
  <c r="I20" i="4"/>
  <c r="C86" i="16"/>
  <c r="N35" i="4"/>
  <c r="F47" i="20" s="1"/>
  <c r="G62" i="16"/>
  <c r="O16" i="18"/>
  <c r="M28" i="4"/>
  <c r="AV35" i="20" s="1"/>
  <c r="AA30" i="26" s="1"/>
  <c r="G25" i="5"/>
  <c r="I28" i="4"/>
  <c r="AC35" i="20" s="1"/>
  <c r="J28" i="4"/>
  <c r="AD35" i="20" s="1"/>
  <c r="O57" i="18"/>
  <c r="F69" i="20"/>
  <c r="O26" i="18"/>
  <c r="Q63" i="20"/>
  <c r="E70" i="20"/>
  <c r="J24" i="4"/>
  <c r="AD27" i="20" s="1"/>
  <c r="I24" i="4"/>
  <c r="AC27" i="20" s="1"/>
  <c r="N33" i="4"/>
  <c r="F43" i="20" s="1"/>
  <c r="O27" i="18"/>
  <c r="H24" i="4"/>
  <c r="AB27" i="20" s="1"/>
  <c r="N37" i="4"/>
  <c r="F51" i="20" s="1"/>
  <c r="N34" i="4"/>
  <c r="F45" i="20" s="1"/>
  <c r="Q12" i="16"/>
  <c r="AB13" i="20"/>
  <c r="G8" i="26" s="1"/>
  <c r="H24" i="26"/>
  <c r="G16" i="26"/>
  <c r="O8" i="18"/>
  <c r="AV11" i="20"/>
  <c r="AB35" i="20"/>
  <c r="Q34" i="16"/>
  <c r="G32" i="26"/>
  <c r="C85" i="16"/>
  <c r="H20" i="26"/>
  <c r="Q41" i="16"/>
  <c r="AB42" i="20"/>
  <c r="H12" i="26"/>
  <c r="H28" i="26"/>
  <c r="G29" i="5"/>
  <c r="AB15" i="20"/>
  <c r="Q14" i="16"/>
  <c r="K59" i="4"/>
  <c r="E71" i="20" s="1"/>
  <c r="AB54" i="20"/>
  <c r="Q53" i="16"/>
  <c r="AD9" i="20"/>
  <c r="S8" i="16"/>
  <c r="AB31" i="20"/>
  <c r="Q30" i="16"/>
  <c r="K201" i="9"/>
  <c r="G15" i="5"/>
  <c r="E82" i="20"/>
  <c r="N69" i="6"/>
  <c r="C76" i="16"/>
  <c r="K51" i="4"/>
  <c r="C65" i="16" s="1"/>
  <c r="N66" i="5"/>
  <c r="N66" i="13" s="1"/>
  <c r="T17" i="21"/>
  <c r="G21" i="5"/>
  <c r="B40" i="16"/>
  <c r="N51" i="4"/>
  <c r="F64" i="20" s="1"/>
  <c r="K67" i="5"/>
  <c r="H79" i="20" s="1"/>
  <c r="Y33" i="21"/>
  <c r="J67" i="5"/>
  <c r="K203" i="9"/>
  <c r="K198" i="9"/>
  <c r="T33" i="21"/>
  <c r="N9" i="21"/>
  <c r="N14" i="21" s="1"/>
  <c r="K196" i="9"/>
  <c r="K202" i="9"/>
  <c r="K71" i="5"/>
  <c r="H83" i="20" s="1"/>
  <c r="N71" i="6"/>
  <c r="N67" i="6"/>
  <c r="J26" i="4"/>
  <c r="C81" i="16"/>
  <c r="N36" i="4"/>
  <c r="F49" i="20" s="1"/>
  <c r="C78" i="16"/>
  <c r="K32" i="4"/>
  <c r="E74" i="20"/>
  <c r="K64" i="5"/>
  <c r="K64" i="13" s="1"/>
  <c r="C77" i="16"/>
  <c r="J64" i="5"/>
  <c r="C83" i="16"/>
  <c r="K63" i="5"/>
  <c r="D77" i="16" s="1"/>
  <c r="N72" i="6"/>
  <c r="N68" i="6"/>
  <c r="J69" i="5"/>
  <c r="N73" i="4"/>
  <c r="N73" i="5" s="1"/>
  <c r="R63" i="20"/>
  <c r="I16" i="4"/>
  <c r="K62" i="5"/>
  <c r="J62" i="13" s="1"/>
  <c r="E83" i="20"/>
  <c r="K69" i="5"/>
  <c r="I26" i="4"/>
  <c r="N24" i="4"/>
  <c r="F26" i="20" s="1"/>
  <c r="J44" i="8"/>
  <c r="H80" i="20"/>
  <c r="D82" i="16"/>
  <c r="K68" i="13"/>
  <c r="E82" i="16" s="1"/>
  <c r="J63" i="5"/>
  <c r="E78" i="20"/>
  <c r="M32" i="4"/>
  <c r="AV42" i="20" s="1"/>
  <c r="E80" i="20"/>
  <c r="AD25" i="21"/>
  <c r="AD41" i="21"/>
  <c r="G19" i="5"/>
  <c r="G27" i="5"/>
  <c r="N65" i="4"/>
  <c r="F77" i="20" s="1"/>
  <c r="J70" i="5"/>
  <c r="M18" i="4"/>
  <c r="N18" i="4" s="1"/>
  <c r="J68" i="13"/>
  <c r="J66" i="5"/>
  <c r="K70" i="5"/>
  <c r="J68" i="5"/>
  <c r="J16" i="4"/>
  <c r="C82" i="16"/>
  <c r="H16" i="4"/>
  <c r="G17" i="5"/>
  <c r="G23" i="5"/>
  <c r="C80" i="16"/>
  <c r="J66" i="13"/>
  <c r="D80" i="16"/>
  <c r="H78" i="20"/>
  <c r="K66" i="13"/>
  <c r="K78" i="20" s="1"/>
  <c r="N64" i="4"/>
  <c r="F76" i="20" s="1"/>
  <c r="B47" i="20"/>
  <c r="B46" i="16"/>
  <c r="C79" i="16"/>
  <c r="AD46" i="23"/>
  <c r="A83" i="2" s="1"/>
  <c r="J65" i="5"/>
  <c r="K65" i="5"/>
  <c r="J65" i="13" s="1"/>
  <c r="A51" i="18"/>
  <c r="U51" i="18" s="1"/>
  <c r="A50" i="18"/>
  <c r="K73" i="4"/>
  <c r="J18" i="4"/>
  <c r="I18" i="4"/>
  <c r="M38" i="4"/>
  <c r="D38" i="4"/>
  <c r="N68" i="5"/>
  <c r="F80" i="20"/>
  <c r="N16" i="4"/>
  <c r="F10" i="20" s="1"/>
  <c r="N66" i="6"/>
  <c r="N40" i="4"/>
  <c r="K38" i="4"/>
  <c r="L38" i="4" s="1"/>
  <c r="I15" i="4"/>
  <c r="M15" i="4"/>
  <c r="AV9" i="20" s="1"/>
  <c r="H15" i="4"/>
  <c r="A5" i="13"/>
  <c r="G28" i="5"/>
  <c r="M28" i="5" s="1"/>
  <c r="B40" i="5"/>
  <c r="G16" i="5"/>
  <c r="M16" i="5" s="1"/>
  <c r="G18" i="5"/>
  <c r="M18" i="5" s="1"/>
  <c r="G24" i="5"/>
  <c r="M24" i="5" s="1"/>
  <c r="B34" i="5"/>
  <c r="M34" i="5" s="1"/>
  <c r="B32" i="5"/>
  <c r="B35" i="5"/>
  <c r="M35" i="5" s="1"/>
  <c r="G20" i="5"/>
  <c r="M20" i="5" s="1"/>
  <c r="G22" i="5"/>
  <c r="M22" i="5" s="1"/>
  <c r="N55" i="5"/>
  <c r="K55" i="5"/>
  <c r="K57" i="18" s="1"/>
  <c r="K57" i="5"/>
  <c r="K61" i="18" s="1"/>
  <c r="K61" i="5"/>
  <c r="K56" i="5"/>
  <c r="K59" i="18" s="1"/>
  <c r="N58" i="5"/>
  <c r="N61" i="5"/>
  <c r="B33" i="5"/>
  <c r="M33" i="5" s="1"/>
  <c r="B37" i="5"/>
  <c r="G26" i="5"/>
  <c r="M26" i="5" s="1"/>
  <c r="B36" i="5"/>
  <c r="B39" i="5"/>
  <c r="M39" i="5" s="1"/>
  <c r="N56" i="5"/>
  <c r="N86" i="5"/>
  <c r="N57" i="5"/>
  <c r="N60" i="5"/>
  <c r="K58" i="5"/>
  <c r="K63" i="18" s="1"/>
  <c r="K60" i="5"/>
  <c r="AF46" i="23"/>
  <c r="N63" i="6"/>
  <c r="N63" i="4"/>
  <c r="F75" i="20" s="1"/>
  <c r="N62" i="6"/>
  <c r="N62" i="4"/>
  <c r="N67" i="5"/>
  <c r="K8" i="5"/>
  <c r="G77" i="5" s="1"/>
  <c r="N69" i="5"/>
  <c r="C64" i="20"/>
  <c r="N72" i="5"/>
  <c r="N71" i="5"/>
  <c r="P33" i="5"/>
  <c r="P19" i="5"/>
  <c r="P36" i="5"/>
  <c r="P20" i="5"/>
  <c r="P34" i="5"/>
  <c r="P17" i="5"/>
  <c r="P23" i="5"/>
  <c r="P16" i="5"/>
  <c r="P37" i="5"/>
  <c r="P27" i="5"/>
  <c r="P39" i="5"/>
  <c r="P15" i="5"/>
  <c r="P18" i="5"/>
  <c r="P35" i="5"/>
  <c r="P26" i="5"/>
  <c r="P29" i="5"/>
  <c r="P38" i="5"/>
  <c r="P28" i="5"/>
  <c r="P22" i="5"/>
  <c r="P21" i="5"/>
  <c r="P40" i="5"/>
  <c r="P32" i="5"/>
  <c r="P25" i="5"/>
  <c r="P24" i="5"/>
  <c r="Q57" i="16" l="1"/>
  <c r="K40" i="4"/>
  <c r="K52" i="4"/>
  <c r="K52" i="5" s="1"/>
  <c r="B66" i="16"/>
  <c r="AD23" i="20"/>
  <c r="I18" i="26" s="1"/>
  <c r="S22" i="16"/>
  <c r="AB58" i="20"/>
  <c r="G53" i="26" s="1"/>
  <c r="B65" i="20"/>
  <c r="F57" i="20"/>
  <c r="O40" i="4"/>
  <c r="AC37" i="20"/>
  <c r="H32" i="26" s="1"/>
  <c r="AC23" i="20"/>
  <c r="H18" i="26" s="1"/>
  <c r="AV23" i="20"/>
  <c r="AA18" i="26" s="1"/>
  <c r="K22" i="4"/>
  <c r="L22" i="4" s="1"/>
  <c r="O14" i="18"/>
  <c r="M15" i="5"/>
  <c r="N15" i="5" s="1"/>
  <c r="I8" i="20" s="1"/>
  <c r="Q49" i="16"/>
  <c r="S12" i="16"/>
  <c r="K51" i="5"/>
  <c r="K51" i="13" s="1"/>
  <c r="K36" i="4"/>
  <c r="E49" i="20" s="1"/>
  <c r="S24" i="16"/>
  <c r="S18" i="16"/>
  <c r="AC13" i="20"/>
  <c r="H8" i="26" s="1"/>
  <c r="N29" i="4"/>
  <c r="F36" i="20" s="1"/>
  <c r="O17" i="18"/>
  <c r="AD17" i="20"/>
  <c r="I12" i="26" s="1"/>
  <c r="AV37" i="20"/>
  <c r="AA32" i="26" s="1"/>
  <c r="K37" i="4"/>
  <c r="C50" i="16" s="1"/>
  <c r="AB52" i="20"/>
  <c r="G47" i="26" s="1"/>
  <c r="H38" i="5"/>
  <c r="AE54" i="20" s="1"/>
  <c r="J49" i="26" s="1"/>
  <c r="M38" i="5"/>
  <c r="I96" i="20" s="1"/>
  <c r="H32" i="5"/>
  <c r="AE42" i="20" s="1"/>
  <c r="J37" i="26" s="1"/>
  <c r="M32" i="5"/>
  <c r="H37" i="5"/>
  <c r="K37" i="5" s="1"/>
  <c r="L37" i="5" s="1"/>
  <c r="H52" i="20" s="1"/>
  <c r="M37" i="5"/>
  <c r="AW52" i="20" s="1"/>
  <c r="H36" i="5"/>
  <c r="T49" i="16" s="1"/>
  <c r="M36" i="5"/>
  <c r="H40" i="5"/>
  <c r="AE58" i="20" s="1"/>
  <c r="J53" i="26" s="1"/>
  <c r="M40" i="5"/>
  <c r="M17" i="5"/>
  <c r="AW13" i="20" s="1"/>
  <c r="AB8" i="26" s="1"/>
  <c r="I29" i="5"/>
  <c r="AF37" i="20" s="1"/>
  <c r="K32" i="26" s="1"/>
  <c r="M29" i="5"/>
  <c r="AW37" i="20" s="1"/>
  <c r="AB32" i="26" s="1"/>
  <c r="M25" i="5"/>
  <c r="P17" i="18" s="1"/>
  <c r="H27" i="5"/>
  <c r="T32" i="16" s="1"/>
  <c r="M27" i="5"/>
  <c r="AW33" i="20" s="1"/>
  <c r="AB28" i="26" s="1"/>
  <c r="M21" i="5"/>
  <c r="AW21" i="20" s="1"/>
  <c r="AB16" i="26" s="1"/>
  <c r="I19" i="5"/>
  <c r="AF17" i="20" s="1"/>
  <c r="M19" i="5"/>
  <c r="I23" i="5"/>
  <c r="AF25" i="20" s="1"/>
  <c r="M23" i="5"/>
  <c r="B29" i="13"/>
  <c r="B21" i="13"/>
  <c r="B23" i="13"/>
  <c r="B22" i="13"/>
  <c r="B28" i="13"/>
  <c r="B20" i="13"/>
  <c r="B27" i="13"/>
  <c r="B19" i="13"/>
  <c r="B16" i="13"/>
  <c r="B26" i="13"/>
  <c r="B18" i="13"/>
  <c r="B24" i="13"/>
  <c r="B25" i="13"/>
  <c r="B17" i="13"/>
  <c r="H33" i="5"/>
  <c r="K33" i="5" s="1"/>
  <c r="L33" i="5" s="1"/>
  <c r="H44" i="20" s="1"/>
  <c r="AV29" i="20"/>
  <c r="AA24" i="26" s="1"/>
  <c r="K39" i="4"/>
  <c r="E55" i="20" s="1"/>
  <c r="K63" i="13"/>
  <c r="K75" i="20" s="1"/>
  <c r="S28" i="16"/>
  <c r="Q55" i="16"/>
  <c r="H39" i="5"/>
  <c r="T55" i="16" s="1"/>
  <c r="K20" i="4"/>
  <c r="L20" i="4" s="1"/>
  <c r="E19" i="20" s="1"/>
  <c r="K17" i="4"/>
  <c r="L17" i="4" s="1"/>
  <c r="E13" i="20" s="1"/>
  <c r="N51" i="5"/>
  <c r="N51" i="13" s="1"/>
  <c r="J65" i="18"/>
  <c r="I15" i="5"/>
  <c r="U8" i="16" s="1"/>
  <c r="S36" i="16"/>
  <c r="K74" i="4"/>
  <c r="E86" i="20" s="1"/>
  <c r="K29" i="4"/>
  <c r="L29" i="4" s="1"/>
  <c r="E37" i="20" s="1"/>
  <c r="AB29" i="20"/>
  <c r="G24" i="26" s="1"/>
  <c r="K34" i="4"/>
  <c r="L34" i="4" s="1"/>
  <c r="E46" i="20" s="1"/>
  <c r="K67" i="18"/>
  <c r="AB48" i="20"/>
  <c r="G43" i="26" s="1"/>
  <c r="H34" i="5"/>
  <c r="AE46" i="20" s="1"/>
  <c r="K35" i="4"/>
  <c r="L35" i="4" s="1"/>
  <c r="E48" i="20" s="1"/>
  <c r="H35" i="5"/>
  <c r="AE48" i="20" s="1"/>
  <c r="K53" i="4"/>
  <c r="C67" i="16" s="1"/>
  <c r="AB46" i="20"/>
  <c r="G41" i="26" s="1"/>
  <c r="K25" i="4"/>
  <c r="L25" i="4" s="1"/>
  <c r="C28" i="16" s="1"/>
  <c r="C42" i="16"/>
  <c r="L33" i="4"/>
  <c r="C43" i="16" s="1"/>
  <c r="D38" i="5"/>
  <c r="Q43" i="16"/>
  <c r="P67" i="18"/>
  <c r="AB44" i="20"/>
  <c r="G39" i="26" s="1"/>
  <c r="J69" i="18"/>
  <c r="R20" i="16"/>
  <c r="B5" i="9"/>
  <c r="A6" i="9"/>
  <c r="D81" i="16"/>
  <c r="J63" i="13"/>
  <c r="AV25" i="20"/>
  <c r="AA20" i="26" s="1"/>
  <c r="N20" i="4"/>
  <c r="F18" i="20" s="1"/>
  <c r="O15" i="18"/>
  <c r="K23" i="4"/>
  <c r="C23" i="16" s="1"/>
  <c r="N21" i="4"/>
  <c r="F20" i="20" s="1"/>
  <c r="S32" i="16"/>
  <c r="Q32" i="16"/>
  <c r="O12" i="18"/>
  <c r="AV21" i="20"/>
  <c r="AA16" i="26" s="1"/>
  <c r="O19" i="18"/>
  <c r="H25" i="5"/>
  <c r="AE29" i="20" s="1"/>
  <c r="J24" i="26" s="1"/>
  <c r="K21" i="4"/>
  <c r="L21" i="4" s="1"/>
  <c r="E21" i="20" s="1"/>
  <c r="K27" i="4"/>
  <c r="L27" i="4" s="1"/>
  <c r="C32" i="16" s="1"/>
  <c r="S20" i="16"/>
  <c r="Q24" i="16"/>
  <c r="N27" i="4"/>
  <c r="F32" i="20" s="1"/>
  <c r="O11" i="18"/>
  <c r="O18" i="18"/>
  <c r="N19" i="4"/>
  <c r="F16" i="20" s="1"/>
  <c r="N26" i="4"/>
  <c r="F30" i="20" s="1"/>
  <c r="K19" i="4"/>
  <c r="L19" i="4" s="1"/>
  <c r="C16" i="16" s="1"/>
  <c r="Q26" i="16"/>
  <c r="K72" i="13"/>
  <c r="K72" i="14" s="1"/>
  <c r="K72" i="6" s="1"/>
  <c r="J72" i="13"/>
  <c r="N17" i="4"/>
  <c r="F12" i="20" s="1"/>
  <c r="R18" i="16"/>
  <c r="I25" i="5"/>
  <c r="U28" i="16" s="1"/>
  <c r="O9" i="18"/>
  <c r="Q16" i="16"/>
  <c r="I78" i="20"/>
  <c r="D86" i="16"/>
  <c r="AB25" i="20"/>
  <c r="G20" i="26" s="1"/>
  <c r="J25" i="5"/>
  <c r="AG29" i="20" s="1"/>
  <c r="L24" i="26" s="1"/>
  <c r="B64" i="20"/>
  <c r="AC19" i="20"/>
  <c r="H14" i="26" s="1"/>
  <c r="R34" i="16"/>
  <c r="D76" i="16"/>
  <c r="N28" i="4"/>
  <c r="F34" i="20" s="1"/>
  <c r="K53" i="2"/>
  <c r="B67" i="16" s="1"/>
  <c r="O20" i="18"/>
  <c r="K28" i="4"/>
  <c r="L28" i="4" s="1"/>
  <c r="E35" i="20" s="1"/>
  <c r="N70" i="5"/>
  <c r="I82" i="20" s="1"/>
  <c r="S34" i="16"/>
  <c r="N65" i="5"/>
  <c r="I77" i="20" s="1"/>
  <c r="K24" i="4"/>
  <c r="L24" i="4" s="1"/>
  <c r="E27" i="20" s="1"/>
  <c r="C73" i="16"/>
  <c r="S26" i="16"/>
  <c r="H21" i="5"/>
  <c r="T20" i="16" s="1"/>
  <c r="K71" i="13"/>
  <c r="K83" i="20" s="1"/>
  <c r="E43" i="20"/>
  <c r="B65" i="16"/>
  <c r="J15" i="5"/>
  <c r="V8" i="16" s="1"/>
  <c r="H29" i="5"/>
  <c r="AE37" i="20" s="1"/>
  <c r="J21" i="5"/>
  <c r="K80" i="20"/>
  <c r="H75" i="20"/>
  <c r="H74" i="20"/>
  <c r="R26" i="16"/>
  <c r="I17" i="5"/>
  <c r="AF13" i="20" s="1"/>
  <c r="K8" i="26" s="1"/>
  <c r="J19" i="5"/>
  <c r="AG17" i="20" s="1"/>
  <c r="L12" i="26" s="1"/>
  <c r="K62" i="13"/>
  <c r="K74" i="20" s="1"/>
  <c r="J29" i="5"/>
  <c r="V36" i="16" s="1"/>
  <c r="H76" i="20"/>
  <c r="AA37" i="26"/>
  <c r="AC31" i="20"/>
  <c r="R30" i="16"/>
  <c r="AD31" i="20"/>
  <c r="S30" i="16"/>
  <c r="G49" i="26"/>
  <c r="G37" i="26"/>
  <c r="H16" i="26"/>
  <c r="I30" i="26"/>
  <c r="I14" i="26"/>
  <c r="I16" i="26"/>
  <c r="AA8" i="26"/>
  <c r="I28" i="26"/>
  <c r="AA28" i="26"/>
  <c r="AA26" i="26"/>
  <c r="G12" i="26"/>
  <c r="AA6" i="26"/>
  <c r="G51" i="26"/>
  <c r="F85" i="20"/>
  <c r="F96" i="20"/>
  <c r="AV54" i="20"/>
  <c r="AB11" i="20"/>
  <c r="Q10" i="16"/>
  <c r="O10" i="18"/>
  <c r="AV15" i="20"/>
  <c r="G10" i="26"/>
  <c r="AA12" i="26"/>
  <c r="I22" i="26"/>
  <c r="H22" i="26"/>
  <c r="H19" i="5"/>
  <c r="AC15" i="20"/>
  <c r="R14" i="16"/>
  <c r="AC11" i="20"/>
  <c r="R10" i="16"/>
  <c r="I4" i="26"/>
  <c r="I32" i="26"/>
  <c r="G30" i="26"/>
  <c r="I8" i="26"/>
  <c r="R8" i="16"/>
  <c r="AC9" i="20"/>
  <c r="H15" i="5"/>
  <c r="AB9" i="20"/>
  <c r="Q8" i="16"/>
  <c r="AD15" i="20"/>
  <c r="S14" i="16"/>
  <c r="AD11" i="20"/>
  <c r="S10" i="16"/>
  <c r="E64" i="20"/>
  <c r="AA4" i="26"/>
  <c r="G26" i="26"/>
  <c r="H30" i="26"/>
  <c r="G28" i="26"/>
  <c r="I20" i="26"/>
  <c r="G22" i="26"/>
  <c r="J68" i="14"/>
  <c r="J71" i="13"/>
  <c r="J64" i="13"/>
  <c r="D78" i="16"/>
  <c r="D85" i="16"/>
  <c r="K67" i="13"/>
  <c r="E81" i="16" s="1"/>
  <c r="K68" i="14"/>
  <c r="K68" i="6" s="1"/>
  <c r="N52" i="4"/>
  <c r="N53" i="4" s="1"/>
  <c r="O54" i="18" s="1"/>
  <c r="I21" i="5"/>
  <c r="N59" i="4"/>
  <c r="F71" i="20" s="1"/>
  <c r="F100" i="20" s="1"/>
  <c r="J67" i="13"/>
  <c r="K221" i="9"/>
  <c r="K218" i="9"/>
  <c r="C65" i="20"/>
  <c r="J17" i="5"/>
  <c r="H17" i="5"/>
  <c r="C40" i="16"/>
  <c r="L32" i="4"/>
  <c r="N62" i="5"/>
  <c r="N62" i="13" s="1"/>
  <c r="O69" i="18"/>
  <c r="C53" i="16"/>
  <c r="E54" i="20"/>
  <c r="E41" i="20"/>
  <c r="H30" i="4"/>
  <c r="M30" i="4"/>
  <c r="H81" i="20"/>
  <c r="J69" i="13"/>
  <c r="D83" i="16"/>
  <c r="K69" i="13"/>
  <c r="K26" i="4"/>
  <c r="E30" i="20" s="1"/>
  <c r="J27" i="5"/>
  <c r="I27" i="5"/>
  <c r="I30" i="4"/>
  <c r="J30" i="4"/>
  <c r="O25" i="18"/>
  <c r="N32" i="4"/>
  <c r="F41" i="20" s="1"/>
  <c r="E80" i="16"/>
  <c r="J66" i="14"/>
  <c r="H23" i="5"/>
  <c r="K66" i="14"/>
  <c r="K66" i="6" s="1"/>
  <c r="J23" i="5"/>
  <c r="K16" i="4"/>
  <c r="E10" i="20" s="1"/>
  <c r="H82" i="20"/>
  <c r="K70" i="13"/>
  <c r="J70" i="13"/>
  <c r="D84" i="16"/>
  <c r="K18" i="4"/>
  <c r="L18" i="4" s="1"/>
  <c r="D79" i="16"/>
  <c r="K15" i="4"/>
  <c r="E8" i="20" s="1"/>
  <c r="N64" i="5"/>
  <c r="U50" i="18"/>
  <c r="U52" i="18"/>
  <c r="K65" i="13"/>
  <c r="H77" i="20"/>
  <c r="H70" i="20"/>
  <c r="D72" i="16"/>
  <c r="I68" i="20"/>
  <c r="P59" i="18"/>
  <c r="H24" i="5"/>
  <c r="I24" i="5"/>
  <c r="AW27" i="20"/>
  <c r="AB22" i="26" s="1"/>
  <c r="J24" i="5"/>
  <c r="H28" i="5"/>
  <c r="I28" i="5"/>
  <c r="J28" i="5"/>
  <c r="I72" i="20"/>
  <c r="AW56" i="20"/>
  <c r="D39" i="5"/>
  <c r="AW48" i="20"/>
  <c r="H68" i="20"/>
  <c r="D70" i="16"/>
  <c r="D69" i="16"/>
  <c r="H67" i="20"/>
  <c r="I18" i="5"/>
  <c r="J18" i="5"/>
  <c r="AW15" i="20"/>
  <c r="AB10" i="26" s="1"/>
  <c r="H18" i="5"/>
  <c r="A5" i="14"/>
  <c r="B32" i="13"/>
  <c r="G22" i="13"/>
  <c r="M22" i="13" s="1"/>
  <c r="G20" i="13"/>
  <c r="M20" i="13" s="1"/>
  <c r="B33" i="13"/>
  <c r="B37" i="13"/>
  <c r="G28" i="13"/>
  <c r="M28" i="13" s="1"/>
  <c r="B34" i="13"/>
  <c r="G18" i="13"/>
  <c r="M18" i="13" s="1"/>
  <c r="K58" i="13"/>
  <c r="L63" i="18" s="1"/>
  <c r="N58" i="13"/>
  <c r="G26" i="13"/>
  <c r="M26" i="13" s="1"/>
  <c r="B35" i="13"/>
  <c r="B40" i="13"/>
  <c r="N55" i="13"/>
  <c r="K56" i="13"/>
  <c r="L59" i="18" s="1"/>
  <c r="N56" i="13"/>
  <c r="G16" i="13"/>
  <c r="M16" i="13" s="1"/>
  <c r="N57" i="13"/>
  <c r="B39" i="13"/>
  <c r="M39" i="13" s="1"/>
  <c r="K60" i="13"/>
  <c r="B15" i="13"/>
  <c r="N60" i="13"/>
  <c r="B36" i="13"/>
  <c r="G24" i="13"/>
  <c r="M24" i="13" s="1"/>
  <c r="K55" i="13"/>
  <c r="L57" i="18" s="1"/>
  <c r="N61" i="13"/>
  <c r="L73" i="20" s="1"/>
  <c r="N86" i="13"/>
  <c r="K61" i="13"/>
  <c r="K52" i="13"/>
  <c r="K57" i="13"/>
  <c r="L61" i="18" s="1"/>
  <c r="G27" i="13"/>
  <c r="M27" i="13" s="1"/>
  <c r="G19" i="13"/>
  <c r="M19" i="13" s="1"/>
  <c r="G25" i="13"/>
  <c r="M25" i="13" s="1"/>
  <c r="G23" i="13"/>
  <c r="M23" i="13" s="1"/>
  <c r="G21" i="13"/>
  <c r="M21" i="13" s="1"/>
  <c r="G17" i="13"/>
  <c r="M17" i="13" s="1"/>
  <c r="B38" i="13"/>
  <c r="G29" i="13"/>
  <c r="M29" i="13" s="1"/>
  <c r="G15" i="13"/>
  <c r="M15" i="13" s="1"/>
  <c r="I80" i="20"/>
  <c r="N68" i="13"/>
  <c r="J73" i="5"/>
  <c r="C87" i="16"/>
  <c r="E85" i="20"/>
  <c r="A83" i="4"/>
  <c r="P63" i="18"/>
  <c r="I70" i="20"/>
  <c r="D75" i="16"/>
  <c r="H73" i="20"/>
  <c r="P57" i="18"/>
  <c r="I67" i="20"/>
  <c r="I16" i="5"/>
  <c r="J16" i="5"/>
  <c r="H16" i="5"/>
  <c r="K73" i="5"/>
  <c r="P61" i="18"/>
  <c r="I69" i="20"/>
  <c r="H26" i="5"/>
  <c r="I26" i="5"/>
  <c r="J26" i="5"/>
  <c r="AW31" i="20"/>
  <c r="AB26" i="26" s="1"/>
  <c r="D40" i="5"/>
  <c r="D71" i="16"/>
  <c r="H69" i="20"/>
  <c r="C52" i="16"/>
  <c r="E53" i="20"/>
  <c r="H22" i="5"/>
  <c r="J22" i="5"/>
  <c r="I22" i="5"/>
  <c r="O7" i="18"/>
  <c r="N15" i="4"/>
  <c r="F8" i="20" s="1"/>
  <c r="O31" i="18"/>
  <c r="N38" i="4"/>
  <c r="K76" i="20"/>
  <c r="K64" i="14"/>
  <c r="E78" i="16"/>
  <c r="J64" i="14"/>
  <c r="H72" i="20"/>
  <c r="D74" i="16"/>
  <c r="AW44" i="20"/>
  <c r="AB39" i="26" s="1"/>
  <c r="I73" i="20"/>
  <c r="H20" i="5"/>
  <c r="J20" i="5"/>
  <c r="I20" i="5"/>
  <c r="I85" i="20"/>
  <c r="N73" i="13"/>
  <c r="I83" i="20"/>
  <c r="N71" i="13"/>
  <c r="N69" i="13"/>
  <c r="I81" i="20"/>
  <c r="F74" i="20"/>
  <c r="N88" i="4"/>
  <c r="F14" i="20"/>
  <c r="N67" i="13"/>
  <c r="I79" i="20"/>
  <c r="I84" i="20"/>
  <c r="N72" i="13"/>
  <c r="K10" i="5"/>
  <c r="D6" i="16" s="1"/>
  <c r="L78" i="20"/>
  <c r="N66" i="14"/>
  <c r="O78" i="20" s="1"/>
  <c r="N63" i="5"/>
  <c r="P39" i="13"/>
  <c r="P15" i="13"/>
  <c r="P27" i="13"/>
  <c r="P25" i="13"/>
  <c r="P29" i="13"/>
  <c r="P34" i="13"/>
  <c r="P36" i="13"/>
  <c r="P22" i="13"/>
  <c r="P20" i="13"/>
  <c r="P28" i="13"/>
  <c r="P32" i="13"/>
  <c r="P16" i="13"/>
  <c r="P23" i="13"/>
  <c r="P24" i="13"/>
  <c r="P38" i="13"/>
  <c r="P18" i="13"/>
  <c r="P33" i="13"/>
  <c r="P21" i="13"/>
  <c r="P26" i="13"/>
  <c r="P19" i="13"/>
  <c r="P17" i="13"/>
  <c r="P35" i="13"/>
  <c r="P37" i="13"/>
  <c r="P40" i="13"/>
  <c r="L40" i="4" l="1"/>
  <c r="C56" i="16"/>
  <c r="E57" i="20"/>
  <c r="D66" i="16"/>
  <c r="H65" i="20"/>
  <c r="E65" i="20"/>
  <c r="C66" i="16"/>
  <c r="F53" i="20"/>
  <c r="F98" i="20" s="1"/>
  <c r="O38" i="4"/>
  <c r="C21" i="16"/>
  <c r="E22" i="20"/>
  <c r="H64" i="20"/>
  <c r="U36" i="16"/>
  <c r="K59" i="5"/>
  <c r="K65" i="18" s="1"/>
  <c r="L37" i="4"/>
  <c r="C51" i="16" s="1"/>
  <c r="D65" i="16"/>
  <c r="K53" i="5"/>
  <c r="K54" i="18" s="1"/>
  <c r="L36" i="4"/>
  <c r="C49" i="16" s="1"/>
  <c r="K32" i="5"/>
  <c r="L32" i="5" s="1"/>
  <c r="H42" i="20" s="1"/>
  <c r="C48" i="16"/>
  <c r="T51" i="16"/>
  <c r="E51" i="20"/>
  <c r="B15" i="14"/>
  <c r="B28" i="14"/>
  <c r="B22" i="14"/>
  <c r="B20" i="14"/>
  <c r="B19" i="14"/>
  <c r="B17" i="14"/>
  <c r="B18" i="14"/>
  <c r="B23" i="14"/>
  <c r="B24" i="14"/>
  <c r="B21" i="14"/>
  <c r="B29" i="14"/>
  <c r="B27" i="14"/>
  <c r="B25" i="14"/>
  <c r="B26" i="14"/>
  <c r="B16" i="14"/>
  <c r="K40" i="5"/>
  <c r="K38" i="5"/>
  <c r="T53" i="16"/>
  <c r="P9" i="18"/>
  <c r="T57" i="16"/>
  <c r="N17" i="5"/>
  <c r="I12" i="20" s="1"/>
  <c r="T41" i="16"/>
  <c r="H38" i="13"/>
  <c r="AH54" i="20" s="1"/>
  <c r="M49" i="26" s="1"/>
  <c r="M38" i="13"/>
  <c r="AX54" i="20" s="1"/>
  <c r="AC49" i="26" s="1"/>
  <c r="M36" i="13"/>
  <c r="AX50" i="20" s="1"/>
  <c r="AC45" i="26" s="1"/>
  <c r="M34" i="13"/>
  <c r="N34" i="13" s="1"/>
  <c r="L45" i="20" s="1"/>
  <c r="M35" i="13"/>
  <c r="N35" i="13" s="1"/>
  <c r="L47" i="20" s="1"/>
  <c r="M33" i="13"/>
  <c r="AX44" i="20" s="1"/>
  <c r="AC39" i="26" s="1"/>
  <c r="H40" i="13"/>
  <c r="AH58" i="20" s="1"/>
  <c r="M40" i="13"/>
  <c r="M37" i="13"/>
  <c r="N37" i="13" s="1"/>
  <c r="L51" i="20" s="1"/>
  <c r="H32" i="13"/>
  <c r="K32" i="13" s="1"/>
  <c r="M32" i="13"/>
  <c r="AX42" i="20" s="1"/>
  <c r="AC37" i="26" s="1"/>
  <c r="K36" i="5"/>
  <c r="L36" i="5" s="1"/>
  <c r="H50" i="20" s="1"/>
  <c r="AE50" i="20"/>
  <c r="J45" i="26" s="1"/>
  <c r="N25" i="5"/>
  <c r="I28" i="20" s="1"/>
  <c r="AE52" i="20"/>
  <c r="J47" i="26" s="1"/>
  <c r="U16" i="16"/>
  <c r="K34" i="5"/>
  <c r="L34" i="5" s="1"/>
  <c r="D45" i="16" s="1"/>
  <c r="P13" i="18"/>
  <c r="N21" i="5"/>
  <c r="I20" i="20" s="1"/>
  <c r="AW29" i="20"/>
  <c r="AB24" i="26" s="1"/>
  <c r="AE33" i="20"/>
  <c r="J28" i="26" s="1"/>
  <c r="U24" i="16"/>
  <c r="T43" i="16"/>
  <c r="AE44" i="20"/>
  <c r="J39" i="26" s="1"/>
  <c r="I64" i="20"/>
  <c r="J63" i="14"/>
  <c r="K63" i="14"/>
  <c r="N75" i="20" s="1"/>
  <c r="Q75" i="20" s="1"/>
  <c r="A75" i="20" s="1"/>
  <c r="E77" i="16"/>
  <c r="N38" i="5"/>
  <c r="C54" i="16"/>
  <c r="N59" i="5"/>
  <c r="N74" i="5" s="1"/>
  <c r="I86" i="20" s="1"/>
  <c r="C11" i="16"/>
  <c r="C12" i="16"/>
  <c r="AE56" i="20"/>
  <c r="J51" i="26" s="1"/>
  <c r="K39" i="5"/>
  <c r="H55" i="20" s="1"/>
  <c r="C36" i="16"/>
  <c r="C18" i="16"/>
  <c r="E12" i="20"/>
  <c r="E45" i="20"/>
  <c r="C45" i="16"/>
  <c r="C44" i="16"/>
  <c r="O5" i="23"/>
  <c r="H6" i="20"/>
  <c r="E18" i="20"/>
  <c r="AF9" i="20"/>
  <c r="K4" i="26" s="1"/>
  <c r="T45" i="16"/>
  <c r="C35" i="16"/>
  <c r="H34" i="13"/>
  <c r="AH46" i="20" s="1"/>
  <c r="M41" i="26" s="1"/>
  <c r="H39" i="13"/>
  <c r="AH56" i="20" s="1"/>
  <c r="C17" i="16"/>
  <c r="E36" i="20"/>
  <c r="C47" i="16"/>
  <c r="C88" i="16"/>
  <c r="J54" i="18"/>
  <c r="C46" i="16"/>
  <c r="H33" i="13"/>
  <c r="K33" i="13" s="1"/>
  <c r="K53" i="13"/>
  <c r="E67" i="16" s="1"/>
  <c r="H37" i="13"/>
  <c r="AH52" i="20" s="1"/>
  <c r="M47" i="26" s="1"/>
  <c r="K35" i="5"/>
  <c r="L35" i="5" s="1"/>
  <c r="D47" i="16" s="1"/>
  <c r="E47" i="20"/>
  <c r="T47" i="16"/>
  <c r="AW54" i="20"/>
  <c r="AB49" i="26" s="1"/>
  <c r="C27" i="16"/>
  <c r="P31" i="18"/>
  <c r="E28" i="20"/>
  <c r="E29" i="20"/>
  <c r="J71" i="14"/>
  <c r="E44" i="20"/>
  <c r="K69" i="18"/>
  <c r="B6" i="9"/>
  <c r="A7" i="9"/>
  <c r="E33" i="20"/>
  <c r="E32" i="20"/>
  <c r="K71" i="14"/>
  <c r="N83" i="20" s="1"/>
  <c r="Q83" i="20" s="1"/>
  <c r="A83" i="20" s="1"/>
  <c r="T28" i="16"/>
  <c r="E85" i="16"/>
  <c r="AG37" i="20"/>
  <c r="L32" i="26" s="1"/>
  <c r="L23" i="4"/>
  <c r="E25" i="20" s="1"/>
  <c r="E24" i="20"/>
  <c r="C20" i="16"/>
  <c r="K19" i="5"/>
  <c r="H16" i="20" s="1"/>
  <c r="C31" i="16"/>
  <c r="E20" i="20"/>
  <c r="C19" i="16"/>
  <c r="AG9" i="20"/>
  <c r="L4" i="26" s="1"/>
  <c r="AF29" i="20"/>
  <c r="K24" i="26" s="1"/>
  <c r="J72" i="14"/>
  <c r="K84" i="20"/>
  <c r="E86" i="16"/>
  <c r="P19" i="18"/>
  <c r="N27" i="5"/>
  <c r="I32" i="20" s="1"/>
  <c r="N65" i="13"/>
  <c r="L77" i="20" s="1"/>
  <c r="N70" i="13"/>
  <c r="L82" i="20" s="1"/>
  <c r="E17" i="20"/>
  <c r="C15" i="16"/>
  <c r="E16" i="20"/>
  <c r="AE21" i="20"/>
  <c r="J16" i="26" s="1"/>
  <c r="U12" i="16"/>
  <c r="V28" i="16"/>
  <c r="K15" i="5"/>
  <c r="H8" i="20" s="1"/>
  <c r="K17" i="5"/>
  <c r="H12" i="20" s="1"/>
  <c r="K21" i="5"/>
  <c r="D19" i="16" s="1"/>
  <c r="K25" i="5"/>
  <c r="L25" i="5" s="1"/>
  <c r="H29" i="20" s="1"/>
  <c r="C33" i="16"/>
  <c r="C34" i="16"/>
  <c r="E34" i="20"/>
  <c r="P21" i="18"/>
  <c r="N29" i="5"/>
  <c r="I36" i="20" s="1"/>
  <c r="I54" i="18"/>
  <c r="K62" i="14"/>
  <c r="F76" i="16" s="1"/>
  <c r="V16" i="16"/>
  <c r="E76" i="16"/>
  <c r="E26" i="20"/>
  <c r="F82" i="16"/>
  <c r="G82" i="16" s="1"/>
  <c r="A82" i="16" s="1"/>
  <c r="I74" i="20"/>
  <c r="AW9" i="20"/>
  <c r="AB4" i="26" s="1"/>
  <c r="N80" i="20"/>
  <c r="Q80" i="20" s="1"/>
  <c r="A80" i="20" s="1"/>
  <c r="P7" i="18"/>
  <c r="C26" i="16"/>
  <c r="C25" i="16"/>
  <c r="T36" i="16"/>
  <c r="J62" i="14"/>
  <c r="K79" i="20"/>
  <c r="K67" i="14"/>
  <c r="K67" i="6" s="1"/>
  <c r="J67" i="14"/>
  <c r="K29" i="5"/>
  <c r="L29" i="5" s="1"/>
  <c r="D36" i="16" s="1"/>
  <c r="V20" i="16"/>
  <c r="AG21" i="20"/>
  <c r="L16" i="26" s="1"/>
  <c r="N20" i="5"/>
  <c r="I18" i="20" s="1"/>
  <c r="AW19" i="20"/>
  <c r="N40" i="5"/>
  <c r="AW58" i="20"/>
  <c r="N32" i="5"/>
  <c r="I41" i="20" s="1"/>
  <c r="AW42" i="20"/>
  <c r="AG27" i="20"/>
  <c r="V26" i="16"/>
  <c r="AE25" i="20"/>
  <c r="T24" i="16"/>
  <c r="I10" i="26"/>
  <c r="K20" i="26"/>
  <c r="AG19" i="20"/>
  <c r="V18" i="16"/>
  <c r="N34" i="5"/>
  <c r="I45" i="20" s="1"/>
  <c r="AW46" i="20"/>
  <c r="J32" i="26"/>
  <c r="T18" i="16"/>
  <c r="AE19" i="20"/>
  <c r="AF23" i="20"/>
  <c r="U22" i="16"/>
  <c r="AE11" i="20"/>
  <c r="J6" i="26" s="1"/>
  <c r="T10" i="16"/>
  <c r="AB51" i="26"/>
  <c r="AF27" i="20"/>
  <c r="U26" i="16"/>
  <c r="AE13" i="20"/>
  <c r="J8" i="26" s="1"/>
  <c r="T12" i="16"/>
  <c r="G4" i="26"/>
  <c r="H6" i="26"/>
  <c r="G6" i="26"/>
  <c r="I26" i="26"/>
  <c r="J41" i="26"/>
  <c r="N22" i="5"/>
  <c r="I22" i="20" s="1"/>
  <c r="AW23" i="20"/>
  <c r="AB18" i="26" s="1"/>
  <c r="AG11" i="20"/>
  <c r="L6" i="26" s="1"/>
  <c r="V10" i="16"/>
  <c r="AE15" i="20"/>
  <c r="T14" i="16"/>
  <c r="AE27" i="20"/>
  <c r="T26" i="16"/>
  <c r="V12" i="16"/>
  <c r="AG13" i="20"/>
  <c r="AE9" i="20"/>
  <c r="J4" i="26" s="1"/>
  <c r="T8" i="16"/>
  <c r="H4" i="26"/>
  <c r="AA49" i="26"/>
  <c r="K12" i="26"/>
  <c r="AG23" i="20"/>
  <c r="V22" i="16"/>
  <c r="AG31" i="20"/>
  <c r="L26" i="26" s="1"/>
  <c r="V30" i="16"/>
  <c r="N16" i="5"/>
  <c r="I10" i="20" s="1"/>
  <c r="AW11" i="20"/>
  <c r="V34" i="16"/>
  <c r="AG35" i="20"/>
  <c r="H10" i="26"/>
  <c r="H26" i="26"/>
  <c r="AE23" i="20"/>
  <c r="T22" i="16"/>
  <c r="AF31" i="20"/>
  <c r="K26" i="26" s="1"/>
  <c r="U30" i="16"/>
  <c r="AF11" i="20"/>
  <c r="K6" i="26" s="1"/>
  <c r="U10" i="16"/>
  <c r="AG15" i="20"/>
  <c r="L10" i="26" s="1"/>
  <c r="V14" i="16"/>
  <c r="N36" i="5"/>
  <c r="I49" i="20" s="1"/>
  <c r="AW50" i="20"/>
  <c r="U34" i="16"/>
  <c r="AF35" i="20"/>
  <c r="AG25" i="20"/>
  <c r="V24" i="16"/>
  <c r="AF33" i="20"/>
  <c r="U32" i="16"/>
  <c r="AB47" i="26"/>
  <c r="AE31" i="20"/>
  <c r="T30" i="16"/>
  <c r="AF15" i="20"/>
  <c r="K10" i="26" s="1"/>
  <c r="U14" i="16"/>
  <c r="N28" i="5"/>
  <c r="I34" i="20" s="1"/>
  <c r="AW35" i="20"/>
  <c r="N23" i="5"/>
  <c r="I24" i="20" s="1"/>
  <c r="AW25" i="20"/>
  <c r="AG33" i="20"/>
  <c r="V32" i="16"/>
  <c r="I6" i="26"/>
  <c r="J43" i="26"/>
  <c r="AF19" i="20"/>
  <c r="U18" i="16"/>
  <c r="AB43" i="26"/>
  <c r="AE35" i="20"/>
  <c r="T34" i="16"/>
  <c r="U20" i="16"/>
  <c r="AF21" i="20"/>
  <c r="P11" i="18"/>
  <c r="AW17" i="20"/>
  <c r="AE17" i="20"/>
  <c r="T16" i="16"/>
  <c r="AA10" i="26"/>
  <c r="K225" i="9"/>
  <c r="K229" i="9"/>
  <c r="K226" i="9"/>
  <c r="K223" i="9"/>
  <c r="K224" i="9"/>
  <c r="K228" i="9"/>
  <c r="N19" i="5"/>
  <c r="I16" i="20" s="1"/>
  <c r="N74" i="4"/>
  <c r="F86" i="20" s="1"/>
  <c r="D51" i="16"/>
  <c r="P69" i="18"/>
  <c r="F65" i="20"/>
  <c r="N52" i="5"/>
  <c r="D43" i="16"/>
  <c r="L72" i="20"/>
  <c r="Q67" i="18"/>
  <c r="H36" i="13"/>
  <c r="K36" i="13" s="1"/>
  <c r="H35" i="13"/>
  <c r="K35" i="13" s="1"/>
  <c r="O65" i="18"/>
  <c r="L67" i="18"/>
  <c r="K230" i="9"/>
  <c r="K237" i="9"/>
  <c r="K222" i="9"/>
  <c r="K219" i="9"/>
  <c r="K227" i="9"/>
  <c r="K220" i="9"/>
  <c r="K27" i="5"/>
  <c r="D31" i="16" s="1"/>
  <c r="C41" i="16"/>
  <c r="E42" i="20"/>
  <c r="C29" i="16"/>
  <c r="L26" i="4"/>
  <c r="E31" i="20" s="1"/>
  <c r="K69" i="14"/>
  <c r="J69" i="14"/>
  <c r="E83" i="16"/>
  <c r="K81" i="20"/>
  <c r="N78" i="20"/>
  <c r="Q78" i="20" s="1"/>
  <c r="A78" i="20" s="1"/>
  <c r="F80" i="16"/>
  <c r="G80" i="16" s="1"/>
  <c r="A80" i="16" s="1"/>
  <c r="L16" i="4"/>
  <c r="P15" i="18"/>
  <c r="K23" i="5"/>
  <c r="D23" i="16" s="1"/>
  <c r="M30" i="5"/>
  <c r="C9" i="16"/>
  <c r="C14" i="16"/>
  <c r="E15" i="20"/>
  <c r="E14" i="20"/>
  <c r="K70" i="14"/>
  <c r="J70" i="14"/>
  <c r="E84" i="16"/>
  <c r="K82" i="20"/>
  <c r="C13" i="16"/>
  <c r="H30" i="5"/>
  <c r="I30" i="5"/>
  <c r="K28" i="5"/>
  <c r="D33" i="16" s="1"/>
  <c r="C7" i="16"/>
  <c r="K30" i="4"/>
  <c r="I76" i="20"/>
  <c r="N64" i="13"/>
  <c r="L15" i="4"/>
  <c r="E9" i="20" s="1"/>
  <c r="K22" i="5"/>
  <c r="H22" i="20" s="1"/>
  <c r="J30" i="5"/>
  <c r="K65" i="14"/>
  <c r="E79" i="16"/>
  <c r="K77" i="20"/>
  <c r="J65" i="14"/>
  <c r="P27" i="18"/>
  <c r="D38" i="13"/>
  <c r="K69" i="20"/>
  <c r="E71" i="16"/>
  <c r="K67" i="20"/>
  <c r="E69" i="16"/>
  <c r="K64" i="20"/>
  <c r="E65" i="16"/>
  <c r="H26" i="13"/>
  <c r="J26" i="13"/>
  <c r="I26" i="13"/>
  <c r="H20" i="13"/>
  <c r="J20" i="13"/>
  <c r="I20" i="13"/>
  <c r="G20" i="14"/>
  <c r="M20" i="14" s="1"/>
  <c r="G28" i="14"/>
  <c r="M28" i="14" s="1"/>
  <c r="B34" i="14"/>
  <c r="M34" i="14" s="1"/>
  <c r="G18" i="14"/>
  <c r="M18" i="14" s="1"/>
  <c r="G16" i="14"/>
  <c r="M16" i="14" s="1"/>
  <c r="B33" i="14"/>
  <c r="M33" i="14" s="1"/>
  <c r="B37" i="14"/>
  <c r="M37" i="14" s="1"/>
  <c r="B36" i="14"/>
  <c r="M36" i="14" s="1"/>
  <c r="K57" i="14"/>
  <c r="M61" i="18" s="1"/>
  <c r="S61" i="18" s="1"/>
  <c r="B40" i="14"/>
  <c r="G26" i="14"/>
  <c r="M26" i="14" s="1"/>
  <c r="B35" i="14"/>
  <c r="M35" i="14" s="1"/>
  <c r="G24" i="14"/>
  <c r="M24" i="14" s="1"/>
  <c r="G22" i="14"/>
  <c r="M22" i="14" s="1"/>
  <c r="B32" i="14"/>
  <c r="N61" i="14"/>
  <c r="B39" i="14"/>
  <c r="N60" i="14"/>
  <c r="N57" i="14"/>
  <c r="K60" i="14"/>
  <c r="N56" i="14"/>
  <c r="K55" i="14"/>
  <c r="M57" i="18" s="1"/>
  <c r="S57" i="18" s="1"/>
  <c r="N86" i="14"/>
  <c r="N51" i="14"/>
  <c r="N51" i="6" s="1"/>
  <c r="K52" i="14"/>
  <c r="K52" i="6" s="1"/>
  <c r="N58" i="14"/>
  <c r="K61" i="14"/>
  <c r="N55" i="14"/>
  <c r="K56" i="14"/>
  <c r="M59" i="18" s="1"/>
  <c r="S59" i="18" s="1"/>
  <c r="K58" i="14"/>
  <c r="K51" i="14"/>
  <c r="K51" i="6" s="1"/>
  <c r="G25" i="14"/>
  <c r="M25" i="14" s="1"/>
  <c r="G27" i="14"/>
  <c r="M27" i="14" s="1"/>
  <c r="G17" i="14"/>
  <c r="M17" i="14" s="1"/>
  <c r="G23" i="14"/>
  <c r="M23" i="14" s="1"/>
  <c r="G29" i="14"/>
  <c r="M29" i="14" s="1"/>
  <c r="G21" i="14"/>
  <c r="M21" i="14" s="1"/>
  <c r="B38" i="14"/>
  <c r="G15" i="14"/>
  <c r="M15" i="14" s="1"/>
  <c r="G19" i="14"/>
  <c r="M19" i="14" s="1"/>
  <c r="P25" i="18"/>
  <c r="P29" i="18"/>
  <c r="P32" i="18"/>
  <c r="N39" i="5"/>
  <c r="P20" i="18"/>
  <c r="K16" i="5"/>
  <c r="D39" i="13"/>
  <c r="L64" i="20"/>
  <c r="H18" i="13"/>
  <c r="J18" i="13"/>
  <c r="I18" i="13"/>
  <c r="H22" i="13"/>
  <c r="I22" i="13"/>
  <c r="J22" i="13"/>
  <c r="K18" i="5"/>
  <c r="P28" i="18"/>
  <c r="P12" i="18"/>
  <c r="P26" i="18"/>
  <c r="P14" i="18"/>
  <c r="P30" i="18"/>
  <c r="I19" i="13"/>
  <c r="H19" i="13"/>
  <c r="J19" i="13"/>
  <c r="E66" i="16"/>
  <c r="K65" i="20"/>
  <c r="H24" i="13"/>
  <c r="I24" i="13"/>
  <c r="J24" i="13"/>
  <c r="L69" i="20"/>
  <c r="Q61" i="18"/>
  <c r="P10" i="18"/>
  <c r="N18" i="5"/>
  <c r="N35" i="5"/>
  <c r="H51" i="20"/>
  <c r="D50" i="16"/>
  <c r="N68" i="14"/>
  <c r="O80" i="20" s="1"/>
  <c r="L80" i="20"/>
  <c r="J17" i="13"/>
  <c r="AX13" i="20"/>
  <c r="I17" i="13"/>
  <c r="H17" i="13"/>
  <c r="H27" i="13"/>
  <c r="J27" i="13"/>
  <c r="I27" i="13"/>
  <c r="K73" i="20"/>
  <c r="E75" i="16"/>
  <c r="I16" i="13"/>
  <c r="H16" i="13"/>
  <c r="J16" i="13"/>
  <c r="N24" i="5"/>
  <c r="P16" i="18"/>
  <c r="N33" i="5"/>
  <c r="N37" i="5"/>
  <c r="K20" i="5"/>
  <c r="P18" i="18"/>
  <c r="N26" i="5"/>
  <c r="P8" i="18"/>
  <c r="H21" i="13"/>
  <c r="AX21" i="20"/>
  <c r="I21" i="13"/>
  <c r="J21" i="13"/>
  <c r="L68" i="20"/>
  <c r="Q59" i="18"/>
  <c r="L67" i="20"/>
  <c r="Q57" i="18"/>
  <c r="Q63" i="18"/>
  <c r="L70" i="20"/>
  <c r="N76" i="20"/>
  <c r="Q76" i="20" s="1"/>
  <c r="A76" i="20" s="1"/>
  <c r="F78" i="16"/>
  <c r="G78" i="16" s="1"/>
  <c r="A78" i="16" s="1"/>
  <c r="H43" i="20"/>
  <c r="D42" i="16"/>
  <c r="I23" i="13"/>
  <c r="J23" i="13"/>
  <c r="AX25" i="20"/>
  <c r="AC20" i="26" s="1"/>
  <c r="H23" i="13"/>
  <c r="E72" i="16"/>
  <c r="K70" i="20"/>
  <c r="I28" i="13"/>
  <c r="H28" i="13"/>
  <c r="J28" i="13"/>
  <c r="N30" i="4"/>
  <c r="P33" i="18"/>
  <c r="AX9" i="20"/>
  <c r="I15" i="13"/>
  <c r="J15" i="13"/>
  <c r="H15" i="13"/>
  <c r="J25" i="13"/>
  <c r="H25" i="13"/>
  <c r="I25" i="13"/>
  <c r="D40" i="13"/>
  <c r="K24" i="5"/>
  <c r="K64" i="6"/>
  <c r="K73" i="13"/>
  <c r="D87" i="16"/>
  <c r="H85" i="20"/>
  <c r="J73" i="13"/>
  <c r="A83" i="5"/>
  <c r="H29" i="13"/>
  <c r="I29" i="13"/>
  <c r="AX37" i="20"/>
  <c r="J29" i="13"/>
  <c r="E74" i="16"/>
  <c r="K72" i="20"/>
  <c r="K68" i="20"/>
  <c r="E70" i="16"/>
  <c r="K26" i="5"/>
  <c r="L85" i="20"/>
  <c r="N73" i="14"/>
  <c r="O85" i="20" s="1"/>
  <c r="R78" i="20"/>
  <c r="L74" i="20"/>
  <c r="N62" i="14"/>
  <c r="E23" i="20"/>
  <c r="C22" i="16"/>
  <c r="I75" i="20"/>
  <c r="N63" i="13"/>
  <c r="L81" i="20"/>
  <c r="N69" i="14"/>
  <c r="O81" i="20" s="1"/>
  <c r="N88" i="5"/>
  <c r="I103" i="20" s="1"/>
  <c r="L83" i="20"/>
  <c r="N71" i="14"/>
  <c r="O83" i="20" s="1"/>
  <c r="L84" i="20"/>
  <c r="N72" i="14"/>
  <c r="O84" i="20" s="1"/>
  <c r="N84" i="20"/>
  <c r="F86" i="16"/>
  <c r="K8" i="13"/>
  <c r="G77" i="13" s="1"/>
  <c r="N67" i="14"/>
  <c r="O79" i="20" s="1"/>
  <c r="L79" i="20"/>
  <c r="F103" i="20"/>
  <c r="P22" i="14"/>
  <c r="P38" i="14"/>
  <c r="P24" i="14"/>
  <c r="P15" i="14"/>
  <c r="P23" i="14"/>
  <c r="P34" i="14"/>
  <c r="P25" i="14"/>
  <c r="P26" i="14"/>
  <c r="P32" i="14"/>
  <c r="P16" i="14"/>
  <c r="P35" i="14"/>
  <c r="P29" i="14"/>
  <c r="P27" i="14"/>
  <c r="P39" i="14"/>
  <c r="P19" i="14"/>
  <c r="P21" i="14"/>
  <c r="P33" i="14"/>
  <c r="P18" i="14"/>
  <c r="P17" i="14"/>
  <c r="P40" i="14"/>
  <c r="P37" i="14"/>
  <c r="P36" i="14"/>
  <c r="P28" i="14"/>
  <c r="P20" i="14"/>
  <c r="E58" i="20" l="1"/>
  <c r="C57" i="16"/>
  <c r="H71" i="20"/>
  <c r="I57" i="20"/>
  <c r="O40" i="5"/>
  <c r="I53" i="20"/>
  <c r="I98" i="20" s="1"/>
  <c r="O38" i="5"/>
  <c r="H57" i="20"/>
  <c r="L40" i="5"/>
  <c r="D57" i="16" s="1"/>
  <c r="L38" i="5"/>
  <c r="H54" i="20" s="1"/>
  <c r="D73" i="16"/>
  <c r="K74" i="5"/>
  <c r="H86" i="20" s="1"/>
  <c r="D67" i="16"/>
  <c r="E52" i="20"/>
  <c r="K63" i="6"/>
  <c r="Q29" i="18"/>
  <c r="N36" i="13"/>
  <c r="L49" i="20" s="1"/>
  <c r="Q28" i="18"/>
  <c r="D40" i="16"/>
  <c r="E50" i="20"/>
  <c r="H41" i="20"/>
  <c r="D41" i="16"/>
  <c r="K232" i="9"/>
  <c r="K238" i="9"/>
  <c r="K236" i="9"/>
  <c r="K239" i="9"/>
  <c r="K231" i="9"/>
  <c r="D52" i="16"/>
  <c r="D56" i="16"/>
  <c r="H53" i="20"/>
  <c r="W53" i="16"/>
  <c r="K38" i="13"/>
  <c r="N33" i="13"/>
  <c r="L43" i="20" s="1"/>
  <c r="AX48" i="20"/>
  <c r="AC43" i="26" s="1"/>
  <c r="Q26" i="18"/>
  <c r="K40" i="13"/>
  <c r="B39" i="6"/>
  <c r="D39" i="6" s="1"/>
  <c r="M39" i="14"/>
  <c r="AY56" i="20" s="1"/>
  <c r="AD51" i="26" s="1"/>
  <c r="B40" i="6"/>
  <c r="D40" i="6" s="1"/>
  <c r="M40" i="14"/>
  <c r="AY58" i="20" s="1"/>
  <c r="AD53" i="26" s="1"/>
  <c r="H32" i="14"/>
  <c r="Z41" i="16" s="1"/>
  <c r="M32" i="14"/>
  <c r="AY42" i="20" s="1"/>
  <c r="AD37" i="26" s="1"/>
  <c r="B38" i="6"/>
  <c r="D38" i="6" s="1"/>
  <c r="M38" i="14"/>
  <c r="AY54" i="20" s="1"/>
  <c r="AD49" i="26" s="1"/>
  <c r="AE49" i="26" s="1"/>
  <c r="Q30" i="18"/>
  <c r="Q27" i="18"/>
  <c r="W57" i="16"/>
  <c r="AH42" i="20"/>
  <c r="M37" i="26" s="1"/>
  <c r="AX52" i="20"/>
  <c r="AC47" i="26" s="1"/>
  <c r="AX46" i="20"/>
  <c r="AC41" i="26" s="1"/>
  <c r="W41" i="16"/>
  <c r="D44" i="16"/>
  <c r="H45" i="20"/>
  <c r="D49" i="16"/>
  <c r="H49" i="20"/>
  <c r="D48" i="16"/>
  <c r="F77" i="16"/>
  <c r="G77" i="16" s="1"/>
  <c r="A77" i="16" s="1"/>
  <c r="H46" i="20"/>
  <c r="L54" i="18"/>
  <c r="K39" i="13"/>
  <c r="K55" i="20" s="1"/>
  <c r="W43" i="16"/>
  <c r="W55" i="16"/>
  <c r="P65" i="18"/>
  <c r="F85" i="16"/>
  <c r="G85" i="16" s="1"/>
  <c r="A85" i="16" s="1"/>
  <c r="I71" i="20"/>
  <c r="I100" i="20" s="1"/>
  <c r="H40" i="14"/>
  <c r="Z57" i="16" s="1"/>
  <c r="D54" i="16"/>
  <c r="L36" i="13"/>
  <c r="K50" i="20" s="1"/>
  <c r="N70" i="14"/>
  <c r="O82" i="20" s="1"/>
  <c r="R82" i="20" s="1"/>
  <c r="K71" i="6"/>
  <c r="L33" i="13"/>
  <c r="K44" i="20" s="1"/>
  <c r="H47" i="20"/>
  <c r="D46" i="16"/>
  <c r="AH44" i="20"/>
  <c r="M39" i="26" s="1"/>
  <c r="L32" i="13"/>
  <c r="E41" i="16" s="1"/>
  <c r="W45" i="16"/>
  <c r="K34" i="13"/>
  <c r="L34" i="13" s="1"/>
  <c r="E45" i="16" s="1"/>
  <c r="H34" i="14"/>
  <c r="K34" i="14" s="1"/>
  <c r="K59" i="13"/>
  <c r="L65" i="18" s="1"/>
  <c r="H33" i="14"/>
  <c r="Z43" i="16" s="1"/>
  <c r="L35" i="13"/>
  <c r="E47" i="16" s="1"/>
  <c r="Q69" i="18"/>
  <c r="H36" i="14"/>
  <c r="K36" i="14" s="1"/>
  <c r="H37" i="14"/>
  <c r="Z51" i="16" s="1"/>
  <c r="K37" i="13"/>
  <c r="L37" i="13" s="1"/>
  <c r="E51" i="16" s="1"/>
  <c r="W51" i="16"/>
  <c r="H48" i="20"/>
  <c r="H39" i="14"/>
  <c r="Z55" i="16" s="1"/>
  <c r="Q84" i="20"/>
  <c r="A84" i="20" s="1"/>
  <c r="N65" i="14"/>
  <c r="O77" i="20" s="1"/>
  <c r="R77" i="20" s="1"/>
  <c r="K233" i="9"/>
  <c r="K241" i="9"/>
  <c r="K234" i="9"/>
  <c r="A8" i="9"/>
  <c r="B7" i="9"/>
  <c r="K235" i="9"/>
  <c r="L19" i="5"/>
  <c r="H17" i="20" s="1"/>
  <c r="D15" i="16"/>
  <c r="C24" i="16"/>
  <c r="K62" i="6"/>
  <c r="N74" i="20"/>
  <c r="Q74" i="20" s="1"/>
  <c r="A74" i="20" s="1"/>
  <c r="G86" i="16"/>
  <c r="A86" i="16" s="1"/>
  <c r="L15" i="5"/>
  <c r="D8" i="16" s="1"/>
  <c r="L17" i="5"/>
  <c r="D12" i="16" s="1"/>
  <c r="D7" i="16"/>
  <c r="D11" i="16"/>
  <c r="N79" i="20"/>
  <c r="Q79" i="20" s="1"/>
  <c r="A79" i="20" s="1"/>
  <c r="L21" i="5"/>
  <c r="H21" i="20" s="1"/>
  <c r="D28" i="16"/>
  <c r="H20" i="20"/>
  <c r="G76" i="16"/>
  <c r="A76" i="16" s="1"/>
  <c r="H28" i="20"/>
  <c r="D27" i="16"/>
  <c r="H37" i="20"/>
  <c r="H36" i="20"/>
  <c r="D35" i="16"/>
  <c r="F81" i="16"/>
  <c r="G81" i="16" s="1"/>
  <c r="A81" i="16" s="1"/>
  <c r="N25" i="13"/>
  <c r="L28" i="20" s="1"/>
  <c r="AX29" i="20"/>
  <c r="X32" i="16"/>
  <c r="AI33" i="20"/>
  <c r="N28" i="26" s="1"/>
  <c r="AI17" i="20"/>
  <c r="X16" i="16"/>
  <c r="M53" i="26"/>
  <c r="L20" i="26"/>
  <c r="K22" i="26"/>
  <c r="AH29" i="20"/>
  <c r="W28" i="16"/>
  <c r="AJ33" i="20"/>
  <c r="O28" i="26" s="1"/>
  <c r="Y32" i="16"/>
  <c r="AI27" i="20"/>
  <c r="N22" i="26" s="1"/>
  <c r="X26" i="16"/>
  <c r="Q10" i="18"/>
  <c r="AX15" i="20"/>
  <c r="K30" i="26"/>
  <c r="J14" i="26"/>
  <c r="AB53" i="26"/>
  <c r="Q12" i="18"/>
  <c r="AX19" i="20"/>
  <c r="AC14" i="26" s="1"/>
  <c r="Q16" i="18"/>
  <c r="AX27" i="20"/>
  <c r="J10" i="26"/>
  <c r="K18" i="26"/>
  <c r="Y36" i="16"/>
  <c r="AJ37" i="20"/>
  <c r="Y28" i="16"/>
  <c r="AJ29" i="20"/>
  <c r="W32" i="16"/>
  <c r="AH33" i="20"/>
  <c r="AH27" i="20"/>
  <c r="M22" i="26" s="1"/>
  <c r="W26" i="16"/>
  <c r="AI15" i="20"/>
  <c r="N10" i="26" s="1"/>
  <c r="X14" i="16"/>
  <c r="AB12" i="26"/>
  <c r="J26" i="26"/>
  <c r="L30" i="26"/>
  <c r="AC32" i="26"/>
  <c r="AH9" i="20"/>
  <c r="M4" i="26" s="1"/>
  <c r="W8" i="16"/>
  <c r="AH25" i="20"/>
  <c r="M20" i="26" s="1"/>
  <c r="W24" i="16"/>
  <c r="AH13" i="20"/>
  <c r="W12" i="16"/>
  <c r="AJ15" i="20"/>
  <c r="O10" i="26" s="1"/>
  <c r="Y14" i="16"/>
  <c r="X30" i="16"/>
  <c r="AI31" i="20"/>
  <c r="AH48" i="20"/>
  <c r="W47" i="16"/>
  <c r="K14" i="26"/>
  <c r="AB45" i="26"/>
  <c r="L18" i="26"/>
  <c r="L8" i="26"/>
  <c r="M51" i="26"/>
  <c r="AB41" i="26"/>
  <c r="AB14" i="26"/>
  <c r="AI11" i="20"/>
  <c r="N6" i="26" s="1"/>
  <c r="X10" i="16"/>
  <c r="AJ27" i="20"/>
  <c r="O22" i="26" s="1"/>
  <c r="Y26" i="16"/>
  <c r="AI23" i="20"/>
  <c r="N18" i="26" s="1"/>
  <c r="X22" i="16"/>
  <c r="AH19" i="20"/>
  <c r="M14" i="26" s="1"/>
  <c r="W18" i="16"/>
  <c r="AI37" i="20"/>
  <c r="X36" i="16"/>
  <c r="AJ9" i="20"/>
  <c r="Y8" i="16"/>
  <c r="AJ35" i="20"/>
  <c r="O30" i="26" s="1"/>
  <c r="Y34" i="16"/>
  <c r="AJ11" i="20"/>
  <c r="Y10" i="16"/>
  <c r="AI13" i="20"/>
  <c r="X12" i="16"/>
  <c r="AH15" i="20"/>
  <c r="M10" i="26" s="1"/>
  <c r="W14" i="16"/>
  <c r="Y30" i="16"/>
  <c r="AJ31" i="20"/>
  <c r="O26" i="26" s="1"/>
  <c r="AH50" i="20"/>
  <c r="W49" i="16"/>
  <c r="K16" i="26"/>
  <c r="L28" i="26"/>
  <c r="J20" i="26"/>
  <c r="AC16" i="26"/>
  <c r="N27" i="13"/>
  <c r="L32" i="20" s="1"/>
  <c r="AX33" i="20"/>
  <c r="AH17" i="20"/>
  <c r="M12" i="26" s="1"/>
  <c r="W16" i="16"/>
  <c r="AH21" i="20"/>
  <c r="W20" i="16"/>
  <c r="W36" i="16"/>
  <c r="AH37" i="20"/>
  <c r="X8" i="16"/>
  <c r="AI9" i="20"/>
  <c r="Q20" i="18"/>
  <c r="AX35" i="20"/>
  <c r="AC30" i="26" s="1"/>
  <c r="AJ25" i="20"/>
  <c r="O20" i="26" s="1"/>
  <c r="Y24" i="16"/>
  <c r="AJ21" i="20"/>
  <c r="Y20" i="16"/>
  <c r="Q8" i="18"/>
  <c r="AX11" i="20"/>
  <c r="AC6" i="26" s="1"/>
  <c r="AC8" i="26"/>
  <c r="AJ17" i="20"/>
  <c r="Y16" i="16"/>
  <c r="Q14" i="18"/>
  <c r="AX23" i="20"/>
  <c r="AC18" i="26" s="1"/>
  <c r="M35" i="6"/>
  <c r="AY48" i="20"/>
  <c r="M36" i="6"/>
  <c r="AY50" i="20"/>
  <c r="AD45" i="26" s="1"/>
  <c r="AI19" i="20"/>
  <c r="N14" i="26" s="1"/>
  <c r="X18" i="16"/>
  <c r="Q18" i="18"/>
  <c r="AX31" i="20"/>
  <c r="AB20" i="26"/>
  <c r="X34" i="16"/>
  <c r="AI35" i="20"/>
  <c r="N30" i="26" s="1"/>
  <c r="AI29" i="20"/>
  <c r="X28" i="16"/>
  <c r="AH23" i="20"/>
  <c r="M18" i="26" s="1"/>
  <c r="W22" i="16"/>
  <c r="N40" i="13"/>
  <c r="AX58" i="20"/>
  <c r="AC53" i="26" s="1"/>
  <c r="AC4" i="26"/>
  <c r="W34" i="16"/>
  <c r="AH35" i="20"/>
  <c r="M30" i="26" s="1"/>
  <c r="AI25" i="20"/>
  <c r="X24" i="16"/>
  <c r="AI21" i="20"/>
  <c r="N16" i="26" s="1"/>
  <c r="X20" i="16"/>
  <c r="W10" i="16"/>
  <c r="AH11" i="20"/>
  <c r="AJ13" i="20"/>
  <c r="O8" i="26" s="1"/>
  <c r="Y12" i="16"/>
  <c r="N19" i="13"/>
  <c r="L16" i="20" s="1"/>
  <c r="AX17" i="20"/>
  <c r="AC12" i="26" s="1"/>
  <c r="Y22" i="16"/>
  <c r="AJ23" i="20"/>
  <c r="O18" i="26" s="1"/>
  <c r="N39" i="13"/>
  <c r="L55" i="20" s="1"/>
  <c r="AX56" i="20"/>
  <c r="AJ19" i="20"/>
  <c r="O14" i="26" s="1"/>
  <c r="Y18" i="16"/>
  <c r="AH31" i="20"/>
  <c r="M26" i="26" s="1"/>
  <c r="W30" i="16"/>
  <c r="K28" i="26"/>
  <c r="J18" i="26"/>
  <c r="AB6" i="26"/>
  <c r="J22" i="26"/>
  <c r="L14" i="26"/>
  <c r="L22" i="26"/>
  <c r="J12" i="26"/>
  <c r="J30" i="26"/>
  <c r="AB30" i="26"/>
  <c r="AB37" i="26"/>
  <c r="N20" i="13"/>
  <c r="L18" i="20" s="1"/>
  <c r="H38" i="14"/>
  <c r="K38" i="14" s="1"/>
  <c r="L96" i="20"/>
  <c r="N59" i="13"/>
  <c r="N74" i="13" s="1"/>
  <c r="L86" i="20" s="1"/>
  <c r="H35" i="14"/>
  <c r="H35" i="6" s="1"/>
  <c r="K60" i="6"/>
  <c r="M67" i="18"/>
  <c r="S67" i="18" s="1"/>
  <c r="O72" i="20"/>
  <c r="R72" i="20" s="1"/>
  <c r="R67" i="18"/>
  <c r="T67" i="18" s="1"/>
  <c r="I65" i="20"/>
  <c r="N52" i="13"/>
  <c r="N53" i="5"/>
  <c r="P54" i="18" s="1"/>
  <c r="L69" i="18"/>
  <c r="K58" i="6"/>
  <c r="M63" i="18"/>
  <c r="S63" i="18" s="1"/>
  <c r="K53" i="14"/>
  <c r="L27" i="5"/>
  <c r="H33" i="20" s="1"/>
  <c r="N60" i="6"/>
  <c r="K240" i="9"/>
  <c r="K242" i="9"/>
  <c r="L254" i="9"/>
  <c r="K253" i="9" s="1"/>
  <c r="H32" i="20"/>
  <c r="B36" i="6"/>
  <c r="N26" i="13"/>
  <c r="L30" i="20" s="1"/>
  <c r="E38" i="20"/>
  <c r="K41" i="4"/>
  <c r="C30" i="16"/>
  <c r="K69" i="6"/>
  <c r="F83" i="16"/>
  <c r="G83" i="16" s="1"/>
  <c r="A83" i="16" s="1"/>
  <c r="N81" i="20"/>
  <c r="Q81" i="20" s="1"/>
  <c r="A81" i="20" s="1"/>
  <c r="H34" i="20"/>
  <c r="C37" i="16"/>
  <c r="C8" i="16"/>
  <c r="L28" i="5"/>
  <c r="D34" i="16" s="1"/>
  <c r="L23" i="5"/>
  <c r="H25" i="20" s="1"/>
  <c r="H24" i="20"/>
  <c r="E11" i="20"/>
  <c r="C10" i="16"/>
  <c r="D21" i="16"/>
  <c r="L22" i="5"/>
  <c r="H23" i="20" s="1"/>
  <c r="N82" i="20"/>
  <c r="Q82" i="20" s="1"/>
  <c r="A82" i="20" s="1"/>
  <c r="F84" i="16"/>
  <c r="G84" i="16" s="1"/>
  <c r="A84" i="16" s="1"/>
  <c r="B35" i="6"/>
  <c r="K70" i="6"/>
  <c r="K18" i="13"/>
  <c r="E13" i="16" s="1"/>
  <c r="K27" i="13"/>
  <c r="E31" i="16" s="1"/>
  <c r="L30" i="4"/>
  <c r="R85" i="20"/>
  <c r="K26" i="13"/>
  <c r="E29" i="16" s="1"/>
  <c r="N64" i="14"/>
  <c r="O76" i="20" s="1"/>
  <c r="L76" i="20"/>
  <c r="N30" i="5"/>
  <c r="N41" i="5" s="1"/>
  <c r="I59" i="20" s="1"/>
  <c r="K30" i="5"/>
  <c r="K16" i="13"/>
  <c r="E9" i="16" s="1"/>
  <c r="K20" i="13"/>
  <c r="E17" i="16" s="1"/>
  <c r="N22" i="13"/>
  <c r="L22" i="20" s="1"/>
  <c r="N77" i="20"/>
  <c r="Q77" i="20" s="1"/>
  <c r="A77" i="20" s="1"/>
  <c r="F79" i="16"/>
  <c r="G79" i="16" s="1"/>
  <c r="A79" i="16" s="1"/>
  <c r="K65" i="6"/>
  <c r="R84" i="20"/>
  <c r="R80" i="20"/>
  <c r="N16" i="13"/>
  <c r="L10" i="20" s="1"/>
  <c r="R79" i="20"/>
  <c r="N28" i="13"/>
  <c r="Q21" i="18"/>
  <c r="K85" i="20"/>
  <c r="E87" i="16"/>
  <c r="K73" i="14"/>
  <c r="M69" i="18" s="1"/>
  <c r="J73" i="14"/>
  <c r="A83" i="13"/>
  <c r="K28" i="13"/>
  <c r="K23" i="13"/>
  <c r="K17" i="13"/>
  <c r="N18" i="13"/>
  <c r="L14" i="20" s="1"/>
  <c r="H21" i="14"/>
  <c r="I21" i="14"/>
  <c r="J21" i="14"/>
  <c r="H27" i="14"/>
  <c r="I27" i="14"/>
  <c r="J27" i="14"/>
  <c r="F65" i="16"/>
  <c r="G65" i="16" s="1"/>
  <c r="N64" i="20"/>
  <c r="Q64" i="20" s="1"/>
  <c r="F75" i="16"/>
  <c r="G75" i="16" s="1"/>
  <c r="N73" i="20"/>
  <c r="Q73" i="20" s="1"/>
  <c r="K61" i="6"/>
  <c r="F74" i="16"/>
  <c r="G74" i="16" s="1"/>
  <c r="N72" i="20"/>
  <c r="Q72" i="20" s="1"/>
  <c r="N35" i="14"/>
  <c r="O47" i="20" s="1"/>
  <c r="N69" i="20"/>
  <c r="Q69" i="20" s="1"/>
  <c r="F71" i="16"/>
  <c r="G71" i="16" s="1"/>
  <c r="K57" i="6"/>
  <c r="Q25" i="18"/>
  <c r="I55" i="20"/>
  <c r="D39" i="14"/>
  <c r="R29" i="18"/>
  <c r="H18" i="14"/>
  <c r="I18" i="14"/>
  <c r="J18" i="14"/>
  <c r="N29" i="13"/>
  <c r="R81" i="20"/>
  <c r="K29" i="13"/>
  <c r="K15" i="13"/>
  <c r="H30" i="13"/>
  <c r="Q15" i="18"/>
  <c r="K49" i="20"/>
  <c r="E48" i="16"/>
  <c r="N65" i="20"/>
  <c r="Q65" i="20" s="1"/>
  <c r="F66" i="16"/>
  <c r="G66" i="16" s="1"/>
  <c r="O73" i="20"/>
  <c r="R73" i="20" s="1"/>
  <c r="N61" i="6"/>
  <c r="F38" i="20"/>
  <c r="N41" i="4"/>
  <c r="F59" i="20" s="1"/>
  <c r="K43" i="20"/>
  <c r="E42" i="16"/>
  <c r="I43" i="20"/>
  <c r="Q9" i="18"/>
  <c r="N17" i="13"/>
  <c r="L18" i="5"/>
  <c r="H14" i="20"/>
  <c r="D13" i="16"/>
  <c r="H19" i="14"/>
  <c r="I19" i="14"/>
  <c r="J19" i="14"/>
  <c r="H29" i="14"/>
  <c r="I29" i="14"/>
  <c r="J29" i="14"/>
  <c r="H24" i="14"/>
  <c r="I24" i="14"/>
  <c r="J24" i="14"/>
  <c r="B37" i="6"/>
  <c r="B34" i="6"/>
  <c r="N23" i="13"/>
  <c r="J30" i="13"/>
  <c r="Q33" i="18"/>
  <c r="I30" i="13"/>
  <c r="K22" i="13"/>
  <c r="N32" i="13"/>
  <c r="I30" i="20"/>
  <c r="Q19" i="18"/>
  <c r="K25" i="13"/>
  <c r="Q11" i="18"/>
  <c r="I25" i="14"/>
  <c r="H25" i="14"/>
  <c r="J25" i="14"/>
  <c r="F72" i="16"/>
  <c r="G72" i="16" s="1"/>
  <c r="N70" i="20"/>
  <c r="Q70" i="20" s="1"/>
  <c r="N68" i="20"/>
  <c r="Q68" i="20" s="1"/>
  <c r="F70" i="16"/>
  <c r="G70" i="16" s="1"/>
  <c r="K56" i="6"/>
  <c r="O64" i="20"/>
  <c r="R64" i="20" s="1"/>
  <c r="O69" i="20"/>
  <c r="R69" i="20" s="1"/>
  <c r="R61" i="18"/>
  <c r="T61" i="18" s="1"/>
  <c r="N57" i="6"/>
  <c r="B32" i="6"/>
  <c r="D32" i="6" s="1"/>
  <c r="R28" i="18"/>
  <c r="B33" i="6"/>
  <c r="H28" i="14"/>
  <c r="I28" i="14"/>
  <c r="J28" i="14"/>
  <c r="K24" i="13"/>
  <c r="Q31" i="18"/>
  <c r="N38" i="13"/>
  <c r="O38" i="13" s="1"/>
  <c r="D29" i="16"/>
  <c r="L26" i="5"/>
  <c r="H30" i="20"/>
  <c r="L24" i="5"/>
  <c r="D25" i="16"/>
  <c r="H26" i="20"/>
  <c r="Q17" i="18"/>
  <c r="K41" i="20"/>
  <c r="E40" i="16"/>
  <c r="I47" i="20"/>
  <c r="K19" i="13"/>
  <c r="H23" i="14"/>
  <c r="I23" i="14"/>
  <c r="J23" i="14"/>
  <c r="N55" i="6"/>
  <c r="R57" i="18"/>
  <c r="T57" i="18" s="1"/>
  <c r="O67" i="20"/>
  <c r="R67" i="20" s="1"/>
  <c r="R63" i="18"/>
  <c r="T63" i="18" s="1"/>
  <c r="O70" i="20"/>
  <c r="R70" i="20" s="1"/>
  <c r="N58" i="6"/>
  <c r="H26" i="14"/>
  <c r="J26" i="14"/>
  <c r="I26" i="14"/>
  <c r="N24" i="13"/>
  <c r="L26" i="20" s="1"/>
  <c r="K53" i="6"/>
  <c r="N15" i="13"/>
  <c r="Q7" i="18"/>
  <c r="M30" i="13"/>
  <c r="Q13" i="18"/>
  <c r="N21" i="13"/>
  <c r="L20" i="5"/>
  <c r="H18" i="20"/>
  <c r="D17" i="16"/>
  <c r="I26" i="20"/>
  <c r="Q32" i="18"/>
  <c r="L16" i="5"/>
  <c r="D9" i="16"/>
  <c r="H10" i="20"/>
  <c r="I15" i="14"/>
  <c r="AL9" i="20" s="1"/>
  <c r="Q4" i="26" s="1"/>
  <c r="J15" i="14"/>
  <c r="AY9" i="20"/>
  <c r="AD4" i="26" s="1"/>
  <c r="H15" i="14"/>
  <c r="J17" i="14"/>
  <c r="H17" i="14"/>
  <c r="I17" i="14"/>
  <c r="F69" i="16"/>
  <c r="G69" i="16" s="1"/>
  <c r="N67" i="20"/>
  <c r="Q67" i="20" s="1"/>
  <c r="K55" i="6"/>
  <c r="I22" i="14"/>
  <c r="J22" i="14"/>
  <c r="AY23" i="20"/>
  <c r="H22" i="14"/>
  <c r="I16" i="14"/>
  <c r="H16" i="14"/>
  <c r="J16" i="14"/>
  <c r="H20" i="14"/>
  <c r="J20" i="14"/>
  <c r="I20" i="14"/>
  <c r="E46" i="16"/>
  <c r="K47" i="20"/>
  <c r="K21" i="13"/>
  <c r="I51" i="20"/>
  <c r="I14" i="20"/>
  <c r="D38" i="14"/>
  <c r="N56" i="6"/>
  <c r="O68" i="20"/>
  <c r="R68" i="20" s="1"/>
  <c r="R59" i="18"/>
  <c r="T59" i="18" s="1"/>
  <c r="D40" i="14"/>
  <c r="N36" i="14"/>
  <c r="O49" i="20" s="1"/>
  <c r="R83" i="20"/>
  <c r="K10" i="13"/>
  <c r="K6" i="20" s="1"/>
  <c r="N88" i="13"/>
  <c r="L75" i="20"/>
  <c r="N63" i="14"/>
  <c r="O75" i="20" s="1"/>
  <c r="O74" i="20"/>
  <c r="R74" i="20" s="1"/>
  <c r="L57" i="20" l="1"/>
  <c r="O40" i="13"/>
  <c r="E56" i="16"/>
  <c r="L40" i="13"/>
  <c r="K58" i="20" s="1"/>
  <c r="K53" i="20"/>
  <c r="L38" i="13"/>
  <c r="K54" i="20" s="1"/>
  <c r="D53" i="16"/>
  <c r="T29" i="18"/>
  <c r="D88" i="16"/>
  <c r="H58" i="20"/>
  <c r="H32" i="6"/>
  <c r="K32" i="14"/>
  <c r="K32" i="6" s="1"/>
  <c r="R49" i="20"/>
  <c r="H40" i="6"/>
  <c r="M33" i="18" s="1"/>
  <c r="T28" i="18"/>
  <c r="AC57" i="16"/>
  <c r="E52" i="16"/>
  <c r="K57" i="20"/>
  <c r="AK42" i="20"/>
  <c r="P37" i="26" s="1"/>
  <c r="S37" i="26" s="1"/>
  <c r="AK44" i="20"/>
  <c r="P39" i="26" s="1"/>
  <c r="S39" i="26" s="1"/>
  <c r="AC41" i="16"/>
  <c r="K40" i="14"/>
  <c r="AK58" i="20"/>
  <c r="P53" i="26" s="1"/>
  <c r="S53" i="26" s="1"/>
  <c r="E54" i="16"/>
  <c r="AK46" i="20"/>
  <c r="P41" i="26" s="1"/>
  <c r="S41" i="26" s="1"/>
  <c r="Z45" i="16"/>
  <c r="AC45" i="16" s="1"/>
  <c r="AC55" i="16"/>
  <c r="AC43" i="16"/>
  <c r="H34" i="6"/>
  <c r="K27" i="18" s="1"/>
  <c r="H37" i="6"/>
  <c r="J30" i="18" s="1"/>
  <c r="E49" i="16"/>
  <c r="H33" i="6"/>
  <c r="M26" i="18" s="1"/>
  <c r="H39" i="6"/>
  <c r="K32" i="18" s="1"/>
  <c r="AK56" i="20"/>
  <c r="P51" i="26" s="1"/>
  <c r="S51" i="26" s="1"/>
  <c r="K33" i="14"/>
  <c r="F42" i="16" s="1"/>
  <c r="G42" i="16" s="1"/>
  <c r="AK52" i="20"/>
  <c r="AN52" i="20" s="1"/>
  <c r="K37" i="14"/>
  <c r="F50" i="16" s="1"/>
  <c r="E43" i="16"/>
  <c r="E6" i="16"/>
  <c r="K51" i="20"/>
  <c r="AC51" i="16"/>
  <c r="AK50" i="20"/>
  <c r="P45" i="26" s="1"/>
  <c r="E73" i="16"/>
  <c r="K74" i="13"/>
  <c r="E88" i="16" s="1"/>
  <c r="T5" i="23"/>
  <c r="K52" i="20"/>
  <c r="K71" i="20"/>
  <c r="K48" i="20"/>
  <c r="E50" i="16"/>
  <c r="K42" i="20"/>
  <c r="K46" i="20"/>
  <c r="K45" i="20"/>
  <c r="Z49" i="16"/>
  <c r="AC49" i="16" s="1"/>
  <c r="E44" i="16"/>
  <c r="H36" i="6"/>
  <c r="L29" i="18" s="1"/>
  <c r="K39" i="14"/>
  <c r="K39" i="6" s="1"/>
  <c r="B8" i="9"/>
  <c r="A9" i="9"/>
  <c r="D16" i="16"/>
  <c r="H13" i="20"/>
  <c r="H9" i="20"/>
  <c r="D20" i="16"/>
  <c r="K35" i="14"/>
  <c r="A63" i="18"/>
  <c r="U63" i="18" s="1"/>
  <c r="AE37" i="26"/>
  <c r="R17" i="18"/>
  <c r="T17" i="18" s="1"/>
  <c r="AY29" i="20"/>
  <c r="AD24" i="26" s="1"/>
  <c r="N12" i="26"/>
  <c r="AK13" i="20"/>
  <c r="P8" i="26" s="1"/>
  <c r="Z12" i="16"/>
  <c r="AC12" i="16" s="1"/>
  <c r="N37" i="14"/>
  <c r="O51" i="20" s="1"/>
  <c r="R51" i="20" s="1"/>
  <c r="AY52" i="20"/>
  <c r="AK17" i="20"/>
  <c r="Z16" i="16"/>
  <c r="AC16" i="16" s="1"/>
  <c r="R10" i="18"/>
  <c r="T10" i="18" s="1"/>
  <c r="AY15" i="20"/>
  <c r="AD10" i="26" s="1"/>
  <c r="AL21" i="20"/>
  <c r="Q16" i="26" s="1"/>
  <c r="T16" i="26" s="1"/>
  <c r="AA20" i="16"/>
  <c r="AD20" i="16" s="1"/>
  <c r="AD43" i="26"/>
  <c r="AE43" i="26" s="1"/>
  <c r="AZ48" i="20"/>
  <c r="M16" i="26"/>
  <c r="O4" i="26"/>
  <c r="AZ58" i="20"/>
  <c r="I18" i="6"/>
  <c r="AL15" i="20"/>
  <c r="Q10" i="26" s="1"/>
  <c r="T10" i="26" s="1"/>
  <c r="AA14" i="16"/>
  <c r="AD14" i="16" s="1"/>
  <c r="AK23" i="20"/>
  <c r="Z22" i="16"/>
  <c r="AC22" i="16" s="1"/>
  <c r="J20" i="6"/>
  <c r="AM19" i="20"/>
  <c r="AB18" i="16"/>
  <c r="AE18" i="16" s="1"/>
  <c r="AZ23" i="20"/>
  <c r="AD18" i="26"/>
  <c r="AE18" i="26" s="1"/>
  <c r="R9" i="18"/>
  <c r="T9" i="18" s="1"/>
  <c r="AY13" i="20"/>
  <c r="H26" i="6"/>
  <c r="AK31" i="20"/>
  <c r="P26" i="26" s="1"/>
  <c r="S26" i="26" s="1"/>
  <c r="Z30" i="16"/>
  <c r="AC30" i="16" s="1"/>
  <c r="R15" i="18"/>
  <c r="T15" i="18" s="1"/>
  <c r="AY25" i="20"/>
  <c r="J28" i="6"/>
  <c r="AM35" i="20"/>
  <c r="AB34" i="16"/>
  <c r="AE34" i="16" s="1"/>
  <c r="J29" i="6"/>
  <c r="AM37" i="20"/>
  <c r="R32" i="26" s="1"/>
  <c r="AB36" i="16"/>
  <c r="AE36" i="16" s="1"/>
  <c r="AK15" i="20"/>
  <c r="P10" i="26" s="1"/>
  <c r="S10" i="26" s="1"/>
  <c r="Z14" i="16"/>
  <c r="AC14" i="16" s="1"/>
  <c r="H21" i="6"/>
  <c r="AK21" i="20"/>
  <c r="P16" i="26" s="1"/>
  <c r="Z20" i="16"/>
  <c r="AC20" i="16" s="1"/>
  <c r="M8" i="26"/>
  <c r="AE53" i="26"/>
  <c r="O12" i="26"/>
  <c r="I20" i="6"/>
  <c r="AL19" i="20"/>
  <c r="Q14" i="26" s="1"/>
  <c r="T14" i="26" s="1"/>
  <c r="AA18" i="16"/>
  <c r="AD18" i="16" s="1"/>
  <c r="J26" i="6"/>
  <c r="AM31" i="20"/>
  <c r="AB30" i="16"/>
  <c r="AE30" i="16" s="1"/>
  <c r="R12" i="18"/>
  <c r="T12" i="18" s="1"/>
  <c r="AY19" i="20"/>
  <c r="J22" i="6"/>
  <c r="AB22" i="16"/>
  <c r="AE22" i="16" s="1"/>
  <c r="AM23" i="20"/>
  <c r="R18" i="26" s="1"/>
  <c r="U18" i="26" s="1"/>
  <c r="J17" i="6"/>
  <c r="AM13" i="20"/>
  <c r="AB12" i="16"/>
  <c r="AE12" i="16" s="1"/>
  <c r="J23" i="6"/>
  <c r="AM25" i="20"/>
  <c r="R20" i="26" s="1"/>
  <c r="U20" i="26" s="1"/>
  <c r="AB24" i="16"/>
  <c r="AE24" i="16" s="1"/>
  <c r="I28" i="6"/>
  <c r="AL35" i="20"/>
  <c r="AA34" i="16"/>
  <c r="AD34" i="16" s="1"/>
  <c r="J24" i="6"/>
  <c r="AM27" i="20"/>
  <c r="AB26" i="16"/>
  <c r="AE26" i="16" s="1"/>
  <c r="I29" i="6"/>
  <c r="AL37" i="20"/>
  <c r="Q32" i="26" s="1"/>
  <c r="AA36" i="16"/>
  <c r="AD36" i="16" s="1"/>
  <c r="J27" i="6"/>
  <c r="AB32" i="16"/>
  <c r="AE32" i="16" s="1"/>
  <c r="AM33" i="20"/>
  <c r="N20" i="26"/>
  <c r="AC26" i="26"/>
  <c r="N4" i="26"/>
  <c r="T4" i="26" s="1"/>
  <c r="AO9" i="20"/>
  <c r="N8" i="26"/>
  <c r="N32" i="26"/>
  <c r="M28" i="26"/>
  <c r="AC24" i="26"/>
  <c r="I16" i="6"/>
  <c r="AL11" i="20"/>
  <c r="Q6" i="26" s="1"/>
  <c r="T6" i="26" s="1"/>
  <c r="AA10" i="16"/>
  <c r="AD10" i="16" s="1"/>
  <c r="J21" i="6"/>
  <c r="AM21" i="20"/>
  <c r="R16" i="26" s="1"/>
  <c r="AB20" i="16"/>
  <c r="AE20" i="16" s="1"/>
  <c r="AK19" i="20"/>
  <c r="P14" i="26" s="1"/>
  <c r="S14" i="26" s="1"/>
  <c r="Z18" i="16"/>
  <c r="AC18" i="16" s="1"/>
  <c r="I22" i="6"/>
  <c r="AL23" i="20"/>
  <c r="Q18" i="26" s="1"/>
  <c r="T18" i="26" s="1"/>
  <c r="AA22" i="16"/>
  <c r="AD22" i="16" s="1"/>
  <c r="AK9" i="20"/>
  <c r="Z8" i="16"/>
  <c r="AC8" i="16" s="1"/>
  <c r="I23" i="6"/>
  <c r="AA24" i="16"/>
  <c r="AD24" i="16" s="1"/>
  <c r="AL25" i="20"/>
  <c r="Q20" i="26" s="1"/>
  <c r="R20" i="18"/>
  <c r="T20" i="18" s="1"/>
  <c r="AY35" i="20"/>
  <c r="R16" i="18"/>
  <c r="T16" i="18" s="1"/>
  <c r="AY27" i="20"/>
  <c r="AD22" i="26" s="1"/>
  <c r="Z36" i="16"/>
  <c r="AC36" i="16" s="1"/>
  <c r="AK37" i="20"/>
  <c r="P32" i="26" s="1"/>
  <c r="I27" i="6"/>
  <c r="AL33" i="20"/>
  <c r="AA32" i="16"/>
  <c r="AD32" i="16" s="1"/>
  <c r="AC28" i="26"/>
  <c r="M43" i="26"/>
  <c r="N26" i="14"/>
  <c r="AY31" i="20"/>
  <c r="AD26" i="26" s="1"/>
  <c r="R8" i="18"/>
  <c r="T8" i="18" s="1"/>
  <c r="AY11" i="20"/>
  <c r="AK25" i="20"/>
  <c r="Z24" i="16"/>
  <c r="AC24" i="16" s="1"/>
  <c r="H28" i="6"/>
  <c r="AK35" i="20"/>
  <c r="Z34" i="16"/>
  <c r="AC34" i="16" s="1"/>
  <c r="J25" i="6"/>
  <c r="AM29" i="20"/>
  <c r="R24" i="26" s="1"/>
  <c r="AB28" i="16"/>
  <c r="AE28" i="16" s="1"/>
  <c r="I24" i="6"/>
  <c r="AL27" i="20"/>
  <c r="Q22" i="26" s="1"/>
  <c r="T22" i="26" s="1"/>
  <c r="AA26" i="16"/>
  <c r="AD26" i="16" s="1"/>
  <c r="R21" i="18"/>
  <c r="T21" i="18" s="1"/>
  <c r="AY37" i="20"/>
  <c r="R19" i="18"/>
  <c r="T19" i="18" s="1"/>
  <c r="AY33" i="20"/>
  <c r="AD28" i="26" s="1"/>
  <c r="AK48" i="20"/>
  <c r="P43" i="26" s="1"/>
  <c r="Z47" i="16"/>
  <c r="AC47" i="16" s="1"/>
  <c r="AK54" i="20"/>
  <c r="Z53" i="16"/>
  <c r="AC53" i="16" s="1"/>
  <c r="N24" i="26"/>
  <c r="M32" i="26"/>
  <c r="M45" i="26"/>
  <c r="O6" i="26"/>
  <c r="AZ50" i="20"/>
  <c r="N26" i="26"/>
  <c r="O24" i="26"/>
  <c r="AC22" i="26"/>
  <c r="J16" i="6"/>
  <c r="AM11" i="20"/>
  <c r="R6" i="26" s="1"/>
  <c r="AB10" i="16"/>
  <c r="AE10" i="16" s="1"/>
  <c r="AM9" i="20"/>
  <c r="R4" i="26" s="1"/>
  <c r="AB8" i="16"/>
  <c r="AE8" i="16" s="1"/>
  <c r="H25" i="6"/>
  <c r="Z28" i="16"/>
  <c r="AC28" i="16" s="1"/>
  <c r="AK29" i="20"/>
  <c r="P24" i="26" s="1"/>
  <c r="Z26" i="16"/>
  <c r="AC26" i="16" s="1"/>
  <c r="AK27" i="20"/>
  <c r="R11" i="18"/>
  <c r="T11" i="18" s="1"/>
  <c r="AY17" i="20"/>
  <c r="AD12" i="26" s="1"/>
  <c r="AE12" i="26" s="1"/>
  <c r="AK33" i="20"/>
  <c r="P28" i="26" s="1"/>
  <c r="Z32" i="16"/>
  <c r="AC32" i="16" s="1"/>
  <c r="AC51" i="26"/>
  <c r="AE51" i="26" s="1"/>
  <c r="AZ56" i="20"/>
  <c r="M6" i="26"/>
  <c r="AZ9" i="20"/>
  <c r="O16" i="26"/>
  <c r="AE45" i="26"/>
  <c r="AZ54" i="20"/>
  <c r="M24" i="26"/>
  <c r="I17" i="6"/>
  <c r="AL13" i="20"/>
  <c r="Q8" i="26" s="1"/>
  <c r="AA12" i="16"/>
  <c r="AD12" i="16" s="1"/>
  <c r="I19" i="6"/>
  <c r="AL17" i="20"/>
  <c r="Q12" i="26" s="1"/>
  <c r="AA16" i="16"/>
  <c r="AD16" i="16" s="1"/>
  <c r="AK11" i="20"/>
  <c r="P6" i="26" s="1"/>
  <c r="Z10" i="16"/>
  <c r="AC10" i="16" s="1"/>
  <c r="I26" i="6"/>
  <c r="AL31" i="20"/>
  <c r="Q26" i="26" s="1"/>
  <c r="AA30" i="16"/>
  <c r="AD30" i="16" s="1"/>
  <c r="N33" i="14"/>
  <c r="N33" i="6" s="1"/>
  <c r="AY44" i="20"/>
  <c r="I25" i="6"/>
  <c r="AA28" i="16"/>
  <c r="AD28" i="16" s="1"/>
  <c r="AL29" i="20"/>
  <c r="Q24" i="26" s="1"/>
  <c r="N34" i="14"/>
  <c r="O45" i="20" s="1"/>
  <c r="R45" i="20" s="1"/>
  <c r="AY46" i="20"/>
  <c r="J19" i="6"/>
  <c r="AM17" i="20"/>
  <c r="R12" i="26" s="1"/>
  <c r="AB16" i="16"/>
  <c r="AE16" i="16" s="1"/>
  <c r="J18" i="6"/>
  <c r="AM15" i="20"/>
  <c r="R10" i="26" s="1"/>
  <c r="U10" i="26" s="1"/>
  <c r="AB14" i="16"/>
  <c r="AE14" i="16" s="1"/>
  <c r="R13" i="18"/>
  <c r="T13" i="18" s="1"/>
  <c r="AY21" i="20"/>
  <c r="AZ42" i="20"/>
  <c r="AE4" i="26"/>
  <c r="O32" i="26"/>
  <c r="AC10" i="26"/>
  <c r="I15" i="6"/>
  <c r="AA8" i="16"/>
  <c r="AD8" i="16" s="1"/>
  <c r="K250" i="9"/>
  <c r="K245" i="9"/>
  <c r="S69" i="18"/>
  <c r="D37" i="16"/>
  <c r="K41" i="5"/>
  <c r="L65" i="20"/>
  <c r="N53" i="13"/>
  <c r="Q54" i="18" s="1"/>
  <c r="N52" i="14"/>
  <c r="R69" i="18"/>
  <c r="T69" i="18" s="1"/>
  <c r="H38" i="6"/>
  <c r="L71" i="20"/>
  <c r="L100" i="20" s="1"/>
  <c r="Q65" i="18"/>
  <c r="K36" i="6"/>
  <c r="O96" i="20"/>
  <c r="R96" i="20" s="1"/>
  <c r="F67" i="16"/>
  <c r="G67" i="16" s="1"/>
  <c r="M54" i="18"/>
  <c r="S54" i="18" s="1"/>
  <c r="K38" i="6"/>
  <c r="F48" i="18" s="1"/>
  <c r="N38" i="14"/>
  <c r="D32" i="16"/>
  <c r="K247" i="9"/>
  <c r="L266" i="9"/>
  <c r="K265" i="9" s="1"/>
  <c r="K254" i="9"/>
  <c r="K248" i="9"/>
  <c r="K243" i="9"/>
  <c r="K252" i="9"/>
  <c r="K244" i="9"/>
  <c r="K251" i="9"/>
  <c r="K249" i="9"/>
  <c r="K246" i="9"/>
  <c r="C38" i="16"/>
  <c r="K42" i="4"/>
  <c r="K43" i="4" s="1"/>
  <c r="E59" i="20"/>
  <c r="C58" i="16"/>
  <c r="L26" i="13"/>
  <c r="K31" i="20" s="1"/>
  <c r="D22" i="16"/>
  <c r="D24" i="16"/>
  <c r="H35" i="20"/>
  <c r="N25" i="14"/>
  <c r="O28" i="20" s="1"/>
  <c r="K14" i="20"/>
  <c r="E39" i="20"/>
  <c r="M27" i="6"/>
  <c r="M28" i="6"/>
  <c r="N27" i="14"/>
  <c r="O32" i="20" s="1"/>
  <c r="H38" i="20"/>
  <c r="A67" i="18"/>
  <c r="U68" i="18" s="1"/>
  <c r="L18" i="13"/>
  <c r="K15" i="20" s="1"/>
  <c r="N18" i="14"/>
  <c r="O14" i="20" s="1"/>
  <c r="L27" i="13"/>
  <c r="K33" i="20" s="1"/>
  <c r="I38" i="20"/>
  <c r="M25" i="6"/>
  <c r="K22" i="14"/>
  <c r="L22" i="14" s="1"/>
  <c r="K32" i="20"/>
  <c r="K27" i="14"/>
  <c r="L27" i="14" s="1"/>
  <c r="M18" i="6"/>
  <c r="N20" i="14"/>
  <c r="O18" i="20" s="1"/>
  <c r="H27" i="6"/>
  <c r="K20" i="14"/>
  <c r="L20" i="14" s="1"/>
  <c r="K21" i="14"/>
  <c r="N20" i="20" s="1"/>
  <c r="K30" i="20"/>
  <c r="R76" i="20"/>
  <c r="N29" i="14"/>
  <c r="O36" i="20" s="1"/>
  <c r="K17" i="14"/>
  <c r="L17" i="14" s="1"/>
  <c r="L16" i="13"/>
  <c r="E10" i="16" s="1"/>
  <c r="K18" i="20"/>
  <c r="N35" i="6"/>
  <c r="A28" i="18" s="1"/>
  <c r="U28" i="18" s="1"/>
  <c r="L20" i="13"/>
  <c r="K19" i="20" s="1"/>
  <c r="R47" i="20"/>
  <c r="K10" i="20"/>
  <c r="M38" i="6"/>
  <c r="L30" i="5"/>
  <c r="M29" i="6"/>
  <c r="N36" i="6"/>
  <c r="N16" i="14"/>
  <c r="K16" i="14"/>
  <c r="F9" i="16" s="1"/>
  <c r="K23" i="14"/>
  <c r="F23" i="16" s="1"/>
  <c r="M21" i="6"/>
  <c r="K26" i="14"/>
  <c r="M16" i="6"/>
  <c r="N21" i="14"/>
  <c r="O20" i="20" s="1"/>
  <c r="M24" i="6"/>
  <c r="H23" i="6"/>
  <c r="M23" i="6"/>
  <c r="D10" i="16"/>
  <c r="H11" i="20"/>
  <c r="L24" i="13"/>
  <c r="K26" i="20"/>
  <c r="E25" i="16"/>
  <c r="R30" i="18"/>
  <c r="T30" i="18" s="1"/>
  <c r="M37" i="6"/>
  <c r="H24" i="6"/>
  <c r="N24" i="14"/>
  <c r="H29" i="6"/>
  <c r="R32" i="18"/>
  <c r="T32" i="18" s="1"/>
  <c r="L23" i="13"/>
  <c r="K24" i="20"/>
  <c r="E23" i="16"/>
  <c r="K28" i="14"/>
  <c r="J30" i="14"/>
  <c r="R18" i="18"/>
  <c r="T18" i="18" s="1"/>
  <c r="M26" i="6"/>
  <c r="I21" i="6"/>
  <c r="D26" i="16"/>
  <c r="H27" i="20"/>
  <c r="I28" i="18"/>
  <c r="K28" i="18"/>
  <c r="L28" i="18"/>
  <c r="J28" i="18"/>
  <c r="M28" i="18"/>
  <c r="R26" i="18"/>
  <c r="T26" i="18" s="1"/>
  <c r="M33" i="6"/>
  <c r="L24" i="20"/>
  <c r="N39" i="14"/>
  <c r="L12" i="20"/>
  <c r="L29" i="13"/>
  <c r="E35" i="16"/>
  <c r="K36" i="20"/>
  <c r="F52" i="16"/>
  <c r="N53" i="20"/>
  <c r="N23" i="14"/>
  <c r="O24" i="20" s="1"/>
  <c r="R14" i="18"/>
  <c r="T14" i="18" s="1"/>
  <c r="M22" i="6"/>
  <c r="H30" i="14"/>
  <c r="R25" i="18"/>
  <c r="T25" i="18" s="1"/>
  <c r="L25" i="13"/>
  <c r="K28" i="20"/>
  <c r="E27" i="16"/>
  <c r="L22" i="13"/>
  <c r="E21" i="16"/>
  <c r="K22" i="20"/>
  <c r="K19" i="14"/>
  <c r="H18" i="6"/>
  <c r="K15" i="14"/>
  <c r="H31" i="20"/>
  <c r="D30" i="16"/>
  <c r="N22" i="14"/>
  <c r="K29" i="14"/>
  <c r="K24" i="14"/>
  <c r="K73" i="6"/>
  <c r="F87" i="16"/>
  <c r="G87" i="16" s="1"/>
  <c r="A87" i="16" s="1"/>
  <c r="N85" i="20"/>
  <c r="Q85" i="20" s="1"/>
  <c r="A83" i="14"/>
  <c r="F48" i="16"/>
  <c r="G48" i="16" s="1"/>
  <c r="N49" i="20"/>
  <c r="Q49" i="20" s="1"/>
  <c r="N15" i="14"/>
  <c r="M30" i="14"/>
  <c r="R7" i="18"/>
  <c r="T7" i="18" s="1"/>
  <c r="R75" i="20"/>
  <c r="L21" i="13"/>
  <c r="K20" i="20"/>
  <c r="E19" i="16"/>
  <c r="N28" i="14"/>
  <c r="O34" i="20" s="1"/>
  <c r="A57" i="18"/>
  <c r="I30" i="14"/>
  <c r="M15" i="6"/>
  <c r="H19" i="6"/>
  <c r="L53" i="20"/>
  <c r="L98" i="20" s="1"/>
  <c r="M17" i="6"/>
  <c r="N17" i="14"/>
  <c r="O12" i="20" s="1"/>
  <c r="H17" i="6"/>
  <c r="L34" i="20"/>
  <c r="H16" i="6"/>
  <c r="H20" i="6"/>
  <c r="L19" i="13"/>
  <c r="E15" i="16"/>
  <c r="K16" i="20"/>
  <c r="H15" i="20"/>
  <c r="D14" i="16"/>
  <c r="H15" i="6"/>
  <c r="L36" i="20"/>
  <c r="F44" i="16"/>
  <c r="N45" i="20"/>
  <c r="K34" i="6"/>
  <c r="L17" i="13"/>
  <c r="E11" i="16"/>
  <c r="K12" i="20"/>
  <c r="R33" i="18"/>
  <c r="T33" i="18" s="1"/>
  <c r="M40" i="6"/>
  <c r="R31" i="18"/>
  <c r="T31" i="18" s="1"/>
  <c r="K18" i="14"/>
  <c r="D18" i="16"/>
  <c r="H19" i="20"/>
  <c r="L8" i="20"/>
  <c r="N30" i="13"/>
  <c r="A59" i="18"/>
  <c r="M19" i="6"/>
  <c r="K8" i="20"/>
  <c r="K30" i="13"/>
  <c r="K41" i="13" s="1"/>
  <c r="L15" i="13"/>
  <c r="E7" i="16"/>
  <c r="M20" i="6"/>
  <c r="L28" i="13"/>
  <c r="E33" i="16"/>
  <c r="K34" i="20"/>
  <c r="K25" i="14"/>
  <c r="H22" i="6"/>
  <c r="L20" i="20"/>
  <c r="N32" i="14"/>
  <c r="O41" i="20" s="1"/>
  <c r="L41" i="20"/>
  <c r="J15" i="6"/>
  <c r="R27" i="18"/>
  <c r="T27" i="18" s="1"/>
  <c r="M34" i="6"/>
  <c r="N19" i="14"/>
  <c r="N40" i="14"/>
  <c r="A61" i="18"/>
  <c r="M32" i="6"/>
  <c r="M39" i="6"/>
  <c r="N88" i="14"/>
  <c r="O103" i="20" s="1"/>
  <c r="L103" i="20"/>
  <c r="K8" i="14"/>
  <c r="J25" i="18" l="1"/>
  <c r="K25" i="18"/>
  <c r="L38" i="14"/>
  <c r="G77" i="14"/>
  <c r="O40" i="14"/>
  <c r="O53" i="20"/>
  <c r="O98" i="20" s="1"/>
  <c r="O38" i="14"/>
  <c r="Q53" i="20"/>
  <c r="K40" i="6"/>
  <c r="G46" i="18" s="1"/>
  <c r="L40" i="14"/>
  <c r="M25" i="18"/>
  <c r="L25" i="18"/>
  <c r="I25" i="18"/>
  <c r="I27" i="18"/>
  <c r="E53" i="16"/>
  <c r="K33" i="18"/>
  <c r="I33" i="18"/>
  <c r="J33" i="18"/>
  <c r="L33" i="18"/>
  <c r="K262" i="9"/>
  <c r="F40" i="16"/>
  <c r="G40" i="16" s="1"/>
  <c r="N41" i="20"/>
  <c r="Q41" i="20" s="1"/>
  <c r="AN42" i="20"/>
  <c r="AN44" i="20"/>
  <c r="L27" i="18"/>
  <c r="M27" i="18"/>
  <c r="E57" i="16"/>
  <c r="K256" i="9"/>
  <c r="K263" i="9"/>
  <c r="G52" i="16"/>
  <c r="J27" i="18"/>
  <c r="F56" i="16"/>
  <c r="G56" i="16" s="1"/>
  <c r="N57" i="20"/>
  <c r="Q57" i="20" s="1"/>
  <c r="P88" i="13"/>
  <c r="AN58" i="20"/>
  <c r="AN46" i="20"/>
  <c r="L26" i="18"/>
  <c r="J26" i="18"/>
  <c r="K30" i="18"/>
  <c r="M30" i="18"/>
  <c r="I30" i="18"/>
  <c r="K26" i="18"/>
  <c r="I32" i="18"/>
  <c r="L32" i="18"/>
  <c r="M32" i="18"/>
  <c r="L30" i="18"/>
  <c r="J32" i="18"/>
  <c r="I26" i="18"/>
  <c r="G44" i="16"/>
  <c r="M29" i="18"/>
  <c r="AN56" i="20"/>
  <c r="N43" i="20"/>
  <c r="Q43" i="20" s="1"/>
  <c r="AN50" i="20"/>
  <c r="P47" i="26"/>
  <c r="S47" i="26" s="1"/>
  <c r="N51" i="20"/>
  <c r="Q51" i="20" s="1"/>
  <c r="K33" i="6"/>
  <c r="K37" i="6"/>
  <c r="K86" i="20"/>
  <c r="I29" i="18"/>
  <c r="J29" i="18"/>
  <c r="A29" i="18"/>
  <c r="U29" i="18" s="1"/>
  <c r="K29" i="18"/>
  <c r="G50" i="16"/>
  <c r="S45" i="26"/>
  <c r="L36" i="14"/>
  <c r="F49" i="16" s="1"/>
  <c r="Q45" i="20"/>
  <c r="L37" i="14"/>
  <c r="F54" i="16"/>
  <c r="G54" i="16" s="1"/>
  <c r="L33" i="14"/>
  <c r="N55" i="20"/>
  <c r="Q55" i="20" s="1"/>
  <c r="L32" i="14"/>
  <c r="N42" i="20" s="1"/>
  <c r="N59" i="14"/>
  <c r="N74" i="14" s="1"/>
  <c r="O86" i="20" s="1"/>
  <c r="K59" i="14"/>
  <c r="K74" i="14" s="1"/>
  <c r="L35" i="14"/>
  <c r="L34" i="14"/>
  <c r="K261" i="9"/>
  <c r="K257" i="9"/>
  <c r="K258" i="9"/>
  <c r="K255" i="9"/>
  <c r="K260" i="9"/>
  <c r="B9" i="9"/>
  <c r="A10" i="9"/>
  <c r="K259" i="9"/>
  <c r="K264" i="9"/>
  <c r="U64" i="18"/>
  <c r="F46" i="16"/>
  <c r="G46" i="16" s="1"/>
  <c r="K35" i="6"/>
  <c r="N47" i="20"/>
  <c r="Q47" i="20" s="1"/>
  <c r="J17" i="18"/>
  <c r="U16" i="26"/>
  <c r="AZ29" i="20"/>
  <c r="AE24" i="26"/>
  <c r="M17" i="18"/>
  <c r="S24" i="26"/>
  <c r="A17" i="18"/>
  <c r="U17" i="18" s="1"/>
  <c r="T32" i="26"/>
  <c r="AE22" i="26"/>
  <c r="L17" i="18"/>
  <c r="AZ27" i="20"/>
  <c r="AO19" i="20"/>
  <c r="K20" i="18"/>
  <c r="AO15" i="20"/>
  <c r="M20" i="18"/>
  <c r="K17" i="18"/>
  <c r="L18" i="18"/>
  <c r="U32" i="26"/>
  <c r="AO37" i="20"/>
  <c r="I17" i="18"/>
  <c r="AN37" i="20"/>
  <c r="S32" i="26"/>
  <c r="K18" i="18"/>
  <c r="AO27" i="20"/>
  <c r="O43" i="20"/>
  <c r="R43" i="20" s="1"/>
  <c r="I20" i="18"/>
  <c r="L20" i="18"/>
  <c r="A18" i="18"/>
  <c r="U18" i="18" s="1"/>
  <c r="J18" i="18"/>
  <c r="AN29" i="20"/>
  <c r="I18" i="18"/>
  <c r="A20" i="18"/>
  <c r="U20" i="18" s="1"/>
  <c r="AN13" i="20"/>
  <c r="M18" i="18"/>
  <c r="J19" i="18"/>
  <c r="S43" i="26"/>
  <c r="J20" i="18"/>
  <c r="J30" i="6"/>
  <c r="AP11" i="20"/>
  <c r="T8" i="26"/>
  <c r="U6" i="26"/>
  <c r="AO21" i="20"/>
  <c r="T24" i="26"/>
  <c r="AN21" i="20"/>
  <c r="AZ15" i="20"/>
  <c r="AN48" i="20"/>
  <c r="AN19" i="20"/>
  <c r="S16" i="26"/>
  <c r="AE10" i="26"/>
  <c r="T20" i="26"/>
  <c r="AP37" i="20"/>
  <c r="AN31" i="20"/>
  <c r="S8" i="26"/>
  <c r="N34" i="6"/>
  <c r="A27" i="18" s="1"/>
  <c r="U27" i="18" s="1"/>
  <c r="O30" i="20"/>
  <c r="N37" i="6"/>
  <c r="A30" i="18" s="1"/>
  <c r="U30" i="18" s="1"/>
  <c r="P30" i="26"/>
  <c r="S30" i="26" s="1"/>
  <c r="AN35" i="20"/>
  <c r="Q28" i="26"/>
  <c r="T28" i="26" s="1"/>
  <c r="AO33" i="20"/>
  <c r="S28" i="26"/>
  <c r="AD20" i="26"/>
  <c r="AE20" i="26" s="1"/>
  <c r="AZ25" i="20"/>
  <c r="T12" i="26"/>
  <c r="R28" i="26"/>
  <c r="U28" i="26" s="1"/>
  <c r="AP33" i="20"/>
  <c r="AD39" i="26"/>
  <c r="AE39" i="26" s="1"/>
  <c r="AZ44" i="20"/>
  <c r="AN11" i="20"/>
  <c r="U24" i="26"/>
  <c r="Q30" i="26"/>
  <c r="T30" i="26" s="1"/>
  <c r="AO35" i="20"/>
  <c r="AZ17" i="20"/>
  <c r="S6" i="26"/>
  <c r="P22" i="26"/>
  <c r="S22" i="26" s="1"/>
  <c r="AN27" i="20"/>
  <c r="AP29" i="20"/>
  <c r="P49" i="26"/>
  <c r="S49" i="26" s="1"/>
  <c r="AN54" i="20"/>
  <c r="AZ31" i="20"/>
  <c r="R14" i="26"/>
  <c r="U14" i="26" s="1"/>
  <c r="AP19" i="20"/>
  <c r="P12" i="26"/>
  <c r="S12" i="26" s="1"/>
  <c r="AN17" i="20"/>
  <c r="AN33" i="20"/>
  <c r="R26" i="26"/>
  <c r="U26" i="26" s="1"/>
  <c r="AP31" i="20"/>
  <c r="AO31" i="20"/>
  <c r="P20" i="26"/>
  <c r="S20" i="26" s="1"/>
  <c r="AN25" i="20"/>
  <c r="AZ33" i="20"/>
  <c r="AE26" i="26"/>
  <c r="AD47" i="26"/>
  <c r="AE47" i="26" s="1"/>
  <c r="AZ52" i="20"/>
  <c r="AD32" i="26"/>
  <c r="AE32" i="26" s="1"/>
  <c r="AZ37" i="20"/>
  <c r="R8" i="26"/>
  <c r="U8" i="26" s="1"/>
  <c r="AP13" i="20"/>
  <c r="AD16" i="26"/>
  <c r="AE16" i="26" s="1"/>
  <c r="AZ21" i="20"/>
  <c r="AD41" i="26"/>
  <c r="AE41" i="26" s="1"/>
  <c r="AZ46" i="20"/>
  <c r="T26" i="26"/>
  <c r="AD6" i="26"/>
  <c r="AE6" i="26" s="1"/>
  <c r="AZ11" i="20"/>
  <c r="AE28" i="26"/>
  <c r="P4" i="26"/>
  <c r="S4" i="26" s="1"/>
  <c r="AN9" i="20"/>
  <c r="AO25" i="20"/>
  <c r="AD14" i="26"/>
  <c r="AE14" i="26" s="1"/>
  <c r="AZ19" i="20"/>
  <c r="AP17" i="20"/>
  <c r="AP9" i="20"/>
  <c r="AP15" i="20"/>
  <c r="U12" i="26"/>
  <c r="AP23" i="20"/>
  <c r="AD8" i="26"/>
  <c r="AE8" i="26" s="1"/>
  <c r="AZ13" i="20"/>
  <c r="P18" i="26"/>
  <c r="S18" i="26" s="1"/>
  <c r="AN23" i="20"/>
  <c r="U4" i="26"/>
  <c r="AP21" i="20"/>
  <c r="AO11" i="20"/>
  <c r="AO29" i="20"/>
  <c r="AD30" i="26"/>
  <c r="AE30" i="26" s="1"/>
  <c r="AZ35" i="20"/>
  <c r="AN15" i="20"/>
  <c r="AO13" i="20"/>
  <c r="R22" i="26"/>
  <c r="U22" i="26" s="1"/>
  <c r="AP27" i="20"/>
  <c r="AP25" i="20"/>
  <c r="R30" i="26"/>
  <c r="U30" i="26" s="1"/>
  <c r="AP35" i="20"/>
  <c r="AO23" i="20"/>
  <c r="AO17" i="20"/>
  <c r="I30" i="6"/>
  <c r="E37" i="18"/>
  <c r="D38" i="16"/>
  <c r="K42" i="5"/>
  <c r="H59" i="20"/>
  <c r="D58" i="16"/>
  <c r="O65" i="20"/>
  <c r="R65" i="20" s="1"/>
  <c r="N53" i="14"/>
  <c r="R54" i="18" s="1"/>
  <c r="T54" i="18" s="1"/>
  <c r="N52" i="6"/>
  <c r="N53" i="6" s="1"/>
  <c r="K59" i="20"/>
  <c r="E58" i="16"/>
  <c r="J31" i="18"/>
  <c r="M31" i="18"/>
  <c r="K31" i="18"/>
  <c r="L31" i="18"/>
  <c r="I31" i="18"/>
  <c r="N38" i="6"/>
  <c r="E41" i="18" s="1"/>
  <c r="K266" i="9"/>
  <c r="L278" i="9"/>
  <c r="K273" i="9" s="1"/>
  <c r="E61" i="20"/>
  <c r="K75" i="4"/>
  <c r="G78" i="4" s="1"/>
  <c r="C60" i="16"/>
  <c r="E60" i="20"/>
  <c r="C59" i="16"/>
  <c r="K11" i="20"/>
  <c r="E14" i="16"/>
  <c r="E30" i="16"/>
  <c r="E32" i="16"/>
  <c r="L16" i="14"/>
  <c r="N11" i="20" s="1"/>
  <c r="H39" i="20"/>
  <c r="A19" i="18"/>
  <c r="U19" i="18" s="1"/>
  <c r="N32" i="20"/>
  <c r="U67" i="18"/>
  <c r="N10" i="20"/>
  <c r="L26" i="14"/>
  <c r="F30" i="16" s="1"/>
  <c r="E18" i="16"/>
  <c r="F31" i="16"/>
  <c r="A15" i="18"/>
  <c r="U15" i="18" s="1"/>
  <c r="F17" i="16"/>
  <c r="F11" i="16"/>
  <c r="N12" i="20"/>
  <c r="J15" i="18"/>
  <c r="I19" i="18"/>
  <c r="K15" i="18"/>
  <c r="M19" i="18"/>
  <c r="L21" i="14"/>
  <c r="F20" i="16" s="1"/>
  <c r="M15" i="18"/>
  <c r="L23" i="14"/>
  <c r="F24" i="16" s="1"/>
  <c r="F29" i="16"/>
  <c r="L15" i="18"/>
  <c r="K19" i="18"/>
  <c r="F21" i="16"/>
  <c r="I15" i="18"/>
  <c r="L19" i="18"/>
  <c r="N22" i="20"/>
  <c r="N30" i="20"/>
  <c r="F19" i="16"/>
  <c r="N18" i="20"/>
  <c r="J13" i="18"/>
  <c r="I13" i="18"/>
  <c r="M13" i="18"/>
  <c r="L13" i="18"/>
  <c r="N24" i="20"/>
  <c r="N32" i="6"/>
  <c r="R41" i="20"/>
  <c r="O10" i="20"/>
  <c r="J9" i="18"/>
  <c r="L9" i="18"/>
  <c r="K9" i="18"/>
  <c r="M9" i="18"/>
  <c r="I9" i="18"/>
  <c r="A9" i="18"/>
  <c r="U9" i="18" s="1"/>
  <c r="A21" i="22"/>
  <c r="P21" i="22" s="1"/>
  <c r="A69" i="18"/>
  <c r="U70" i="18" s="1"/>
  <c r="A24" i="22"/>
  <c r="P24" i="22" s="1"/>
  <c r="O57" i="20"/>
  <c r="R57" i="20" s="1"/>
  <c r="N40" i="6"/>
  <c r="K14" i="18"/>
  <c r="I14" i="18"/>
  <c r="A14" i="18"/>
  <c r="U14" i="18" s="1"/>
  <c r="J14" i="18"/>
  <c r="M14" i="18"/>
  <c r="L14" i="18"/>
  <c r="E37" i="16"/>
  <c r="K38" i="20"/>
  <c r="K8" i="18"/>
  <c r="J8" i="18"/>
  <c r="I8" i="18"/>
  <c r="M8" i="18"/>
  <c r="L8" i="18"/>
  <c r="A8" i="18"/>
  <c r="U8" i="18" s="1"/>
  <c r="M30" i="6"/>
  <c r="O22" i="20"/>
  <c r="K13" i="18"/>
  <c r="E26" i="16"/>
  <c r="K27" i="20"/>
  <c r="E34" i="16"/>
  <c r="K35" i="20"/>
  <c r="K13" i="20"/>
  <c r="E12" i="16"/>
  <c r="K21" i="20"/>
  <c r="E20" i="16"/>
  <c r="E22" i="16"/>
  <c r="K23" i="20"/>
  <c r="O55" i="20"/>
  <c r="R55" i="20" s="1"/>
  <c r="N39" i="6"/>
  <c r="A32" i="18" s="1"/>
  <c r="U32" i="18" s="1"/>
  <c r="N13" i="20"/>
  <c r="F12" i="16"/>
  <c r="O16" i="20"/>
  <c r="O8" i="20"/>
  <c r="N30" i="14"/>
  <c r="N41" i="13"/>
  <c r="L59" i="20" s="1"/>
  <c r="L38" i="20"/>
  <c r="F22" i="16"/>
  <c r="N23" i="20"/>
  <c r="L15" i="14"/>
  <c r="N8" i="20"/>
  <c r="F7" i="16"/>
  <c r="K30" i="14"/>
  <c r="K41" i="14" s="1"/>
  <c r="L28" i="14"/>
  <c r="F33" i="16"/>
  <c r="N34" i="20"/>
  <c r="I21" i="18"/>
  <c r="L21" i="18"/>
  <c r="A21" i="18"/>
  <c r="U21" i="18" s="1"/>
  <c r="J21" i="18"/>
  <c r="K21" i="18"/>
  <c r="M21" i="18"/>
  <c r="F32" i="16"/>
  <c r="N33" i="20"/>
  <c r="A12" i="18"/>
  <c r="U12" i="18" s="1"/>
  <c r="J12" i="18"/>
  <c r="L12" i="18"/>
  <c r="I12" i="18"/>
  <c r="M12" i="18"/>
  <c r="K12" i="18"/>
  <c r="L25" i="14"/>
  <c r="F27" i="16"/>
  <c r="N28" i="20"/>
  <c r="U59" i="18"/>
  <c r="U60" i="18"/>
  <c r="N26" i="20"/>
  <c r="F25" i="16"/>
  <c r="L24" i="14"/>
  <c r="A13" i="18"/>
  <c r="U13" i="18" s="1"/>
  <c r="A26" i="18"/>
  <c r="U26" i="18" s="1"/>
  <c r="O26" i="20"/>
  <c r="N19" i="20"/>
  <c r="F18" i="16"/>
  <c r="L19" i="14"/>
  <c r="F15" i="16"/>
  <c r="N16" i="20"/>
  <c r="E16" i="16"/>
  <c r="K17" i="20"/>
  <c r="U57" i="18"/>
  <c r="U58" i="18"/>
  <c r="A85" i="20"/>
  <c r="H89" i="20"/>
  <c r="K89" i="20"/>
  <c r="E89" i="20"/>
  <c r="N89" i="20"/>
  <c r="F35" i="16"/>
  <c r="N36" i="20"/>
  <c r="L29" i="14"/>
  <c r="I10" i="18"/>
  <c r="M10" i="18"/>
  <c r="J10" i="18"/>
  <c r="A10" i="18"/>
  <c r="U10" i="18" s="1"/>
  <c r="K10" i="18"/>
  <c r="L10" i="18"/>
  <c r="E28" i="16"/>
  <c r="K29" i="20"/>
  <c r="E36" i="16"/>
  <c r="K37" i="20"/>
  <c r="K25" i="20"/>
  <c r="E24" i="16"/>
  <c r="U62" i="18"/>
  <c r="U61" i="18"/>
  <c r="K9" i="20"/>
  <c r="L30" i="13"/>
  <c r="K42" i="13" s="1"/>
  <c r="K43" i="13" s="1"/>
  <c r="E8" i="16"/>
  <c r="N14" i="20"/>
  <c r="L18" i="14"/>
  <c r="F13" i="16"/>
  <c r="M7" i="18"/>
  <c r="H30" i="6"/>
  <c r="J7" i="18"/>
  <c r="L7" i="18"/>
  <c r="K7" i="18"/>
  <c r="I7" i="18"/>
  <c r="M11" i="18"/>
  <c r="A11" i="18"/>
  <c r="U11" i="18" s="1"/>
  <c r="K11" i="18"/>
  <c r="L11" i="18"/>
  <c r="J11" i="18"/>
  <c r="I11" i="18"/>
  <c r="S28" i="18"/>
  <c r="K16" i="18"/>
  <c r="L16" i="18"/>
  <c r="J16" i="18"/>
  <c r="A16" i="18"/>
  <c r="U16" i="18" s="1"/>
  <c r="I16" i="18"/>
  <c r="M16" i="18"/>
  <c r="P88" i="5"/>
  <c r="P88" i="4"/>
  <c r="P88" i="2"/>
  <c r="R103" i="20" s="1"/>
  <c r="P88" i="14"/>
  <c r="N84" i="6"/>
  <c r="K10" i="14"/>
  <c r="Y5" i="23" s="1"/>
  <c r="A3" i="18"/>
  <c r="D2" i="16"/>
  <c r="B3" i="22"/>
  <c r="G6" i="16"/>
  <c r="K10" i="6"/>
  <c r="AD5" i="23"/>
  <c r="I2" i="20"/>
  <c r="Q6" i="20"/>
  <c r="N54" i="20" l="1"/>
  <c r="F53" i="16"/>
  <c r="G43" i="18"/>
  <c r="G41" i="18"/>
  <c r="G40" i="18"/>
  <c r="G38" i="18"/>
  <c r="G39" i="18"/>
  <c r="G37" i="18"/>
  <c r="G42" i="18"/>
  <c r="G44" i="18"/>
  <c r="G45" i="18"/>
  <c r="R53" i="20"/>
  <c r="R98" i="20" s="1"/>
  <c r="G47" i="18"/>
  <c r="G48" i="18"/>
  <c r="H48" i="18"/>
  <c r="E48" i="18"/>
  <c r="S25" i="18"/>
  <c r="A25" i="18" s="1"/>
  <c r="U25" i="18" s="1"/>
  <c r="S33" i="18"/>
  <c r="A33" i="18" s="1"/>
  <c r="U33" i="18" s="1"/>
  <c r="E47" i="18"/>
  <c r="E46" i="18"/>
  <c r="S27" i="18"/>
  <c r="U80" i="18"/>
  <c r="E45" i="18"/>
  <c r="K275" i="9"/>
  <c r="S26" i="18"/>
  <c r="S29" i="18"/>
  <c r="S30" i="18"/>
  <c r="S32" i="18"/>
  <c r="N50" i="20"/>
  <c r="F73" i="16"/>
  <c r="M65" i="18"/>
  <c r="R65" i="18"/>
  <c r="N71" i="20"/>
  <c r="O71" i="20"/>
  <c r="O100" i="20" s="1"/>
  <c r="N6" i="20"/>
  <c r="F41" i="16"/>
  <c r="U79" i="18"/>
  <c r="U78" i="18"/>
  <c r="U77" i="18"/>
  <c r="U81" i="18"/>
  <c r="U76" i="18"/>
  <c r="U75" i="18"/>
  <c r="U74" i="18"/>
  <c r="U73" i="18"/>
  <c r="F6" i="16"/>
  <c r="F57" i="16"/>
  <c r="N58" i="20"/>
  <c r="N46" i="20"/>
  <c r="F45" i="16"/>
  <c r="F47" i="16"/>
  <c r="N48" i="20"/>
  <c r="N44" i="20"/>
  <c r="F43" i="16"/>
  <c r="F51" i="16"/>
  <c r="N52" i="20"/>
  <c r="A11" i="9"/>
  <c r="B10" i="9"/>
  <c r="S20" i="18"/>
  <c r="S17" i="18"/>
  <c r="S18" i="18"/>
  <c r="K274" i="9"/>
  <c r="K276" i="9"/>
  <c r="K271" i="9"/>
  <c r="K277" i="9"/>
  <c r="K268" i="9"/>
  <c r="E43" i="18"/>
  <c r="E40" i="18"/>
  <c r="S31" i="18"/>
  <c r="A31" i="18" s="1"/>
  <c r="U31" i="18" s="1"/>
  <c r="A54" i="18"/>
  <c r="U54" i="18" s="1"/>
  <c r="A53" i="18"/>
  <c r="D59" i="16"/>
  <c r="H60" i="20"/>
  <c r="E59" i="16"/>
  <c r="K60" i="20"/>
  <c r="N59" i="20"/>
  <c r="F58" i="16"/>
  <c r="K75" i="13"/>
  <c r="G78" i="13" s="1"/>
  <c r="E60" i="16"/>
  <c r="K61" i="20"/>
  <c r="F88" i="16"/>
  <c r="N86" i="20"/>
  <c r="K43" i="5"/>
  <c r="E44" i="18"/>
  <c r="E38" i="18"/>
  <c r="E42" i="18"/>
  <c r="E39" i="18"/>
  <c r="K272" i="9"/>
  <c r="K278" i="9"/>
  <c r="L290" i="9"/>
  <c r="K279" i="9" s="1"/>
  <c r="K270" i="9"/>
  <c r="K269" i="9"/>
  <c r="K267" i="9"/>
  <c r="E88" i="20"/>
  <c r="C90" i="16"/>
  <c r="F10" i="16"/>
  <c r="N31" i="20"/>
  <c r="S15" i="18"/>
  <c r="N21" i="20"/>
  <c r="S19" i="18"/>
  <c r="N25" i="20"/>
  <c r="S13" i="18"/>
  <c r="S16" i="18"/>
  <c r="N37" i="20"/>
  <c r="F36" i="16"/>
  <c r="S8" i="18"/>
  <c r="F14" i="16"/>
  <c r="N15" i="20"/>
  <c r="S12" i="18"/>
  <c r="S21" i="18"/>
  <c r="N9" i="20"/>
  <c r="F8" i="16"/>
  <c r="L30" i="14"/>
  <c r="K42" i="14" s="1"/>
  <c r="K43" i="14" s="1"/>
  <c r="U69" i="18"/>
  <c r="F26" i="16"/>
  <c r="N27" i="20"/>
  <c r="K39" i="20"/>
  <c r="E38" i="16"/>
  <c r="S11" i="18"/>
  <c r="S7" i="18"/>
  <c r="A7" i="18" s="1"/>
  <c r="U7" i="18" s="1"/>
  <c r="S10" i="18"/>
  <c r="F34" i="16"/>
  <c r="N35" i="20"/>
  <c r="S14" i="18"/>
  <c r="S9" i="18"/>
  <c r="A24" i="18"/>
  <c r="N17" i="20"/>
  <c r="F16" i="16"/>
  <c r="N29" i="20"/>
  <c r="F28" i="16"/>
  <c r="O38" i="20"/>
  <c r="N41" i="14"/>
  <c r="O59" i="20" s="1"/>
  <c r="N38" i="20"/>
  <c r="F37" i="16"/>
  <c r="K79" i="4"/>
  <c r="K286" i="9" l="1"/>
  <c r="K281" i="9"/>
  <c r="K289" i="9"/>
  <c r="K287" i="9"/>
  <c r="K280" i="9"/>
  <c r="K282" i="9"/>
  <c r="K288" i="9"/>
  <c r="A12" i="9"/>
  <c r="B11" i="9"/>
  <c r="K284" i="9"/>
  <c r="K75" i="5"/>
  <c r="G78" i="5" s="1"/>
  <c r="H61" i="20"/>
  <c r="D60" i="16"/>
  <c r="K75" i="14"/>
  <c r="G78" i="14" s="1"/>
  <c r="F60" i="16"/>
  <c r="N61" i="20"/>
  <c r="N60" i="20"/>
  <c r="F59" i="16"/>
  <c r="K88" i="20"/>
  <c r="E90" i="16"/>
  <c r="U53" i="18"/>
  <c r="U55" i="18"/>
  <c r="L302" i="9"/>
  <c r="K291" i="9" s="1"/>
  <c r="K290" i="9"/>
  <c r="K285" i="9"/>
  <c r="K283" i="9"/>
  <c r="E90" i="20"/>
  <c r="C92" i="16"/>
  <c r="F38" i="16"/>
  <c r="N39" i="20"/>
  <c r="U34" i="18"/>
  <c r="U24" i="18"/>
  <c r="K79" i="13"/>
  <c r="I78" i="13" l="1"/>
  <c r="I78" i="4"/>
  <c r="K299" i="9"/>
  <c r="B12" i="9"/>
  <c r="A13" i="9"/>
  <c r="N88" i="20"/>
  <c r="F90" i="16"/>
  <c r="K90" i="20"/>
  <c r="E92" i="16"/>
  <c r="D90" i="16"/>
  <c r="H88" i="20"/>
  <c r="K294" i="9"/>
  <c r="K295" i="9"/>
  <c r="K293" i="9"/>
  <c r="K298" i="9"/>
  <c r="K292" i="9"/>
  <c r="K297" i="9"/>
  <c r="K301" i="9"/>
  <c r="L314" i="9"/>
  <c r="K307" i="9" s="1"/>
  <c r="K302" i="9"/>
  <c r="K296" i="9"/>
  <c r="K300" i="9"/>
  <c r="K79" i="14"/>
  <c r="K79" i="5"/>
  <c r="I78" i="14" l="1"/>
  <c r="I78" i="5"/>
  <c r="A14" i="9"/>
  <c r="B13" i="9"/>
  <c r="K304" i="9"/>
  <c r="D92" i="16"/>
  <c r="H90" i="20"/>
  <c r="N90" i="20"/>
  <c r="F92" i="16"/>
  <c r="K311" i="9"/>
  <c r="K314" i="9"/>
  <c r="L326" i="9"/>
  <c r="K324" i="9" s="1"/>
  <c r="K308" i="9"/>
  <c r="K313" i="9"/>
  <c r="K312" i="9"/>
  <c r="K310" i="9"/>
  <c r="K306" i="9"/>
  <c r="K305" i="9"/>
  <c r="K303" i="9"/>
  <c r="K309" i="9"/>
  <c r="A15" i="9" l="1"/>
  <c r="B14" i="9"/>
  <c r="K325" i="9"/>
  <c r="K318" i="9"/>
  <c r="K322" i="9"/>
  <c r="L338" i="9"/>
  <c r="K335" i="9" s="1"/>
  <c r="K326" i="9"/>
  <c r="K315" i="9"/>
  <c r="K316" i="9"/>
  <c r="K317" i="9"/>
  <c r="K320" i="9"/>
  <c r="K321" i="9"/>
  <c r="K323" i="9"/>
  <c r="K319" i="9"/>
  <c r="K333" i="9" l="1"/>
  <c r="K336" i="9"/>
  <c r="K329" i="9"/>
  <c r="A16" i="9"/>
  <c r="B15" i="9"/>
  <c r="K330" i="9"/>
  <c r="K337" i="9"/>
  <c r="K328" i="9"/>
  <c r="K332" i="9"/>
  <c r="K338" i="9"/>
  <c r="L350" i="9"/>
  <c r="K347" i="9" s="1"/>
  <c r="K331" i="9"/>
  <c r="K334" i="9"/>
  <c r="K327" i="9"/>
  <c r="K341" i="9" l="1"/>
  <c r="K340" i="9"/>
  <c r="K349" i="9"/>
  <c r="K345" i="9"/>
  <c r="B16" i="9"/>
  <c r="A17" i="9"/>
  <c r="K344" i="9"/>
  <c r="K348" i="9"/>
  <c r="K342" i="9"/>
  <c r="K350" i="9"/>
  <c r="L362" i="9"/>
  <c r="K359" i="9" s="1"/>
  <c r="K343" i="9"/>
  <c r="K339" i="9"/>
  <c r="K346" i="9"/>
  <c r="K352" i="9" l="1"/>
  <c r="B17" i="9"/>
  <c r="A18" i="9"/>
  <c r="K353" i="9"/>
  <c r="K357" i="9"/>
  <c r="K356" i="9"/>
  <c r="K360" i="9"/>
  <c r="K358" i="9"/>
  <c r="K361" i="9"/>
  <c r="K354" i="9"/>
  <c r="K362" i="9"/>
  <c r="L374" i="9"/>
  <c r="K367" i="9" s="1"/>
  <c r="K355" i="9"/>
  <c r="K351" i="9"/>
  <c r="K369" i="9" l="1"/>
  <c r="B18" i="9"/>
  <c r="A19" i="9"/>
  <c r="K366" i="9"/>
  <c r="K372" i="9"/>
  <c r="K374" i="9"/>
  <c r="L386" i="9"/>
  <c r="K377" i="9" s="1"/>
  <c r="K365" i="9"/>
  <c r="K371" i="9"/>
  <c r="K363" i="9"/>
  <c r="K373" i="9"/>
  <c r="K364" i="9"/>
  <c r="K370" i="9"/>
  <c r="K368" i="9"/>
  <c r="K382" i="9" l="1"/>
  <c r="K379" i="9"/>
  <c r="B19" i="9"/>
  <c r="A20" i="9"/>
  <c r="K381" i="9"/>
  <c r="K384" i="9"/>
  <c r="K383" i="9"/>
  <c r="K380" i="9"/>
  <c r="K375" i="9"/>
  <c r="K376" i="9"/>
  <c r="K386" i="9"/>
  <c r="L398" i="9"/>
  <c r="K393" i="9" s="1"/>
  <c r="K378" i="9"/>
  <c r="K385" i="9"/>
  <c r="A21" i="9" l="1"/>
  <c r="B20" i="9"/>
  <c r="K392" i="9"/>
  <c r="K390" i="9"/>
  <c r="K395" i="9"/>
  <c r="K397" i="9"/>
  <c r="K389" i="9"/>
  <c r="K391" i="9"/>
  <c r="K394" i="9"/>
  <c r="L410" i="9"/>
  <c r="K404" i="9" s="1"/>
  <c r="K398" i="9"/>
  <c r="K387" i="9"/>
  <c r="K396" i="9"/>
  <c r="K388" i="9"/>
  <c r="A22" i="9" l="1"/>
  <c r="B21" i="9"/>
  <c r="K406" i="9"/>
  <c r="K408" i="9"/>
  <c r="K407" i="9"/>
  <c r="K401" i="9"/>
  <c r="K403" i="9"/>
  <c r="K402" i="9"/>
  <c r="K399" i="9"/>
  <c r="K405" i="9"/>
  <c r="L422" i="9"/>
  <c r="K410" i="9"/>
  <c r="K418" i="9"/>
  <c r="K409" i="9"/>
  <c r="K400" i="9"/>
  <c r="K415" i="9" l="1"/>
  <c r="K413" i="9"/>
  <c r="K416" i="9"/>
  <c r="K419" i="9"/>
  <c r="K412" i="9"/>
  <c r="K421" i="9"/>
  <c r="K411" i="9"/>
  <c r="A23" i="9"/>
  <c r="B22" i="9"/>
  <c r="K420" i="9"/>
  <c r="K414" i="9"/>
  <c r="K417" i="9"/>
  <c r="K422" i="9"/>
  <c r="L434" i="9"/>
  <c r="K430" i="9" s="1"/>
  <c r="K431" i="9" l="1"/>
  <c r="K429" i="9"/>
  <c r="A24" i="9"/>
  <c r="B23" i="9"/>
  <c r="K427" i="9"/>
  <c r="K424" i="9"/>
  <c r="K423" i="9"/>
  <c r="K426" i="9"/>
  <c r="K425" i="9"/>
  <c r="K428" i="9"/>
  <c r="L446" i="9"/>
  <c r="K444" i="9" s="1"/>
  <c r="K434" i="9"/>
  <c r="K432" i="9"/>
  <c r="K433" i="9"/>
  <c r="B24" i="9" l="1"/>
  <c r="A25" i="9"/>
  <c r="K437" i="9"/>
  <c r="K443" i="9"/>
  <c r="K439" i="9"/>
  <c r="K441" i="9"/>
  <c r="K442" i="9"/>
  <c r="K436" i="9"/>
  <c r="K438" i="9"/>
  <c r="K445" i="9"/>
  <c r="L458" i="9"/>
  <c r="K446" i="9"/>
  <c r="K449" i="9"/>
  <c r="K457" i="9"/>
  <c r="K447" i="9"/>
  <c r="K440" i="9"/>
  <c r="K435" i="9"/>
  <c r="K451" i="9" l="1"/>
  <c r="K452" i="9"/>
  <c r="K454" i="9"/>
  <c r="K448" i="9"/>
  <c r="K453" i="9"/>
  <c r="K450" i="9"/>
  <c r="K456" i="9"/>
  <c r="B25" i="9"/>
  <c r="A26" i="9"/>
  <c r="K455" i="9"/>
  <c r="L470" i="9"/>
  <c r="K469" i="9" s="1"/>
  <c r="K458" i="9"/>
  <c r="K466" i="9" l="1"/>
  <c r="K464" i="9"/>
  <c r="K460" i="9"/>
  <c r="K461" i="9"/>
  <c r="K468" i="9"/>
  <c r="K463" i="9"/>
  <c r="K465" i="9"/>
  <c r="K462" i="9"/>
  <c r="B26" i="9"/>
  <c r="A27" i="9"/>
  <c r="K459" i="9"/>
  <c r="K470" i="9"/>
  <c r="L482" i="9"/>
  <c r="K472" i="9" s="1"/>
  <c r="K467" i="9"/>
  <c r="K474" i="9" l="1"/>
  <c r="K478" i="9"/>
  <c r="K481" i="9"/>
  <c r="K479" i="9"/>
  <c r="K473" i="9"/>
  <c r="K476" i="9"/>
  <c r="K477" i="9"/>
  <c r="K471" i="9"/>
  <c r="A28" i="9"/>
  <c r="B27" i="9"/>
  <c r="K475" i="9"/>
  <c r="K482" i="9"/>
  <c r="L494" i="9"/>
  <c r="K490" i="9" s="1"/>
  <c r="K480" i="9"/>
  <c r="A29" i="9" l="1"/>
  <c r="B28" i="9"/>
  <c r="K485" i="9"/>
  <c r="K491" i="9"/>
  <c r="K493" i="9"/>
  <c r="K484" i="9"/>
  <c r="K488" i="9"/>
  <c r="K489" i="9"/>
  <c r="K486" i="9"/>
  <c r="K487" i="9"/>
  <c r="K494" i="9"/>
  <c r="L506" i="9"/>
  <c r="K498" i="9" s="1"/>
  <c r="K483" i="9"/>
  <c r="K492" i="9"/>
  <c r="B29" i="9" l="1"/>
  <c r="A30" i="9"/>
  <c r="K503" i="9"/>
  <c r="K504" i="9"/>
  <c r="K500" i="9"/>
  <c r="L518" i="9"/>
  <c r="K506" i="9"/>
  <c r="K502" i="9"/>
  <c r="K496" i="9"/>
  <c r="K499" i="9"/>
  <c r="K505" i="9"/>
  <c r="K501" i="9"/>
  <c r="K495" i="9"/>
  <c r="K497" i="9"/>
  <c r="K507" i="9" l="1"/>
  <c r="K508" i="9"/>
  <c r="K514" i="9"/>
  <c r="K510" i="9"/>
  <c r="K515" i="9"/>
  <c r="B30" i="9"/>
  <c r="A31" i="9"/>
  <c r="K511" i="9"/>
  <c r="K509" i="9"/>
  <c r="K517" i="9"/>
  <c r="K516" i="9"/>
  <c r="K513" i="9"/>
  <c r="K512" i="9"/>
  <c r="K518" i="9"/>
  <c r="L530" i="9"/>
  <c r="K526" i="9" s="1"/>
  <c r="B31" i="9" l="1"/>
  <c r="A32" i="9"/>
  <c r="K520" i="9"/>
  <c r="K519" i="9"/>
  <c r="L542" i="9"/>
  <c r="K541" i="9" s="1"/>
  <c r="K530" i="9"/>
  <c r="K531" i="9"/>
  <c r="K534" i="9"/>
  <c r="K525" i="9"/>
  <c r="K524" i="9"/>
  <c r="K527" i="9"/>
  <c r="K528" i="9"/>
  <c r="K523" i="9"/>
  <c r="K522" i="9"/>
  <c r="K521" i="9"/>
  <c r="K529" i="9"/>
  <c r="B32" i="9" l="1"/>
  <c r="A33" i="9"/>
  <c r="L554" i="9"/>
  <c r="K544" i="9" s="1"/>
  <c r="K542" i="9"/>
  <c r="K539" i="9"/>
  <c r="K537" i="9"/>
  <c r="K533" i="9"/>
  <c r="K532" i="9"/>
  <c r="K535" i="9"/>
  <c r="K540" i="9"/>
  <c r="K536" i="9"/>
  <c r="K538" i="9"/>
  <c r="K546" i="9" l="1"/>
  <c r="K545" i="9"/>
  <c r="B33" i="9"/>
  <c r="A34" i="9"/>
  <c r="K551" i="9"/>
  <c r="K549" i="9"/>
  <c r="K543" i="9"/>
  <c r="L566" i="9"/>
  <c r="K558" i="9" s="1"/>
  <c r="K554" i="9"/>
  <c r="K547" i="9"/>
  <c r="K548" i="9"/>
  <c r="K552" i="9"/>
  <c r="K553" i="9"/>
  <c r="K550" i="9"/>
  <c r="B34" i="9" l="1"/>
  <c r="A35" i="9"/>
  <c r="K562" i="9"/>
  <c r="K556" i="9"/>
  <c r="K566" i="9"/>
  <c r="L578" i="9"/>
  <c r="K573" i="9" s="1"/>
  <c r="K555" i="9"/>
  <c r="K561" i="9"/>
  <c r="K565" i="9"/>
  <c r="K559" i="9"/>
  <c r="K564" i="9"/>
  <c r="K560" i="9"/>
  <c r="K557" i="9"/>
  <c r="K563" i="9"/>
  <c r="K569" i="9" l="1"/>
  <c r="K571" i="9"/>
  <c r="A36" i="9"/>
  <c r="B35" i="9"/>
  <c r="K567" i="9"/>
  <c r="K574" i="9"/>
  <c r="K576" i="9"/>
  <c r="K570" i="9"/>
  <c r="K568" i="9"/>
  <c r="K577" i="9"/>
  <c r="K572" i="9"/>
  <c r="K578" i="9"/>
  <c r="L590" i="9"/>
  <c r="K587" i="9" s="1"/>
  <c r="K575" i="9"/>
  <c r="B36" i="9" l="1"/>
  <c r="A37" i="9"/>
  <c r="K585" i="9"/>
  <c r="K588" i="9"/>
  <c r="K580" i="9"/>
  <c r="K589" i="9"/>
  <c r="K583" i="9"/>
  <c r="K586" i="9"/>
  <c r="K582" i="9"/>
  <c r="L602" i="9"/>
  <c r="K599" i="9" s="1"/>
  <c r="K590" i="9"/>
  <c r="K579" i="9"/>
  <c r="K584" i="9"/>
  <c r="K581" i="9"/>
  <c r="B37" i="9" l="1"/>
  <c r="A38" i="9"/>
  <c r="K594" i="9"/>
  <c r="K591" i="9"/>
  <c r="K592" i="9"/>
  <c r="K593" i="9"/>
  <c r="K597" i="9"/>
  <c r="K601" i="9"/>
  <c r="K598" i="9"/>
  <c r="K600" i="9"/>
  <c r="K596" i="9"/>
  <c r="K595" i="9"/>
  <c r="L614" i="9"/>
  <c r="K613" i="9" s="1"/>
  <c r="K602" i="9"/>
  <c r="K610" i="9" l="1"/>
  <c r="K605" i="9"/>
  <c r="K608" i="9"/>
  <c r="B38" i="9"/>
  <c r="A39" i="9"/>
  <c r="K611" i="9"/>
  <c r="K609" i="9"/>
  <c r="K614" i="9"/>
  <c r="L626" i="9"/>
  <c r="K619" i="9" s="1"/>
  <c r="K606" i="9"/>
  <c r="K612" i="9"/>
  <c r="K607" i="9"/>
  <c r="K603" i="9"/>
  <c r="K604" i="9"/>
  <c r="K625" i="9" l="1"/>
  <c r="K615" i="9"/>
  <c r="B39" i="9"/>
  <c r="A40" i="9"/>
  <c r="K616" i="9"/>
  <c r="K624" i="9"/>
  <c r="K617" i="9"/>
  <c r="K622" i="9"/>
  <c r="K618" i="9"/>
  <c r="K621" i="9"/>
  <c r="L638" i="9"/>
  <c r="K630" i="9" s="1"/>
  <c r="K626" i="9"/>
  <c r="K620" i="9"/>
  <c r="K623" i="9"/>
  <c r="K628" i="9" l="1"/>
  <c r="A41" i="9"/>
  <c r="B40" i="9"/>
  <c r="K635" i="9"/>
  <c r="K634" i="9"/>
  <c r="K629" i="9"/>
  <c r="K636" i="9"/>
  <c r="K633" i="9"/>
  <c r="K637" i="9"/>
  <c r="K632" i="9"/>
  <c r="K631" i="9"/>
  <c r="K627" i="9"/>
  <c r="K638" i="9"/>
  <c r="L650" i="9"/>
  <c r="K647" i="9" s="1"/>
  <c r="K641" i="9" l="1"/>
  <c r="K649" i="9"/>
  <c r="K642" i="9"/>
  <c r="K640" i="9"/>
  <c r="A42" i="9"/>
  <c r="B41" i="9"/>
  <c r="K644" i="9"/>
  <c r="K643" i="9"/>
  <c r="K648" i="9"/>
  <c r="K645" i="9"/>
  <c r="K650" i="9"/>
  <c r="L662" i="9"/>
  <c r="K656" i="9" s="1"/>
  <c r="K646" i="9"/>
  <c r="K639" i="9"/>
  <c r="B42" i="9" l="1"/>
  <c r="A43" i="9"/>
  <c r="K652" i="9"/>
  <c r="K657" i="9"/>
  <c r="K660" i="9"/>
  <c r="K659" i="9"/>
  <c r="K654" i="9"/>
  <c r="K653" i="9"/>
  <c r="K658" i="9"/>
  <c r="K651" i="9"/>
  <c r="K662" i="9"/>
  <c r="L674" i="9"/>
  <c r="K667" i="9" s="1"/>
  <c r="K655" i="9"/>
  <c r="K661" i="9"/>
  <c r="K668" i="9" l="1"/>
  <c r="K666" i="9"/>
  <c r="K670" i="9"/>
  <c r="K671" i="9"/>
  <c r="A44" i="9"/>
  <c r="B43" i="9"/>
  <c r="K663" i="9"/>
  <c r="K673" i="9"/>
  <c r="K672" i="9"/>
  <c r="K674" i="9"/>
  <c r="L686" i="9"/>
  <c r="K683" i="9" s="1"/>
  <c r="K664" i="9"/>
  <c r="K665" i="9"/>
  <c r="K669" i="9"/>
  <c r="K677" i="9" l="1"/>
  <c r="K679" i="9"/>
  <c r="K682" i="9"/>
  <c r="K681" i="9"/>
  <c r="K676" i="9"/>
  <c r="A45" i="9"/>
  <c r="B44" i="9"/>
  <c r="K685" i="9"/>
  <c r="K675" i="9"/>
  <c r="L698" i="9"/>
  <c r="K686" i="9"/>
  <c r="K680" i="9"/>
  <c r="K684" i="9"/>
  <c r="K678" i="9"/>
  <c r="K691" i="9" l="1"/>
  <c r="K692" i="9"/>
  <c r="K696" i="9"/>
  <c r="K694" i="9"/>
  <c r="K688" i="9"/>
  <c r="K689" i="9"/>
  <c r="K687" i="9"/>
  <c r="K697" i="9"/>
  <c r="B45" i="9"/>
  <c r="A46" i="9"/>
  <c r="K693" i="9"/>
  <c r="K695" i="9"/>
  <c r="L710" i="9"/>
  <c r="K707" i="9" s="1"/>
  <c r="K698" i="9"/>
  <c r="K690" i="9"/>
  <c r="A47" i="9" l="1"/>
  <c r="B46" i="9"/>
  <c r="K709" i="9"/>
  <c r="K702" i="9"/>
  <c r="K703" i="9"/>
  <c r="K700" i="9"/>
  <c r="K706" i="9"/>
  <c r="K701" i="9"/>
  <c r="K705" i="9"/>
  <c r="K704" i="9"/>
  <c r="K708" i="9"/>
  <c r="L722" i="9"/>
  <c r="K715" i="9" s="1"/>
  <c r="K710" i="9"/>
  <c r="K699" i="9"/>
  <c r="K716" i="9" l="1"/>
  <c r="K719" i="9"/>
  <c r="K718" i="9"/>
  <c r="K713" i="9"/>
  <c r="K712" i="9"/>
  <c r="K720" i="9"/>
  <c r="K721" i="9"/>
  <c r="K717" i="9"/>
  <c r="K714" i="9"/>
  <c r="A48" i="9"/>
  <c r="B47" i="9"/>
  <c r="K722" i="9"/>
  <c r="L734" i="9"/>
  <c r="K730" i="9" s="1"/>
  <c r="K711" i="9"/>
  <c r="K723" i="9" l="1"/>
  <c r="K733" i="9"/>
  <c r="K731" i="9"/>
  <c r="K732" i="9"/>
  <c r="K725" i="9"/>
  <c r="K729" i="9"/>
  <c r="K724" i="9"/>
  <c r="K727" i="9"/>
  <c r="K728" i="9"/>
  <c r="A49" i="9"/>
  <c r="B48" i="9"/>
  <c r="K726" i="9"/>
  <c r="L746" i="9"/>
  <c r="K745" i="9" s="1"/>
  <c r="K734" i="9"/>
  <c r="K743" i="9" l="1"/>
  <c r="K739" i="9"/>
  <c r="K742" i="9"/>
  <c r="K738" i="9"/>
  <c r="K735" i="9"/>
  <c r="K741" i="9"/>
  <c r="K736" i="9"/>
  <c r="K740" i="9"/>
  <c r="K737" i="9"/>
  <c r="A50" i="9"/>
  <c r="B49" i="9"/>
  <c r="K744" i="9"/>
  <c r="K746" i="9"/>
  <c r="L758" i="9"/>
  <c r="B50" i="9" l="1"/>
  <c r="A51" i="9"/>
  <c r="K757" i="9"/>
  <c r="K758" i="9"/>
  <c r="L770" i="9"/>
  <c r="K763" i="9" s="1"/>
  <c r="K751" i="9"/>
  <c r="K747" i="9"/>
  <c r="K750" i="9"/>
  <c r="K752" i="9"/>
  <c r="K753" i="9"/>
  <c r="K749" i="9"/>
  <c r="K748" i="9"/>
  <c r="K755" i="9"/>
  <c r="K756" i="9"/>
  <c r="K754" i="9"/>
  <c r="A52" i="9" l="1"/>
  <c r="B51" i="9"/>
  <c r="K760" i="9"/>
  <c r="K769" i="9"/>
  <c r="K766" i="9"/>
  <c r="K761" i="9"/>
  <c r="K762" i="9"/>
  <c r="K767" i="9"/>
  <c r="K759" i="9"/>
  <c r="K764" i="9"/>
  <c r="K768" i="9"/>
  <c r="K765" i="9"/>
  <c r="K770" i="9"/>
  <c r="L782" i="9"/>
  <c r="K774" i="9" s="1"/>
  <c r="K775" i="9" l="1"/>
  <c r="A53" i="9"/>
  <c r="B52" i="9"/>
  <c r="K773" i="9"/>
  <c r="K780" i="9"/>
  <c r="K781" i="9"/>
  <c r="K772" i="9"/>
  <c r="K779" i="9"/>
  <c r="K771" i="9"/>
  <c r="K776" i="9"/>
  <c r="K777" i="9"/>
  <c r="L794" i="9"/>
  <c r="K786" i="9" s="1"/>
  <c r="K782" i="9"/>
  <c r="K778" i="9"/>
  <c r="K788" i="9" l="1"/>
  <c r="K791" i="9"/>
  <c r="B53" i="9"/>
  <c r="A54" i="9"/>
  <c r="K787" i="9"/>
  <c r="K790" i="9"/>
  <c r="K792" i="9"/>
  <c r="K785" i="9"/>
  <c r="K789" i="9"/>
  <c r="L806" i="9"/>
  <c r="K796" i="9" s="1"/>
  <c r="K794" i="9"/>
  <c r="K783" i="9"/>
  <c r="K784" i="9"/>
  <c r="K793" i="9"/>
  <c r="K803" i="9" l="1"/>
  <c r="K802" i="9"/>
  <c r="K797" i="9"/>
  <c r="A55" i="9"/>
  <c r="B54" i="9"/>
  <c r="K804" i="9"/>
  <c r="K805" i="9"/>
  <c r="K800" i="9"/>
  <c r="K799" i="9"/>
  <c r="K798" i="9"/>
  <c r="K795" i="9"/>
  <c r="K801" i="9"/>
  <c r="A56" i="9" l="1"/>
  <c r="B55" i="9"/>
  <c r="A57" i="9" l="1"/>
  <c r="B56" i="9"/>
  <c r="B57" i="9" l="1"/>
  <c r="A58" i="9"/>
  <c r="A59" i="9" l="1"/>
  <c r="B58" i="9"/>
  <c r="A60" i="9" l="1"/>
  <c r="B59" i="9"/>
  <c r="B60" i="9" l="1"/>
  <c r="A61" i="9"/>
  <c r="B61" i="9" l="1"/>
  <c r="A62" i="9"/>
  <c r="B62" i="9" l="1"/>
  <c r="A63" i="9"/>
  <c r="A64" i="9" l="1"/>
  <c r="B63" i="9"/>
  <c r="B64" i="9" l="1"/>
  <c r="A65" i="9"/>
  <c r="B65" i="9" l="1"/>
  <c r="A66" i="9"/>
  <c r="A67" i="9" l="1"/>
  <c r="B66" i="9"/>
  <c r="B67" i="9" l="1"/>
  <c r="A68" i="9"/>
  <c r="B68" i="9" l="1"/>
  <c r="A69" i="9"/>
  <c r="B69" i="9" l="1"/>
  <c r="A70" i="9"/>
  <c r="B70" i="9" l="1"/>
  <c r="A71" i="9"/>
  <c r="B71" i="9" l="1"/>
  <c r="A72" i="9"/>
  <c r="A73" i="9" l="1"/>
  <c r="B72" i="9"/>
  <c r="B73" i="9" l="1"/>
  <c r="A74" i="9"/>
  <c r="B74" i="9" l="1"/>
  <c r="A75" i="9"/>
  <c r="B75" i="9" l="1"/>
  <c r="A76" i="9"/>
  <c r="A77" i="9" l="1"/>
  <c r="B76" i="9"/>
  <c r="B77" i="9" l="1"/>
  <c r="A78" i="9"/>
  <c r="B78" i="9" l="1"/>
  <c r="A79" i="9"/>
  <c r="B79" i="9" l="1"/>
  <c r="A80" i="9"/>
  <c r="B80" i="9" l="1"/>
  <c r="A81" i="9"/>
  <c r="B81" i="9" l="1"/>
  <c r="A82" i="9"/>
  <c r="A83" i="9" l="1"/>
  <c r="B82" i="9"/>
  <c r="B83" i="9" l="1"/>
  <c r="A84" i="9"/>
  <c r="A85" i="9" l="1"/>
  <c r="B84" i="9"/>
  <c r="B85" i="9" l="1"/>
  <c r="A86" i="9"/>
  <c r="B86" i="9" l="1"/>
  <c r="A87" i="9"/>
  <c r="B87" i="9" l="1"/>
  <c r="A88" i="9"/>
  <c r="A89" i="9" l="1"/>
  <c r="B88" i="9"/>
  <c r="A90" i="9" l="1"/>
  <c r="B89" i="9"/>
  <c r="B90" i="9" l="1"/>
  <c r="A91" i="9"/>
  <c r="A92" i="9" l="1"/>
  <c r="B91" i="9"/>
  <c r="B92" i="9" l="1"/>
  <c r="A93" i="9"/>
  <c r="B93" i="9" l="1"/>
  <c r="A94" i="9"/>
  <c r="A95" i="9" l="1"/>
  <c r="B94" i="9"/>
  <c r="B95" i="9" l="1"/>
  <c r="A96" i="9"/>
  <c r="B96" i="9" l="1"/>
  <c r="A97" i="9"/>
  <c r="A98" i="9" l="1"/>
  <c r="B97" i="9"/>
  <c r="B98" i="9" l="1"/>
  <c r="A99" i="9"/>
  <c r="A100" i="9" l="1"/>
  <c r="B99" i="9"/>
  <c r="B100" i="9" l="1"/>
  <c r="A101" i="9"/>
  <c r="A102" i="9" l="1"/>
  <c r="B101" i="9"/>
  <c r="A103" i="9" l="1"/>
  <c r="B102" i="9"/>
  <c r="A104" i="9" l="1"/>
  <c r="B103" i="9"/>
  <c r="B104" i="9" l="1"/>
  <c r="A105" i="9"/>
  <c r="A106" i="9" l="1"/>
  <c r="B105" i="9"/>
  <c r="B106" i="9" l="1"/>
  <c r="A107" i="9"/>
  <c r="B107" i="9" l="1"/>
  <c r="A108" i="9"/>
  <c r="A109" i="9" l="1"/>
  <c r="B108" i="9"/>
  <c r="A110" i="9" l="1"/>
  <c r="B109" i="9"/>
  <c r="B110" i="9" l="1"/>
  <c r="A111" i="9"/>
  <c r="B111" i="9" l="1"/>
  <c r="A112" i="9"/>
  <c r="A113" i="9" l="1"/>
  <c r="B112" i="9"/>
  <c r="A114" i="9" l="1"/>
  <c r="B113" i="9"/>
  <c r="B114" i="9" l="1"/>
  <c r="A115" i="9"/>
  <c r="A116" i="9" l="1"/>
  <c r="B115" i="9"/>
  <c r="B116" i="9" l="1"/>
  <c r="A117" i="9"/>
  <c r="B117" i="9" l="1"/>
  <c r="A118" i="9"/>
  <c r="B118" i="9" l="1"/>
  <c r="A119" i="9"/>
  <c r="B119" i="9" l="1"/>
  <c r="A120" i="9"/>
  <c r="A121" i="9" l="1"/>
  <c r="B120" i="9"/>
  <c r="A122" i="9" l="1"/>
  <c r="B121" i="9"/>
  <c r="B122" i="9" l="1"/>
  <c r="A123" i="9"/>
  <c r="B123" i="9" l="1"/>
  <c r="A124" i="9"/>
  <c r="A125" i="9" l="1"/>
  <c r="B124" i="9"/>
  <c r="B125" i="9" l="1"/>
  <c r="A126" i="9"/>
  <c r="A127" i="9" l="1"/>
  <c r="B126" i="9"/>
  <c r="A128" i="9" l="1"/>
  <c r="B127" i="9"/>
  <c r="A129" i="9" l="1"/>
  <c r="B128" i="9"/>
  <c r="A130" i="9" l="1"/>
  <c r="B129" i="9"/>
  <c r="A131" i="9" l="1"/>
  <c r="B130" i="9"/>
  <c r="A132" i="9" l="1"/>
  <c r="B131" i="9"/>
  <c r="B132" i="9" l="1"/>
  <c r="A133" i="9"/>
  <c r="A134" i="9" l="1"/>
  <c r="B133" i="9"/>
  <c r="A135" i="9" l="1"/>
  <c r="B134" i="9"/>
  <c r="B135" i="9" l="1"/>
  <c r="A136" i="9"/>
  <c r="B136" i="9" l="1"/>
  <c r="A137" i="9"/>
  <c r="A138" i="9" l="1"/>
  <c r="B137" i="9"/>
  <c r="A139" i="9" l="1"/>
  <c r="B138" i="9"/>
  <c r="B139" i="9" l="1"/>
  <c r="A140" i="9"/>
  <c r="A141" i="9" l="1"/>
  <c r="B140" i="9"/>
  <c r="B141" i="9" l="1"/>
  <c r="A142" i="9"/>
  <c r="B142" i="9" l="1"/>
  <c r="A143" i="9"/>
  <c r="A144" i="9" l="1"/>
  <c r="B143" i="9"/>
  <c r="A145" i="9" l="1"/>
  <c r="B144" i="9"/>
  <c r="B145" i="9" l="1"/>
  <c r="A146" i="9"/>
  <c r="B146" i="9" l="1"/>
  <c r="A147" i="9"/>
  <c r="B147" i="9" l="1"/>
  <c r="A148" i="9"/>
  <c r="B148" i="9" l="1"/>
  <c r="A149" i="9"/>
  <c r="A150" i="9" l="1"/>
  <c r="B149" i="9"/>
  <c r="A151" i="9" l="1"/>
  <c r="B150" i="9"/>
  <c r="B151" i="9" l="1"/>
  <c r="A152" i="9"/>
  <c r="A153" i="9" l="1"/>
  <c r="B152" i="9"/>
  <c r="B153" i="9" l="1"/>
  <c r="A154" i="9"/>
  <c r="B154" i="9" l="1"/>
  <c r="A155" i="9"/>
  <c r="A156" i="9" l="1"/>
  <c r="B155" i="9"/>
  <c r="B156" i="9" l="1"/>
  <c r="A157" i="9"/>
  <c r="A158" i="9" l="1"/>
  <c r="B157" i="9"/>
  <c r="B158" i="9" l="1"/>
  <c r="A159" i="9"/>
  <c r="A160" i="9" l="1"/>
  <c r="B159" i="9"/>
  <c r="A161" i="9" l="1"/>
  <c r="B160" i="9"/>
  <c r="A162" i="9" l="1"/>
  <c r="B161" i="9"/>
  <c r="B162" i="9" l="1"/>
  <c r="A163" i="9"/>
  <c r="B163" i="9" l="1"/>
  <c r="A164" i="9"/>
  <c r="A165" i="9" l="1"/>
  <c r="B164" i="9"/>
  <c r="B165" i="9" l="1"/>
  <c r="A166" i="9"/>
  <c r="A167" i="9" l="1"/>
  <c r="B166" i="9"/>
  <c r="B167" i="9" l="1"/>
  <c r="A168" i="9"/>
  <c r="B168" i="9" l="1"/>
  <c r="A169" i="9"/>
  <c r="B169" i="9" l="1"/>
  <c r="A170" i="9"/>
  <c r="B170" i="9" l="1"/>
  <c r="A171" i="9"/>
  <c r="A172" i="9" l="1"/>
  <c r="B171" i="9"/>
  <c r="B172" i="9" l="1"/>
  <c r="A173" i="9"/>
  <c r="B173" i="9" l="1"/>
  <c r="A174" i="9"/>
  <c r="A175" i="9" l="1"/>
  <c r="B174" i="9"/>
  <c r="B175" i="9" l="1"/>
  <c r="A176" i="9"/>
  <c r="B176" i="9" l="1"/>
  <c r="A177" i="9"/>
  <c r="A178" i="9" l="1"/>
  <c r="B177" i="9"/>
  <c r="B178" i="9" l="1"/>
  <c r="A179" i="9"/>
  <c r="A180" i="9" l="1"/>
  <c r="B179" i="9"/>
  <c r="B180" i="9" l="1"/>
  <c r="A181" i="9"/>
  <c r="A182" i="9" l="1"/>
  <c r="B181" i="9"/>
  <c r="B182" i="9" l="1"/>
  <c r="A183" i="9"/>
  <c r="A184" i="9" l="1"/>
  <c r="B183" i="9"/>
  <c r="B184" i="9" l="1"/>
  <c r="A185" i="9"/>
  <c r="A186" i="9" l="1"/>
  <c r="B185" i="9"/>
  <c r="A187" i="9" l="1"/>
  <c r="B186" i="9"/>
  <c r="A188" i="9" l="1"/>
  <c r="B187" i="9"/>
  <c r="A189" i="9" l="1"/>
  <c r="B188" i="9"/>
  <c r="B189" i="9" l="1"/>
  <c r="A190" i="9"/>
  <c r="B190" i="9" l="1"/>
  <c r="A191" i="9"/>
  <c r="A192" i="9" l="1"/>
  <c r="B191" i="9"/>
  <c r="A193" i="9" l="1"/>
  <c r="B192" i="9"/>
  <c r="A194" i="9" l="1"/>
  <c r="B193" i="9"/>
  <c r="B194" i="9" l="1"/>
  <c r="A195" i="9"/>
  <c r="B195" i="9" l="1"/>
  <c r="A196" i="9"/>
  <c r="A197" i="9" l="1"/>
  <c r="B196" i="9"/>
  <c r="A198" i="9" l="1"/>
  <c r="B197" i="9"/>
  <c r="A199" i="9" l="1"/>
  <c r="B198" i="9"/>
  <c r="A200" i="9" l="1"/>
  <c r="B199" i="9"/>
  <c r="A201" i="9" l="1"/>
  <c r="B200" i="9"/>
  <c r="A202" i="9" l="1"/>
  <c r="B201" i="9"/>
  <c r="B202" i="9" l="1"/>
  <c r="A203" i="9"/>
  <c r="A204" i="9" l="1"/>
  <c r="B203" i="9"/>
  <c r="B204" i="9" l="1"/>
  <c r="A205" i="9"/>
  <c r="A206" i="9" l="1"/>
  <c r="B205" i="9"/>
  <c r="A207" i="9" l="1"/>
  <c r="B206" i="9"/>
  <c r="B207" i="9" l="1"/>
  <c r="A208" i="9"/>
  <c r="A209" i="9" l="1"/>
  <c r="B208" i="9"/>
  <c r="A210" i="9" l="1"/>
  <c r="B209" i="9"/>
  <c r="A211" i="9" l="1"/>
  <c r="B210" i="9"/>
  <c r="B211" i="9" l="1"/>
  <c r="A212" i="9"/>
  <c r="B212" i="9" l="1"/>
  <c r="A213" i="9"/>
  <c r="B213" i="9" l="1"/>
  <c r="A214" i="9"/>
  <c r="A215" i="9" l="1"/>
  <c r="B214" i="9"/>
  <c r="B215" i="9" l="1"/>
  <c r="A216" i="9"/>
  <c r="B216" i="9" l="1"/>
  <c r="A217" i="9"/>
  <c r="A218" i="9" l="1"/>
  <c r="B217" i="9"/>
  <c r="B218" i="9" l="1"/>
  <c r="A219" i="9"/>
  <c r="B219" i="9" l="1"/>
  <c r="A220" i="9"/>
  <c r="A221" i="9" l="1"/>
  <c r="B220" i="9"/>
  <c r="B221" i="9" l="1"/>
  <c r="A222" i="9"/>
  <c r="B222" i="9" l="1"/>
  <c r="A223" i="9"/>
  <c r="B223" i="9" l="1"/>
  <c r="A224" i="9"/>
  <c r="B224" i="9" l="1"/>
  <c r="A225" i="9"/>
  <c r="B225" i="9" l="1"/>
  <c r="A226" i="9"/>
  <c r="A227" i="9" l="1"/>
  <c r="B226" i="9"/>
  <c r="B227" i="9" l="1"/>
  <c r="A228" i="9"/>
  <c r="B228" i="9" l="1"/>
  <c r="A229" i="9"/>
  <c r="A230" i="9" l="1"/>
  <c r="B229" i="9"/>
  <c r="A231" i="9" l="1"/>
  <c r="B230" i="9"/>
  <c r="B231" i="9" l="1"/>
  <c r="A232" i="9"/>
  <c r="B232" i="9" l="1"/>
  <c r="A233" i="9"/>
  <c r="B233" i="9" l="1"/>
  <c r="A234" i="9"/>
  <c r="A235" i="9" l="1"/>
  <c r="B234" i="9"/>
  <c r="A236" i="9" l="1"/>
  <c r="B235" i="9"/>
  <c r="B236" i="9" l="1"/>
  <c r="A237" i="9"/>
  <c r="A238" i="9" l="1"/>
  <c r="B237" i="9"/>
  <c r="A239" i="9" l="1"/>
  <c r="B238" i="9"/>
  <c r="B239" i="9" l="1"/>
  <c r="A240" i="9"/>
  <c r="B240" i="9" l="1"/>
  <c r="A241" i="9"/>
  <c r="A242" i="9" l="1"/>
  <c r="B241" i="9"/>
  <c r="B242" i="9" l="1"/>
  <c r="A243" i="9"/>
  <c r="B243" i="9" l="1"/>
  <c r="A244" i="9"/>
  <c r="B244" i="9" l="1"/>
  <c r="A245" i="9"/>
  <c r="A246" i="9" l="1"/>
  <c r="B245" i="9"/>
  <c r="A247" i="9" l="1"/>
  <c r="B246" i="9"/>
  <c r="A248" i="9" l="1"/>
  <c r="B247" i="9"/>
  <c r="B248" i="9" l="1"/>
  <c r="A249" i="9"/>
  <c r="A250" i="9" l="1"/>
  <c r="B249" i="9"/>
  <c r="B250" i="9" l="1"/>
  <c r="A251" i="9"/>
  <c r="B251" i="9" l="1"/>
  <c r="A252" i="9"/>
  <c r="B252" i="9" l="1"/>
  <c r="A253" i="9"/>
  <c r="A254" i="9" l="1"/>
  <c r="B253" i="9"/>
  <c r="A255" i="9" l="1"/>
  <c r="B254" i="9"/>
  <c r="A256" i="9" l="1"/>
  <c r="B255" i="9"/>
  <c r="B256" i="9" l="1"/>
  <c r="A257" i="9"/>
  <c r="A258" i="9" l="1"/>
  <c r="B257" i="9"/>
  <c r="B258" i="9" l="1"/>
  <c r="A259" i="9"/>
  <c r="B259" i="9" l="1"/>
  <c r="A260" i="9"/>
  <c r="B260" i="9" l="1"/>
  <c r="A261" i="9"/>
  <c r="A262" i="9" l="1"/>
  <c r="B261" i="9"/>
  <c r="B262" i="9" l="1"/>
  <c r="A263" i="9"/>
  <c r="B263" i="9" l="1"/>
  <c r="A264" i="9"/>
  <c r="B264" i="9" l="1"/>
  <c r="A265" i="9"/>
  <c r="A266" i="9" l="1"/>
  <c r="B265" i="9"/>
  <c r="A267" i="9" l="1"/>
  <c r="B266" i="9"/>
  <c r="A268" i="9" l="1"/>
  <c r="B267" i="9"/>
  <c r="A269" i="9" l="1"/>
  <c r="B268" i="9"/>
  <c r="A270" i="9" l="1"/>
  <c r="B269" i="9"/>
  <c r="B270" i="9" l="1"/>
  <c r="A271" i="9"/>
  <c r="A272" i="9" l="1"/>
  <c r="B271" i="9"/>
  <c r="B272" i="9" l="1"/>
  <c r="A273" i="9"/>
  <c r="A274" i="9" l="1"/>
  <c r="B273" i="9"/>
  <c r="A275" i="9" l="1"/>
  <c r="B274" i="9"/>
  <c r="B275" i="9" l="1"/>
  <c r="A276" i="9"/>
  <c r="B276" i="9" l="1"/>
  <c r="A277" i="9"/>
  <c r="A278" i="9" l="1"/>
  <c r="B277" i="9"/>
  <c r="B278" i="9" l="1"/>
  <c r="A279" i="9"/>
  <c r="A280" i="9" l="1"/>
  <c r="B279" i="9"/>
  <c r="A281" i="9" l="1"/>
  <c r="B280" i="9"/>
  <c r="B281" i="9" l="1"/>
  <c r="A282" i="9"/>
  <c r="B282" i="9" l="1"/>
  <c r="A283" i="9"/>
  <c r="B283" i="9" l="1"/>
  <c r="A284" i="9"/>
  <c r="A285" i="9" l="1"/>
  <c r="B284" i="9"/>
  <c r="A286" i="9" l="1"/>
  <c r="B285" i="9"/>
  <c r="B286" i="9" l="1"/>
  <c r="A287" i="9"/>
  <c r="A288" i="9" l="1"/>
  <c r="B287" i="9"/>
  <c r="B288" i="9" l="1"/>
  <c r="A289" i="9"/>
  <c r="A290" i="9" l="1"/>
  <c r="B289" i="9"/>
  <c r="A291" i="9" l="1"/>
  <c r="B290" i="9"/>
  <c r="A292" i="9" l="1"/>
  <c r="B291" i="9"/>
  <c r="A293" i="9" l="1"/>
  <c r="B292" i="9"/>
  <c r="B293" i="9" l="1"/>
  <c r="A294" i="9"/>
  <c r="A295" i="9" l="1"/>
  <c r="B294" i="9"/>
  <c r="A296" i="9" l="1"/>
  <c r="B295" i="9"/>
  <c r="B296" i="9" l="1"/>
  <c r="A297" i="9"/>
  <c r="A298" i="9" l="1"/>
  <c r="B297" i="9"/>
  <c r="A299" i="9" l="1"/>
  <c r="B298" i="9"/>
  <c r="A300" i="9" l="1"/>
  <c r="B299" i="9"/>
  <c r="A301" i="9" l="1"/>
  <c r="B300" i="9"/>
  <c r="A302" i="9" l="1"/>
  <c r="B301" i="9"/>
  <c r="B302" i="9" l="1"/>
  <c r="A303" i="9"/>
  <c r="A304" i="9" l="1"/>
  <c r="B303" i="9"/>
  <c r="A305" i="9" l="1"/>
  <c r="B304" i="9"/>
  <c r="A306" i="9" l="1"/>
  <c r="B305" i="9"/>
  <c r="A307" i="9" l="1"/>
  <c r="B306" i="9"/>
  <c r="A308" i="9" l="1"/>
  <c r="B307" i="9"/>
  <c r="A309" i="9" l="1"/>
  <c r="B308" i="9"/>
  <c r="A310" i="9" l="1"/>
  <c r="B309" i="9"/>
  <c r="A311" i="9" l="1"/>
  <c r="B310" i="9"/>
  <c r="A312" i="9" l="1"/>
  <c r="B311" i="9"/>
  <c r="A313" i="9" l="1"/>
  <c r="B312" i="9"/>
  <c r="A314" i="9" l="1"/>
  <c r="B313" i="9"/>
  <c r="A315" i="9" l="1"/>
  <c r="B314" i="9"/>
  <c r="B315" i="9" l="1"/>
  <c r="A316" i="9"/>
  <c r="A317" i="9" l="1"/>
  <c r="B316" i="9"/>
  <c r="B317" i="9" l="1"/>
  <c r="A318" i="9"/>
  <c r="B318" i="9" l="1"/>
  <c r="A319" i="9"/>
  <c r="A320" i="9" l="1"/>
  <c r="B319" i="9"/>
  <c r="B320" i="9" l="1"/>
  <c r="A321" i="9"/>
  <c r="B321" i="9" l="1"/>
  <c r="A322" i="9"/>
  <c r="B322" i="9" l="1"/>
  <c r="A323" i="9"/>
  <c r="A324" i="9" l="1"/>
  <c r="B323" i="9"/>
  <c r="B324" i="9" l="1"/>
  <c r="A325" i="9"/>
  <c r="A326" i="9" l="1"/>
  <c r="B325" i="9"/>
  <c r="B326" i="9" l="1"/>
  <c r="A327" i="9"/>
  <c r="B327" i="9" l="1"/>
  <c r="A328" i="9"/>
  <c r="B328" i="9" l="1"/>
  <c r="A329" i="9"/>
  <c r="B329" i="9" l="1"/>
  <c r="A330" i="9"/>
  <c r="B330" i="9" l="1"/>
  <c r="A331" i="9"/>
  <c r="B331" i="9" l="1"/>
  <c r="A332" i="9"/>
  <c r="B332" i="9" l="1"/>
  <c r="A333" i="9"/>
  <c r="B333" i="9" l="1"/>
  <c r="A334" i="9"/>
  <c r="B334" i="9" l="1"/>
  <c r="A335" i="9"/>
  <c r="B335" i="9" l="1"/>
  <c r="A336" i="9"/>
  <c r="B336" i="9" l="1"/>
  <c r="A337" i="9"/>
  <c r="A338" i="9" l="1"/>
  <c r="B337" i="9"/>
  <c r="B338" i="9" l="1"/>
  <c r="A339" i="9"/>
  <c r="B339" i="9" l="1"/>
  <c r="A340" i="9"/>
  <c r="A341" i="9" l="1"/>
  <c r="B340" i="9"/>
  <c r="B341" i="9" l="1"/>
  <c r="A342" i="9"/>
  <c r="A343" i="9" l="1"/>
  <c r="B342" i="9"/>
  <c r="A344" i="9" l="1"/>
  <c r="B343" i="9"/>
  <c r="A345" i="9" l="1"/>
  <c r="B344" i="9"/>
  <c r="A346" i="9" l="1"/>
  <c r="B345" i="9"/>
  <c r="A347" i="9" l="1"/>
  <c r="B346" i="9"/>
  <c r="A348" i="9" l="1"/>
  <c r="B347" i="9"/>
  <c r="B348" i="9" l="1"/>
  <c r="A349" i="9"/>
  <c r="B349" i="9" l="1"/>
  <c r="A350" i="9"/>
  <c r="A351" i="9" l="1"/>
  <c r="B350" i="9"/>
  <c r="B351" i="9" l="1"/>
  <c r="A352" i="9"/>
  <c r="B352" i="9" l="1"/>
  <c r="A353" i="9"/>
  <c r="B353" i="9" l="1"/>
  <c r="A354" i="9"/>
  <c r="A355" i="9" l="1"/>
  <c r="B354" i="9"/>
  <c r="A356" i="9" l="1"/>
  <c r="B355" i="9"/>
  <c r="A357" i="9" l="1"/>
  <c r="B356" i="9"/>
  <c r="B357" i="9" l="1"/>
  <c r="A358" i="9"/>
  <c r="B358" i="9" l="1"/>
  <c r="A359" i="9"/>
  <c r="B359" i="9" l="1"/>
  <c r="A360" i="9"/>
  <c r="B360" i="9" l="1"/>
  <c r="A361" i="9"/>
  <c r="A362" i="9" l="1"/>
  <c r="B361" i="9"/>
  <c r="A363" i="9" l="1"/>
  <c r="B362" i="9"/>
  <c r="B363" i="9" l="1"/>
  <c r="A364" i="9"/>
  <c r="A365" i="9" l="1"/>
  <c r="B364" i="9"/>
  <c r="B365" i="9" l="1"/>
  <c r="A366" i="9"/>
  <c r="A367" i="9" l="1"/>
  <c r="B366" i="9"/>
  <c r="A368" i="9" l="1"/>
  <c r="B367" i="9"/>
  <c r="B368" i="9" l="1"/>
  <c r="A369" i="9"/>
  <c r="B369" i="9" l="1"/>
  <c r="A370" i="9"/>
  <c r="A371" i="9" l="1"/>
  <c r="B370" i="9"/>
  <c r="A372" i="9" l="1"/>
  <c r="B371" i="9"/>
  <c r="A373" i="9" l="1"/>
  <c r="B372" i="9"/>
  <c r="A374" i="9" l="1"/>
  <c r="B373" i="9"/>
  <c r="B374" i="9" l="1"/>
  <c r="A375" i="9"/>
  <c r="A376" i="9" l="1"/>
  <c r="B375" i="9"/>
  <c r="A377" i="9" l="1"/>
  <c r="B376" i="9"/>
  <c r="B377" i="9" l="1"/>
  <c r="A378" i="9"/>
  <c r="A379" i="9" l="1"/>
  <c r="B378" i="9"/>
  <c r="A380" i="9" l="1"/>
  <c r="B379" i="9"/>
  <c r="B380" i="9" l="1"/>
  <c r="A381" i="9"/>
  <c r="A382" i="9" l="1"/>
  <c r="B381" i="9"/>
  <c r="A383" i="9" l="1"/>
  <c r="B382" i="9"/>
  <c r="A384" i="9" l="1"/>
  <c r="B383" i="9"/>
  <c r="A385" i="9" l="1"/>
  <c r="B384" i="9"/>
  <c r="A386" i="9" l="1"/>
  <c r="B385" i="9"/>
  <c r="A387" i="9" l="1"/>
  <c r="B386" i="9"/>
  <c r="A388" i="9" l="1"/>
  <c r="B387" i="9"/>
  <c r="B388" i="9" l="1"/>
  <c r="A389" i="9"/>
  <c r="A390" i="9" l="1"/>
  <c r="B389" i="9"/>
  <c r="A391" i="9" l="1"/>
  <c r="B390" i="9"/>
  <c r="A392" i="9" l="1"/>
  <c r="B391" i="9"/>
  <c r="A393" i="9" l="1"/>
  <c r="B392" i="9"/>
  <c r="A394" i="9" l="1"/>
  <c r="B393" i="9"/>
  <c r="B394" i="9" l="1"/>
  <c r="A395" i="9"/>
  <c r="A396" i="9" l="1"/>
  <c r="B395" i="9"/>
  <c r="A397" i="9" l="1"/>
  <c r="B396" i="9"/>
  <c r="A398" i="9" l="1"/>
  <c r="B397" i="9"/>
  <c r="A399" i="9" l="1"/>
  <c r="B398" i="9"/>
  <c r="A400" i="9" l="1"/>
  <c r="B399" i="9"/>
  <c r="A401" i="9" l="1"/>
  <c r="B400" i="9"/>
  <c r="A402" i="9" l="1"/>
  <c r="B401" i="9"/>
  <c r="A403" i="9" l="1"/>
  <c r="B402" i="9"/>
  <c r="A404" i="9" l="1"/>
  <c r="B403" i="9"/>
  <c r="B404" i="9" l="1"/>
  <c r="A405" i="9"/>
  <c r="B405" i="9" l="1"/>
  <c r="A406" i="9"/>
  <c r="A407" i="9" l="1"/>
  <c r="B406" i="9"/>
  <c r="N59" i="2" l="1"/>
  <c r="L37" i="2"/>
  <c r="O15" i="4"/>
  <c r="O18" i="4"/>
  <c r="F15" i="20" s="1"/>
  <c r="O37" i="5"/>
  <c r="I52" i="20" s="1"/>
  <c r="O17" i="5"/>
  <c r="I13" i="20" s="1"/>
  <c r="O21" i="13"/>
  <c r="L21" i="20" s="1"/>
  <c r="O20" i="13"/>
  <c r="L19" i="20" s="1"/>
  <c r="O17" i="13"/>
  <c r="L13" i="20" s="1"/>
  <c r="O15" i="14"/>
  <c r="O28" i="14"/>
  <c r="O35" i="20" s="1"/>
  <c r="O18" i="5"/>
  <c r="I15" i="20" s="1"/>
  <c r="O26" i="14"/>
  <c r="O31" i="20" s="1"/>
  <c r="K59" i="2"/>
  <c r="K74" i="2" s="1"/>
  <c r="O37" i="4"/>
  <c r="F52" i="20" s="1"/>
  <c r="O34" i="2"/>
  <c r="O22" i="4"/>
  <c r="F23" i="20" s="1"/>
  <c r="O20" i="5"/>
  <c r="I19" i="20" s="1"/>
  <c r="O33" i="5"/>
  <c r="I44" i="20" s="1"/>
  <c r="O25" i="5"/>
  <c r="I29" i="20" s="1"/>
  <c r="O37" i="13"/>
  <c r="L52" i="20" s="1"/>
  <c r="O25" i="13"/>
  <c r="L29" i="20" s="1"/>
  <c r="O20" i="14"/>
  <c r="O19" i="20" s="1"/>
  <c r="O36" i="14"/>
  <c r="O50" i="20" s="1"/>
  <c r="O25" i="14"/>
  <c r="O29" i="20" s="1"/>
  <c r="O35" i="2"/>
  <c r="O17" i="4"/>
  <c r="F13" i="20" s="1"/>
  <c r="O24" i="14"/>
  <c r="O27" i="20" s="1"/>
  <c r="A408" i="9"/>
  <c r="O32" i="4"/>
  <c r="F42" i="20" s="1"/>
  <c r="O36" i="4"/>
  <c r="F50" i="20" s="1"/>
  <c r="O16" i="4"/>
  <c r="F11" i="20" s="1"/>
  <c r="O21" i="5"/>
  <c r="I21" i="20" s="1"/>
  <c r="O22" i="5"/>
  <c r="I23" i="20" s="1"/>
  <c r="O36" i="5"/>
  <c r="I50" i="20" s="1"/>
  <c r="O32" i="13"/>
  <c r="L42" i="20" s="1"/>
  <c r="O22" i="13"/>
  <c r="L23" i="20" s="1"/>
  <c r="O33" i="13"/>
  <c r="L44" i="20" s="1"/>
  <c r="O21" i="14"/>
  <c r="O21" i="20" s="1"/>
  <c r="O23" i="14"/>
  <c r="O25" i="20" s="1"/>
  <c r="O58" i="20"/>
  <c r="O37" i="2"/>
  <c r="O24" i="13"/>
  <c r="L27" i="20" s="1"/>
  <c r="B407" i="9"/>
  <c r="L35" i="2"/>
  <c r="O36" i="2"/>
  <c r="L36" i="2"/>
  <c r="L33" i="2"/>
  <c r="O19" i="4"/>
  <c r="F17" i="20" s="1"/>
  <c r="O26" i="5"/>
  <c r="I31" i="20" s="1"/>
  <c r="O32" i="5"/>
  <c r="I42" i="20" s="1"/>
  <c r="O15" i="5"/>
  <c r="O16" i="13"/>
  <c r="L11" i="20" s="1"/>
  <c r="O27" i="13"/>
  <c r="L33" i="20" s="1"/>
  <c r="O18" i="13"/>
  <c r="L15" i="20" s="1"/>
  <c r="O54" i="20"/>
  <c r="O37" i="14"/>
  <c r="O52" i="20" s="1"/>
  <c r="O32" i="14"/>
  <c r="O42" i="20" s="1"/>
  <c r="O28" i="5"/>
  <c r="I35" i="20" s="1"/>
  <c r="O22" i="14"/>
  <c r="O23" i="20" s="1"/>
  <c r="L32" i="2"/>
  <c r="L34" i="2"/>
  <c r="O23" i="4"/>
  <c r="F25" i="20" s="1"/>
  <c r="O29" i="4"/>
  <c r="F37" i="20" s="1"/>
  <c r="O26" i="4"/>
  <c r="F31" i="20" s="1"/>
  <c r="O34" i="5"/>
  <c r="I46" i="20" s="1"/>
  <c r="I54" i="20"/>
  <c r="O29" i="5"/>
  <c r="I37" i="20" s="1"/>
  <c r="O34" i="13"/>
  <c r="L46" i="20" s="1"/>
  <c r="L54" i="20"/>
  <c r="O19" i="13"/>
  <c r="L17" i="20" s="1"/>
  <c r="O35" i="14"/>
  <c r="O48" i="20" s="1"/>
  <c r="O34" i="14"/>
  <c r="O46" i="20" s="1"/>
  <c r="O16" i="14"/>
  <c r="O11" i="20" s="1"/>
  <c r="O21" i="4"/>
  <c r="F21" i="20" s="1"/>
  <c r="L58" i="20"/>
  <c r="O32" i="2"/>
  <c r="O24" i="4"/>
  <c r="F27" i="20" s="1"/>
  <c r="O33" i="2"/>
  <c r="O25" i="4"/>
  <c r="F29" i="20" s="1"/>
  <c r="F54" i="20"/>
  <c r="O35" i="4"/>
  <c r="F48" i="20" s="1"/>
  <c r="O16" i="5"/>
  <c r="I11" i="20" s="1"/>
  <c r="O35" i="5"/>
  <c r="I48" i="20" s="1"/>
  <c r="I58" i="20"/>
  <c r="O26" i="13"/>
  <c r="L31" i="20" s="1"/>
  <c r="O15" i="13"/>
  <c r="O29" i="13"/>
  <c r="L37" i="20" s="1"/>
  <c r="O27" i="14"/>
  <c r="O33" i="20" s="1"/>
  <c r="O18" i="14"/>
  <c r="O15" i="20" s="1"/>
  <c r="O29" i="14"/>
  <c r="O37" i="20" s="1"/>
  <c r="O27" i="5"/>
  <c r="I33" i="20" s="1"/>
  <c r="F58" i="20"/>
  <c r="O34" i="4"/>
  <c r="F46" i="20" s="1"/>
  <c r="O33" i="4"/>
  <c r="F44" i="20" s="1"/>
  <c r="O27" i="4"/>
  <c r="F33" i="20" s="1"/>
  <c r="O20" i="4"/>
  <c r="F19" i="20" s="1"/>
  <c r="O24" i="5"/>
  <c r="I27" i="20" s="1"/>
  <c r="O23" i="5"/>
  <c r="I25" i="20" s="1"/>
  <c r="O19" i="5"/>
  <c r="I17" i="20" s="1"/>
  <c r="O36" i="13"/>
  <c r="L50" i="20" s="1"/>
  <c r="O23" i="13"/>
  <c r="L25" i="20" s="1"/>
  <c r="O35" i="13"/>
  <c r="L48" i="20" s="1"/>
  <c r="O33" i="14"/>
  <c r="O44" i="20" s="1"/>
  <c r="O19" i="14"/>
  <c r="O17" i="20" s="1"/>
  <c r="O17" i="14"/>
  <c r="O13" i="20" s="1"/>
  <c r="O28" i="4"/>
  <c r="F35" i="20" s="1"/>
  <c r="O28" i="13"/>
  <c r="L35" i="20" s="1"/>
  <c r="O97" i="20" l="1"/>
  <c r="O99" i="20"/>
  <c r="L97" i="20"/>
  <c r="L99" i="20"/>
  <c r="I97" i="20"/>
  <c r="I99" i="20"/>
  <c r="F97" i="20"/>
  <c r="F99" i="20"/>
  <c r="B48" i="20"/>
  <c r="Q48" i="20" s="1"/>
  <c r="L35" i="6"/>
  <c r="B47" i="16"/>
  <c r="G47" i="16" s="1"/>
  <c r="O30" i="14"/>
  <c r="O9" i="20"/>
  <c r="O32" i="6"/>
  <c r="C42" i="20"/>
  <c r="O95" i="20"/>
  <c r="O40" i="6"/>
  <c r="C58" i="20"/>
  <c r="R58" i="20" s="1"/>
  <c r="O35" i="6"/>
  <c r="C48" i="20"/>
  <c r="R48" i="20" s="1"/>
  <c r="I65" i="18"/>
  <c r="S65" i="18" s="1"/>
  <c r="B71" i="20"/>
  <c r="Q71" i="20" s="1"/>
  <c r="B73" i="16"/>
  <c r="G73" i="16" s="1"/>
  <c r="K59" i="6"/>
  <c r="L37" i="6"/>
  <c r="B52" i="20"/>
  <c r="Q52" i="20" s="1"/>
  <c r="B51" i="16"/>
  <c r="G51" i="16" s="1"/>
  <c r="I95" i="20"/>
  <c r="B45" i="16"/>
  <c r="G45" i="16" s="1"/>
  <c r="B46" i="20"/>
  <c r="Q46" i="20" s="1"/>
  <c r="L34" i="6"/>
  <c r="L95" i="20"/>
  <c r="F95" i="20"/>
  <c r="O38" i="6"/>
  <c r="C54" i="20"/>
  <c r="C99" i="20" s="1"/>
  <c r="L32" i="6"/>
  <c r="B41" i="16"/>
  <c r="G41" i="16" s="1"/>
  <c r="B42" i="20"/>
  <c r="Q42" i="20" s="1"/>
  <c r="L33" i="6"/>
  <c r="B44" i="20"/>
  <c r="Q44" i="20" s="1"/>
  <c r="B43" i="16"/>
  <c r="G43" i="16" s="1"/>
  <c r="O30" i="13"/>
  <c r="L9" i="20"/>
  <c r="B50" i="20"/>
  <c r="Q50" i="20" s="1"/>
  <c r="L36" i="6"/>
  <c r="B49" i="16"/>
  <c r="G49" i="16" s="1"/>
  <c r="O37" i="6"/>
  <c r="C52" i="20"/>
  <c r="R52" i="20" s="1"/>
  <c r="A409" i="9"/>
  <c r="B408" i="9"/>
  <c r="O30" i="5"/>
  <c r="I9" i="20"/>
  <c r="B54" i="20"/>
  <c r="Q54" i="20" s="1"/>
  <c r="L38" i="6"/>
  <c r="B53" i="16"/>
  <c r="G53" i="16" s="1"/>
  <c r="O33" i="6"/>
  <c r="C44" i="20"/>
  <c r="R44" i="20" s="1"/>
  <c r="C50" i="20"/>
  <c r="R50" i="20" s="1"/>
  <c r="O36" i="6"/>
  <c r="N59" i="6"/>
  <c r="N74" i="6" s="1"/>
  <c r="C71" i="20"/>
  <c r="N74" i="2"/>
  <c r="C86" i="20" s="1"/>
  <c r="R86" i="20" s="1"/>
  <c r="N65" i="18"/>
  <c r="T65" i="18" s="1"/>
  <c r="L40" i="6"/>
  <c r="B57" i="16"/>
  <c r="G57" i="16" s="1"/>
  <c r="B58" i="20"/>
  <c r="Q58" i="20" s="1"/>
  <c r="O34" i="6"/>
  <c r="C46" i="20"/>
  <c r="R46" i="20" s="1"/>
  <c r="O30" i="4"/>
  <c r="F9" i="20"/>
  <c r="R71" i="20" l="1"/>
  <c r="R100" i="20" s="1"/>
  <c r="C100" i="20"/>
  <c r="R54" i="20"/>
  <c r="C97" i="20"/>
  <c r="A65" i="18"/>
  <c r="K74" i="6"/>
  <c r="A56" i="18" s="1"/>
  <c r="U56" i="18" s="1"/>
  <c r="N42" i="14"/>
  <c r="O39" i="20"/>
  <c r="O94" i="20" s="1"/>
  <c r="N42" i="5"/>
  <c r="I39" i="20"/>
  <c r="I94" i="20" s="1"/>
  <c r="A410" i="9"/>
  <c r="B409" i="9"/>
  <c r="R42" i="20"/>
  <c r="R95" i="20" s="1"/>
  <c r="C95" i="20"/>
  <c r="N42" i="13"/>
  <c r="L39" i="20"/>
  <c r="L94" i="20" s="1"/>
  <c r="F39" i="20"/>
  <c r="F94" i="20" s="1"/>
  <c r="N42" i="4"/>
  <c r="B88" i="16"/>
  <c r="G88" i="16" s="1"/>
  <c r="B86" i="20"/>
  <c r="Q86" i="20" s="1"/>
  <c r="R97" i="20" l="1"/>
  <c r="R99" i="20"/>
  <c r="N43" i="13"/>
  <c r="L60" i="20"/>
  <c r="I60" i="20"/>
  <c r="N43" i="5"/>
  <c r="F60" i="20"/>
  <c r="N43" i="4"/>
  <c r="O60" i="20"/>
  <c r="N43" i="14"/>
  <c r="U65" i="18"/>
  <c r="U66" i="18"/>
  <c r="A411" i="9"/>
  <c r="B410" i="9"/>
  <c r="O61" i="20" l="1"/>
  <c r="N75" i="14"/>
  <c r="G79" i="14" s="1"/>
  <c r="A79" i="14" s="1"/>
  <c r="F61" i="20"/>
  <c r="N75" i="4"/>
  <c r="G79" i="4" s="1"/>
  <c r="A79" i="4" s="1"/>
  <c r="I61" i="20"/>
  <c r="N75" i="5"/>
  <c r="G79" i="5" s="1"/>
  <c r="A79" i="5" s="1"/>
  <c r="B411" i="9"/>
  <c r="A412" i="9"/>
  <c r="L61" i="20"/>
  <c r="N75" i="13"/>
  <c r="G79" i="13" s="1"/>
  <c r="A79" i="13" s="1"/>
  <c r="A413" i="9" l="1"/>
  <c r="B412" i="9"/>
  <c r="O88" i="20"/>
  <c r="I88" i="20"/>
  <c r="L88" i="20"/>
  <c r="F88" i="20"/>
  <c r="F90" i="20" l="1"/>
  <c r="L90" i="20"/>
  <c r="I90" i="20"/>
  <c r="O90" i="20"/>
  <c r="A414" i="9"/>
  <c r="B413" i="9"/>
  <c r="A415" i="9" l="1"/>
  <c r="B414" i="9"/>
  <c r="A416" i="9" l="1"/>
  <c r="B415" i="9"/>
  <c r="A417" i="9" l="1"/>
  <c r="B416" i="9"/>
  <c r="A418" i="9" l="1"/>
  <c r="B417" i="9"/>
  <c r="A419" i="9" l="1"/>
  <c r="B418" i="9"/>
  <c r="B419" i="9" l="1"/>
  <c r="A420" i="9"/>
  <c r="B420" i="9" l="1"/>
  <c r="A421" i="9"/>
  <c r="A422" i="9" l="1"/>
  <c r="B421" i="9"/>
  <c r="A423" i="9" l="1"/>
  <c r="B422" i="9"/>
  <c r="B423" i="9" l="1"/>
  <c r="A424" i="9"/>
  <c r="A425" i="9" l="1"/>
  <c r="B424" i="9"/>
  <c r="B425" i="9" l="1"/>
  <c r="A426" i="9"/>
  <c r="B426" i="9" l="1"/>
  <c r="A427" i="9"/>
  <c r="B427" i="9" l="1"/>
  <c r="A428" i="9"/>
  <c r="A429" i="9" l="1"/>
  <c r="B428" i="9"/>
  <c r="B429" i="9" l="1"/>
  <c r="A430" i="9"/>
  <c r="A431" i="9" l="1"/>
  <c r="B430" i="9"/>
  <c r="A432" i="9" l="1"/>
  <c r="B431" i="9"/>
  <c r="A433" i="9" l="1"/>
  <c r="B432" i="9"/>
  <c r="B433" i="9" l="1"/>
  <c r="A434" i="9"/>
  <c r="A435" i="9" l="1"/>
  <c r="B434" i="9"/>
  <c r="A436" i="9" l="1"/>
  <c r="B435" i="9"/>
  <c r="A437" i="9" l="1"/>
  <c r="B436" i="9"/>
  <c r="B437" i="9" l="1"/>
  <c r="A438" i="9"/>
  <c r="A439" i="9" l="1"/>
  <c r="B438" i="9"/>
  <c r="A440" i="9" l="1"/>
  <c r="B439" i="9"/>
  <c r="A441" i="9" l="1"/>
  <c r="B440" i="9"/>
  <c r="A442" i="9" l="1"/>
  <c r="B441" i="9"/>
  <c r="A443" i="9" l="1"/>
  <c r="B442" i="9"/>
  <c r="A444" i="9" l="1"/>
  <c r="B443" i="9"/>
  <c r="A445" i="9" l="1"/>
  <c r="B444" i="9"/>
  <c r="A446" i="9" l="1"/>
  <c r="B445" i="9"/>
  <c r="A447" i="9" l="1"/>
  <c r="B446" i="9"/>
  <c r="B447" i="9" l="1"/>
  <c r="A448" i="9"/>
  <c r="B448" i="9" l="1"/>
  <c r="A449" i="9"/>
  <c r="A450" i="9" l="1"/>
  <c r="B449" i="9"/>
  <c r="B450" i="9" l="1"/>
  <c r="A451" i="9"/>
  <c r="B451" i="9" l="1"/>
  <c r="A452" i="9"/>
  <c r="A453" i="9" l="1"/>
  <c r="B452" i="9"/>
  <c r="A454" i="9" l="1"/>
  <c r="B453" i="9"/>
  <c r="B454" i="9" l="1"/>
  <c r="A455" i="9"/>
  <c r="A456" i="9" l="1"/>
  <c r="B455" i="9"/>
  <c r="B456" i="9" l="1"/>
  <c r="A457" i="9"/>
  <c r="B457" i="9" l="1"/>
  <c r="A458" i="9"/>
  <c r="B458" i="9" l="1"/>
  <c r="A459" i="9"/>
  <c r="A460" i="9" l="1"/>
  <c r="B459" i="9"/>
  <c r="B460" i="9" l="1"/>
  <c r="A461" i="9"/>
  <c r="B461" i="9" l="1"/>
  <c r="A462" i="9"/>
  <c r="A463" i="9" l="1"/>
  <c r="B462" i="9"/>
  <c r="A464" i="9" l="1"/>
  <c r="B463" i="9"/>
  <c r="B464" i="9" l="1"/>
  <c r="A465" i="9"/>
  <c r="B465" i="9" l="1"/>
  <c r="A466" i="9"/>
  <c r="B466" i="9" l="1"/>
  <c r="A467" i="9"/>
  <c r="B467" i="9" l="1"/>
  <c r="A468" i="9"/>
  <c r="A469" i="9" l="1"/>
  <c r="B468" i="9"/>
  <c r="B469" i="9" l="1"/>
  <c r="A470" i="9"/>
  <c r="A471" i="9" l="1"/>
  <c r="B470" i="9"/>
  <c r="B471" i="9" l="1"/>
  <c r="A472" i="9"/>
  <c r="B472" i="9" l="1"/>
  <c r="A473" i="9"/>
  <c r="B473" i="9" l="1"/>
  <c r="A474" i="9"/>
  <c r="B474" i="9" l="1"/>
  <c r="A475" i="9"/>
  <c r="B475" i="9" l="1"/>
  <c r="A476" i="9"/>
  <c r="B476" i="9" l="1"/>
  <c r="A477" i="9"/>
  <c r="B477" i="9" l="1"/>
  <c r="A478" i="9"/>
  <c r="A479" i="9" l="1"/>
  <c r="B478" i="9"/>
  <c r="A480" i="9" l="1"/>
  <c r="B479" i="9"/>
  <c r="A481" i="9" l="1"/>
  <c r="B480" i="9"/>
  <c r="A482" i="9" l="1"/>
  <c r="B481" i="9"/>
  <c r="B482" i="9" l="1"/>
  <c r="A483" i="9"/>
  <c r="B483" i="9" l="1"/>
  <c r="A484" i="9"/>
  <c r="A485" i="9" l="1"/>
  <c r="B484" i="9"/>
  <c r="A486" i="9" l="1"/>
  <c r="B485" i="9"/>
  <c r="B486" i="9" l="1"/>
  <c r="A487" i="9"/>
  <c r="A488" i="9" l="1"/>
  <c r="B487" i="9"/>
  <c r="B488" i="9" l="1"/>
  <c r="A489" i="9"/>
  <c r="B489" i="9" l="1"/>
  <c r="A490" i="9"/>
  <c r="A491" i="9" l="1"/>
  <c r="B490" i="9"/>
  <c r="B491" i="9" l="1"/>
  <c r="A492" i="9"/>
  <c r="A493" i="9" l="1"/>
  <c r="B492" i="9"/>
  <c r="A494" i="9" l="1"/>
  <c r="B493" i="9"/>
  <c r="A495" i="9" l="1"/>
  <c r="B494" i="9"/>
  <c r="A496" i="9" l="1"/>
  <c r="B495" i="9"/>
  <c r="A497" i="9" l="1"/>
  <c r="B496" i="9"/>
  <c r="A498" i="9" l="1"/>
  <c r="B497" i="9"/>
  <c r="A499" i="9" l="1"/>
  <c r="B498" i="9"/>
  <c r="B499" i="9" l="1"/>
  <c r="A500" i="9"/>
  <c r="A501" i="9" l="1"/>
  <c r="B500" i="9"/>
  <c r="A502" i="9" l="1"/>
  <c r="B501" i="9"/>
  <c r="A503" i="9" l="1"/>
  <c r="B502" i="9"/>
  <c r="B503" i="9" l="1"/>
  <c r="A504" i="9"/>
  <c r="B504" i="9" l="1"/>
  <c r="A505" i="9"/>
  <c r="A506" i="9" l="1"/>
  <c r="B505" i="9"/>
  <c r="A507" i="9" l="1"/>
  <c r="B506" i="9"/>
  <c r="A508" i="9" l="1"/>
  <c r="B507" i="9"/>
  <c r="B508" i="9" l="1"/>
  <c r="A509" i="9"/>
  <c r="A510" i="9" l="1"/>
  <c r="B509" i="9"/>
  <c r="B510" i="9" l="1"/>
  <c r="A511" i="9"/>
  <c r="B511" i="9" l="1"/>
  <c r="A512" i="9"/>
  <c r="A513" i="9" l="1"/>
  <c r="B512" i="9"/>
  <c r="A514" i="9" l="1"/>
  <c r="B513" i="9"/>
  <c r="G77" i="6"/>
  <c r="A3" i="16"/>
  <c r="A3" i="20"/>
  <c r="A515" i="9" l="1"/>
  <c r="B514" i="9"/>
  <c r="A516" i="9" l="1"/>
  <c r="B515" i="9"/>
  <c r="B516" i="9" l="1"/>
  <c r="A517" i="9"/>
  <c r="A518" i="9" l="1"/>
  <c r="B517" i="9"/>
  <c r="B518" i="9" l="1"/>
  <c r="A519" i="9"/>
  <c r="A520" i="9" l="1"/>
  <c r="B519" i="9"/>
  <c r="B520" i="9" l="1"/>
  <c r="A521" i="9"/>
  <c r="A522" i="9" l="1"/>
  <c r="B521" i="9"/>
  <c r="A523" i="9" l="1"/>
  <c r="B522" i="9"/>
  <c r="B523" i="9" l="1"/>
  <c r="A524" i="9"/>
  <c r="A525" i="9" l="1"/>
  <c r="B524" i="9"/>
  <c r="A526" i="9" l="1"/>
  <c r="B525" i="9"/>
  <c r="B526" i="9" l="1"/>
  <c r="A527" i="9"/>
  <c r="A528" i="9" l="1"/>
  <c r="B527" i="9"/>
  <c r="B528" i="9" l="1"/>
  <c r="A529" i="9"/>
  <c r="A530" i="9" l="1"/>
  <c r="B529" i="9"/>
  <c r="B530" i="9" l="1"/>
  <c r="A531" i="9"/>
  <c r="B531" i="9" l="1"/>
  <c r="A532" i="9"/>
  <c r="B532" i="9" l="1"/>
  <c r="A533" i="9"/>
  <c r="A534" i="9" l="1"/>
  <c r="B533" i="9"/>
  <c r="B534" i="9" l="1"/>
  <c r="A535" i="9"/>
  <c r="B535" i="9" l="1"/>
  <c r="A536" i="9"/>
  <c r="A537" i="9" l="1"/>
  <c r="B536" i="9"/>
  <c r="A538" i="9" l="1"/>
  <c r="B537" i="9"/>
  <c r="A539" i="9" l="1"/>
  <c r="B538" i="9"/>
  <c r="B539" i="9" l="1"/>
  <c r="A540" i="9"/>
  <c r="B540" i="9" l="1"/>
  <c r="A541" i="9"/>
  <c r="A542" i="9" l="1"/>
  <c r="B541" i="9"/>
  <c r="A543" i="9" l="1"/>
  <c r="B542" i="9"/>
  <c r="A544" i="9" l="1"/>
  <c r="B543" i="9"/>
  <c r="A545" i="9" l="1"/>
  <c r="B544" i="9"/>
  <c r="A546" i="9" l="1"/>
  <c r="B545" i="9"/>
  <c r="A547" i="9" l="1"/>
  <c r="B546" i="9"/>
  <c r="A548" i="9" l="1"/>
  <c r="B547" i="9"/>
  <c r="B548" i="9" l="1"/>
  <c r="A549" i="9"/>
  <c r="A550" i="9" l="1"/>
  <c r="B549" i="9"/>
  <c r="A551" i="9" l="1"/>
  <c r="B550" i="9"/>
  <c r="A552" i="9" l="1"/>
  <c r="B551" i="9"/>
  <c r="A553" i="9" l="1"/>
  <c r="B552" i="9"/>
  <c r="A554" i="9" l="1"/>
  <c r="B553" i="9"/>
  <c r="A555" i="9" l="1"/>
  <c r="B554" i="9"/>
  <c r="A556" i="9" l="1"/>
  <c r="B555" i="9"/>
  <c r="B556" i="9" l="1"/>
  <c r="A557" i="9"/>
  <c r="B557" i="9" l="1"/>
  <c r="A558" i="9"/>
  <c r="B558" i="9" l="1"/>
  <c r="A559" i="9"/>
  <c r="B559" i="9" l="1"/>
  <c r="A560" i="9"/>
  <c r="A561" i="9" l="1"/>
  <c r="B560" i="9"/>
  <c r="A562" i="9" l="1"/>
  <c r="B561" i="9"/>
  <c r="B562" i="9" l="1"/>
  <c r="A563" i="9"/>
  <c r="A564" i="9" l="1"/>
  <c r="B563" i="9"/>
  <c r="A565" i="9" l="1"/>
  <c r="B564" i="9"/>
  <c r="A566" i="9" l="1"/>
  <c r="B565" i="9"/>
  <c r="A567" i="9" l="1"/>
  <c r="B566" i="9"/>
  <c r="B567" i="9" l="1"/>
  <c r="A568" i="9"/>
  <c r="A569" i="9" l="1"/>
  <c r="B568" i="9"/>
  <c r="B569" i="9" l="1"/>
  <c r="A570" i="9"/>
  <c r="A571" i="9" l="1"/>
  <c r="B570" i="9"/>
  <c r="B571" i="9" l="1"/>
  <c r="A572" i="9"/>
  <c r="A573" i="9" l="1"/>
  <c r="B572" i="9"/>
  <c r="A574" i="9" l="1"/>
  <c r="B573" i="9"/>
  <c r="B574" i="9" l="1"/>
  <c r="A575" i="9"/>
  <c r="B575" i="9" l="1"/>
  <c r="A576" i="9"/>
  <c r="B576" i="9" l="1"/>
  <c r="A577" i="9"/>
  <c r="B577" i="9" l="1"/>
  <c r="A578" i="9"/>
  <c r="B578" i="9" l="1"/>
  <c r="A579" i="9"/>
  <c r="B579" i="9" l="1"/>
  <c r="A580" i="9"/>
  <c r="B580" i="9" l="1"/>
  <c r="A581" i="9"/>
  <c r="B581" i="9" l="1"/>
  <c r="A582" i="9"/>
  <c r="B582" i="9" l="1"/>
  <c r="A583" i="9"/>
  <c r="A584" i="9" l="1"/>
  <c r="B583" i="9"/>
  <c r="B584" i="9" l="1"/>
  <c r="A585" i="9"/>
  <c r="B585" i="9" l="1"/>
  <c r="A586" i="9"/>
  <c r="B586" i="9" l="1"/>
  <c r="A587" i="9"/>
  <c r="B587" i="9" l="1"/>
  <c r="A588" i="9"/>
  <c r="A589" i="9" l="1"/>
  <c r="B588" i="9"/>
  <c r="B589" i="9" l="1"/>
  <c r="A590" i="9"/>
  <c r="B590" i="9" l="1"/>
  <c r="A591" i="9"/>
  <c r="A592" i="9" l="1"/>
  <c r="B591" i="9"/>
  <c r="B592" i="9" l="1"/>
  <c r="A593" i="9"/>
  <c r="B593" i="9" l="1"/>
  <c r="A594" i="9"/>
  <c r="A595" i="9" l="1"/>
  <c r="B594" i="9"/>
  <c r="B595" i="9" l="1"/>
  <c r="A596" i="9"/>
  <c r="A597" i="9" l="1"/>
  <c r="B596" i="9"/>
  <c r="B597" i="9" l="1"/>
  <c r="A598" i="9"/>
  <c r="B598" i="9" l="1"/>
  <c r="A599" i="9"/>
  <c r="A600" i="9" l="1"/>
  <c r="B599" i="9"/>
  <c r="A601" i="9" l="1"/>
  <c r="B600" i="9"/>
  <c r="B601" i="9" l="1"/>
  <c r="A602" i="9"/>
  <c r="B602" i="9" l="1"/>
  <c r="A603" i="9"/>
  <c r="A604" i="9" l="1"/>
  <c r="B603" i="9"/>
  <c r="B604" i="9" l="1"/>
  <c r="A605" i="9"/>
  <c r="A606" i="9" l="1"/>
  <c r="B605" i="9"/>
  <c r="A607" i="9" l="1"/>
  <c r="B606" i="9"/>
  <c r="A608" i="9" l="1"/>
  <c r="B607" i="9"/>
  <c r="A609" i="9" l="1"/>
  <c r="B608" i="9"/>
  <c r="A610" i="9" l="1"/>
  <c r="B609" i="9"/>
  <c r="A611" i="9" l="1"/>
  <c r="B610" i="9"/>
  <c r="A612" i="9" l="1"/>
  <c r="B611" i="9"/>
  <c r="A613" i="9" l="1"/>
  <c r="B612" i="9"/>
  <c r="A614" i="9" l="1"/>
  <c r="B613" i="9"/>
  <c r="B614" i="9" l="1"/>
  <c r="A615" i="9"/>
  <c r="A616" i="9" l="1"/>
  <c r="B615" i="9"/>
  <c r="A617" i="9" l="1"/>
  <c r="B616" i="9"/>
  <c r="A618" i="9" l="1"/>
  <c r="B617" i="9"/>
  <c r="A619" i="9" l="1"/>
  <c r="B618" i="9"/>
  <c r="A620" i="9" l="1"/>
  <c r="B619" i="9"/>
  <c r="A621" i="9" l="1"/>
  <c r="B620" i="9"/>
  <c r="B621" i="9" l="1"/>
  <c r="A622" i="9"/>
  <c r="B622" i="9" l="1"/>
  <c r="A623" i="9"/>
  <c r="A624" i="9" l="1"/>
  <c r="B623" i="9"/>
  <c r="A625" i="9" l="1"/>
  <c r="B624" i="9"/>
  <c r="B625" i="9" l="1"/>
  <c r="A626" i="9"/>
  <c r="A627" i="9" l="1"/>
  <c r="B626" i="9"/>
  <c r="B627" i="9" l="1"/>
  <c r="A628" i="9"/>
  <c r="A629" i="9" l="1"/>
  <c r="B628" i="9"/>
  <c r="A630" i="9" l="1"/>
  <c r="B629" i="9"/>
  <c r="A631" i="9" l="1"/>
  <c r="B630" i="9"/>
  <c r="B631" i="9" l="1"/>
  <c r="A632" i="9"/>
  <c r="B632" i="9" l="1"/>
  <c r="A633" i="9"/>
  <c r="B633" i="9" l="1"/>
  <c r="A634" i="9"/>
  <c r="B634" i="9" l="1"/>
  <c r="A635" i="9"/>
  <c r="A636" i="9" l="1"/>
  <c r="B635" i="9"/>
  <c r="B636" i="9" l="1"/>
  <c r="A637" i="9"/>
  <c r="A638" i="9" l="1"/>
  <c r="B637" i="9"/>
  <c r="A639" i="9" l="1"/>
  <c r="B638" i="9"/>
  <c r="A640" i="9" l="1"/>
  <c r="B639" i="9"/>
  <c r="A641" i="9" l="1"/>
  <c r="B640" i="9"/>
  <c r="B641" i="9" l="1"/>
  <c r="A642" i="9"/>
  <c r="B642" i="9" l="1"/>
  <c r="A643" i="9"/>
  <c r="B643" i="9" l="1"/>
  <c r="A644" i="9"/>
  <c r="B644" i="9" l="1"/>
  <c r="A645" i="9"/>
  <c r="A646" i="9" l="1"/>
  <c r="B645" i="9"/>
  <c r="A647" i="9" l="1"/>
  <c r="B646" i="9"/>
  <c r="A648" i="9" l="1"/>
  <c r="B647" i="9"/>
  <c r="B648" i="9" l="1"/>
  <c r="A649" i="9"/>
  <c r="B649" i="9" l="1"/>
  <c r="A650" i="9"/>
  <c r="A651" i="9" l="1"/>
  <c r="B650" i="9"/>
  <c r="A652" i="9" l="1"/>
  <c r="B651" i="9"/>
  <c r="B652" i="9" l="1"/>
  <c r="A653" i="9"/>
  <c r="A654" i="9" l="1"/>
  <c r="B653" i="9"/>
  <c r="B654" i="9" l="1"/>
  <c r="A655" i="9"/>
  <c r="B655" i="9" l="1"/>
  <c r="A656" i="9"/>
  <c r="B656" i="9" l="1"/>
  <c r="A657" i="9"/>
  <c r="B657" i="9" l="1"/>
  <c r="A658" i="9"/>
  <c r="B658" i="9" l="1"/>
  <c r="A659" i="9"/>
  <c r="B659" i="9" l="1"/>
  <c r="A660" i="9"/>
  <c r="B660" i="9" l="1"/>
  <c r="A661" i="9"/>
  <c r="B661" i="9" l="1"/>
  <c r="A662" i="9"/>
  <c r="B662" i="9" l="1"/>
  <c r="A663" i="9"/>
  <c r="A664" i="9" l="1"/>
  <c r="B663" i="9"/>
  <c r="A665" i="9" l="1"/>
  <c r="B664" i="9"/>
  <c r="B665" i="9" l="1"/>
  <c r="A666" i="9"/>
  <c r="A667" i="9" l="1"/>
  <c r="B666" i="9"/>
  <c r="A668" i="9" l="1"/>
  <c r="B667" i="9"/>
  <c r="B668" i="9" l="1"/>
  <c r="A669" i="9"/>
  <c r="A670" i="9" l="1"/>
  <c r="B669" i="9"/>
  <c r="B670" i="9" l="1"/>
  <c r="A671" i="9"/>
  <c r="A672" i="9" l="1"/>
  <c r="B671" i="9"/>
  <c r="A673" i="9" l="1"/>
  <c r="B672" i="9"/>
  <c r="B673" i="9" l="1"/>
  <c r="A674" i="9"/>
  <c r="A675" i="9" l="1"/>
  <c r="B674" i="9"/>
  <c r="A676" i="9" l="1"/>
  <c r="B675" i="9"/>
  <c r="A677" i="9" l="1"/>
  <c r="B676" i="9"/>
  <c r="B677" i="9" l="1"/>
  <c r="A678" i="9"/>
  <c r="B678" i="9" l="1"/>
  <c r="A679" i="9"/>
  <c r="A680" i="9" l="1"/>
  <c r="B679" i="9"/>
  <c r="B680" i="9" l="1"/>
  <c r="A681" i="9"/>
  <c r="A682" i="9" l="1"/>
  <c r="B681" i="9"/>
  <c r="A683" i="9" l="1"/>
  <c r="B682" i="9"/>
  <c r="A684" i="9" l="1"/>
  <c r="B683" i="9"/>
  <c r="A685" i="9" l="1"/>
  <c r="B684" i="9"/>
  <c r="A686" i="9" l="1"/>
  <c r="B685" i="9"/>
  <c r="A687" i="9" l="1"/>
  <c r="B686" i="9"/>
  <c r="A688" i="9" l="1"/>
  <c r="B687" i="9"/>
  <c r="A689" i="9" l="1"/>
  <c r="B688" i="9"/>
  <c r="A690" i="9" l="1"/>
  <c r="B689" i="9"/>
  <c r="A691" i="9" l="1"/>
  <c r="B690" i="9"/>
  <c r="A692" i="9" l="1"/>
  <c r="B691" i="9"/>
  <c r="A693" i="9" l="1"/>
  <c r="B692" i="9"/>
  <c r="A694" i="9" l="1"/>
  <c r="B693" i="9"/>
  <c r="A695" i="9" l="1"/>
  <c r="B694" i="9"/>
  <c r="B695" i="9" l="1"/>
  <c r="A696" i="9"/>
  <c r="A697" i="9" l="1"/>
  <c r="B696" i="9"/>
  <c r="A698" i="9" l="1"/>
  <c r="B697" i="9"/>
  <c r="A699" i="9" l="1"/>
  <c r="B698" i="9"/>
  <c r="A700" i="9" l="1"/>
  <c r="B699" i="9"/>
  <c r="A701" i="9" l="1"/>
  <c r="B700" i="9"/>
  <c r="B701" i="9" l="1"/>
  <c r="A702" i="9"/>
  <c r="A703" i="9" l="1"/>
  <c r="B702" i="9"/>
  <c r="B703" i="9" l="1"/>
  <c r="A704" i="9"/>
  <c r="A705" i="9" l="1"/>
  <c r="B704" i="9"/>
  <c r="B705" i="9" l="1"/>
  <c r="A706" i="9"/>
  <c r="A707" i="9" l="1"/>
  <c r="B706" i="9"/>
  <c r="A708" i="9" l="1"/>
  <c r="B707" i="9"/>
  <c r="A709" i="9" l="1"/>
  <c r="B708" i="9"/>
  <c r="B709" i="9" l="1"/>
  <c r="A710" i="9"/>
  <c r="B710" i="9" l="1"/>
  <c r="A711" i="9"/>
  <c r="A712" i="9" l="1"/>
  <c r="B711" i="9"/>
  <c r="A713" i="9" l="1"/>
  <c r="B712" i="9"/>
  <c r="B713" i="9" l="1"/>
  <c r="A714" i="9"/>
  <c r="A715" i="9" l="1"/>
  <c r="B714" i="9"/>
  <c r="A716" i="9" l="1"/>
  <c r="B715" i="9"/>
  <c r="B716" i="9" l="1"/>
  <c r="A717" i="9"/>
  <c r="B717" i="9" l="1"/>
  <c r="A718" i="9"/>
  <c r="A719" i="9" l="1"/>
  <c r="B718" i="9"/>
  <c r="A720" i="9" l="1"/>
  <c r="B719" i="9"/>
  <c r="A721" i="9" l="1"/>
  <c r="B720" i="9"/>
  <c r="A722" i="9" l="1"/>
  <c r="B721" i="9"/>
  <c r="A723" i="9" l="1"/>
  <c r="B722" i="9"/>
  <c r="A724" i="9" l="1"/>
  <c r="B723" i="9"/>
  <c r="B724" i="9" l="1"/>
  <c r="A725" i="9"/>
  <c r="A726" i="9" l="1"/>
  <c r="B725" i="9"/>
  <c r="A727" i="9" l="1"/>
  <c r="B726" i="9"/>
  <c r="A728" i="9" l="1"/>
  <c r="B727" i="9"/>
  <c r="B728" i="9" l="1"/>
  <c r="A729" i="9"/>
  <c r="A730" i="9" l="1"/>
  <c r="B729" i="9"/>
  <c r="A731" i="9" l="1"/>
  <c r="B730" i="9"/>
  <c r="B731" i="9" l="1"/>
  <c r="A732" i="9"/>
  <c r="B732" i="9" l="1"/>
  <c r="A733" i="9"/>
  <c r="A734" i="9" l="1"/>
  <c r="B733" i="9"/>
  <c r="A735" i="9" l="1"/>
  <c r="B734" i="9"/>
  <c r="A736" i="9" l="1"/>
  <c r="B735" i="9"/>
  <c r="A737" i="9" l="1"/>
  <c r="B736" i="9"/>
  <c r="A738" i="9" l="1"/>
  <c r="B737" i="9"/>
  <c r="A739" i="9" l="1"/>
  <c r="B738" i="9"/>
  <c r="A740" i="9" l="1"/>
  <c r="B739" i="9"/>
  <c r="A741" i="9" l="1"/>
  <c r="B740" i="9"/>
  <c r="A742" i="9" l="1"/>
  <c r="B741" i="9"/>
  <c r="A743" i="9" l="1"/>
  <c r="B742" i="9"/>
  <c r="A744" i="9" l="1"/>
  <c r="B743" i="9"/>
  <c r="A745" i="9" l="1"/>
  <c r="B744" i="9"/>
  <c r="A746" i="9" l="1"/>
  <c r="B745" i="9"/>
  <c r="A747" i="9" l="1"/>
  <c r="B746" i="9"/>
  <c r="B747" i="9" l="1"/>
  <c r="A748" i="9"/>
  <c r="A749" i="9" l="1"/>
  <c r="B748" i="9"/>
  <c r="A750" i="9" l="1"/>
  <c r="B749" i="9"/>
  <c r="A751" i="9" l="1"/>
  <c r="B750" i="9"/>
  <c r="A752" i="9" l="1"/>
  <c r="B751" i="9"/>
  <c r="A753" i="9" l="1"/>
  <c r="B752" i="9"/>
  <c r="B753" i="9" l="1"/>
  <c r="A754" i="9"/>
  <c r="B754" i="9" l="1"/>
  <c r="A755" i="9"/>
  <c r="A756" i="9" l="1"/>
  <c r="B755" i="9"/>
  <c r="B756" i="9" l="1"/>
  <c r="A757" i="9"/>
  <c r="A758" i="9" l="1"/>
  <c r="B757" i="9"/>
  <c r="B758" i="9" l="1"/>
  <c r="A759" i="9"/>
  <c r="A760" i="9" l="1"/>
  <c r="B759" i="9"/>
  <c r="A761" i="9" l="1"/>
  <c r="B760" i="9"/>
  <c r="A762" i="9" l="1"/>
  <c r="B761" i="9"/>
  <c r="A763" i="9" l="1"/>
  <c r="B762" i="9"/>
  <c r="A764" i="9" l="1"/>
  <c r="B763" i="9"/>
  <c r="A765" i="9" l="1"/>
  <c r="B764" i="9"/>
  <c r="A766" i="9" l="1"/>
  <c r="B765" i="9"/>
  <c r="A767" i="9" l="1"/>
  <c r="B766" i="9"/>
  <c r="A768" i="9" l="1"/>
  <c r="B767" i="9"/>
  <c r="A769" i="9" l="1"/>
  <c r="B768" i="9"/>
  <c r="B769" i="9" l="1"/>
  <c r="A770" i="9"/>
  <c r="A771" i="9" l="1"/>
  <c r="B770" i="9"/>
  <c r="B771" i="9" l="1"/>
  <c r="A772" i="9"/>
  <c r="A773" i="9" l="1"/>
  <c r="B772" i="9"/>
  <c r="A774" i="9" l="1"/>
  <c r="B773" i="9"/>
  <c r="A775" i="9" l="1"/>
  <c r="B774" i="9"/>
  <c r="A776" i="9" l="1"/>
  <c r="B775" i="9"/>
  <c r="A777" i="9" l="1"/>
  <c r="B776" i="9"/>
  <c r="A778" i="9" l="1"/>
  <c r="B777" i="9"/>
  <c r="A779" i="9" l="1"/>
  <c r="B778" i="9"/>
  <c r="A780" i="9" l="1"/>
  <c r="B779" i="9"/>
  <c r="A781" i="9" l="1"/>
  <c r="B780" i="9"/>
  <c r="A782" i="9" l="1"/>
  <c r="B781" i="9"/>
  <c r="A783" i="9" l="1"/>
  <c r="B782" i="9"/>
  <c r="A784" i="9" l="1"/>
  <c r="B783" i="9"/>
  <c r="A785" i="9" l="1"/>
  <c r="B784" i="9"/>
  <c r="A786" i="9" l="1"/>
  <c r="B785" i="9"/>
  <c r="A787" i="9" l="1"/>
  <c r="B786" i="9"/>
  <c r="A788" i="9" l="1"/>
  <c r="B787" i="9"/>
  <c r="B788" i="9" l="1"/>
  <c r="A789" i="9"/>
  <c r="A790" i="9" l="1"/>
  <c r="B789" i="9"/>
  <c r="B790" i="9" l="1"/>
  <c r="A791" i="9"/>
  <c r="A792" i="9" l="1"/>
  <c r="B791" i="9"/>
  <c r="B792" i="9" l="1"/>
  <c r="A793" i="9"/>
  <c r="A794" i="9" l="1"/>
  <c r="B793" i="9"/>
  <c r="A795" i="9" l="1"/>
  <c r="B794" i="9"/>
  <c r="B795" i="9" l="1"/>
  <c r="A796" i="9"/>
  <c r="B796" i="9" l="1"/>
  <c r="A797" i="9"/>
  <c r="B797" i="9" l="1"/>
  <c r="A798" i="9"/>
  <c r="B798" i="9" l="1"/>
  <c r="A799" i="9"/>
  <c r="A800" i="9" l="1"/>
  <c r="B799" i="9"/>
  <c r="A801" i="9" l="1"/>
  <c r="B800" i="9"/>
  <c r="B801" i="9" l="1"/>
  <c r="A802" i="9"/>
  <c r="A803" i="9" l="1"/>
  <c r="B802" i="9"/>
  <c r="B803" i="9" l="1"/>
  <c r="A804" i="9"/>
  <c r="A805" i="9" l="1"/>
  <c r="B804" i="9"/>
  <c r="N79" i="13"/>
  <c r="N79" i="4"/>
  <c r="N79" i="5"/>
  <c r="N79" i="14"/>
  <c r="K80" i="14" l="1"/>
  <c r="K80" i="13"/>
  <c r="K80" i="5"/>
  <c r="K80" i="4"/>
  <c r="E93" i="16"/>
  <c r="A86" i="18" s="1"/>
  <c r="K91" i="20"/>
  <c r="D93" i="16"/>
  <c r="A85" i="18" s="1"/>
  <c r="H91" i="20"/>
  <c r="N80" i="14"/>
  <c r="O91" i="20"/>
  <c r="O101" i="20" s="1"/>
  <c r="F93" i="16"/>
  <c r="A87" i="18" s="1"/>
  <c r="N91" i="20"/>
  <c r="L91" i="20"/>
  <c r="L101" i="20" s="1"/>
  <c r="N80" i="13"/>
  <c r="N87" i="13" s="1"/>
  <c r="L102" i="20" s="1"/>
  <c r="E91" i="20"/>
  <c r="C93" i="16"/>
  <c r="A84" i="18" s="1"/>
  <c r="N80" i="4"/>
  <c r="F91" i="20"/>
  <c r="F101" i="20" s="1"/>
  <c r="I91" i="20"/>
  <c r="I101" i="20" s="1"/>
  <c r="N80" i="5"/>
  <c r="B805" i="9"/>
  <c r="K92" i="20" l="1"/>
  <c r="E94" i="16"/>
  <c r="N92" i="20"/>
  <c r="F94" i="16"/>
  <c r="E92" i="20"/>
  <c r="C94" i="16"/>
  <c r="D94" i="16"/>
  <c r="H92" i="20"/>
  <c r="N87" i="14"/>
  <c r="O102" i="20" s="1"/>
  <c r="N90" i="14"/>
  <c r="O92" i="20"/>
  <c r="N87" i="5"/>
  <c r="I102" i="20" s="1"/>
  <c r="N90" i="5"/>
  <c r="I92" i="20"/>
  <c r="N87" i="4"/>
  <c r="F102" i="20" s="1"/>
  <c r="N90" i="4"/>
  <c r="F92" i="20"/>
  <c r="N90" i="13"/>
  <c r="L92" i="20"/>
  <c r="I105" i="20" l="1"/>
  <c r="L105" i="20"/>
  <c r="F105" i="20"/>
  <c r="O105" i="20"/>
  <c r="T15" i="2" l="1"/>
  <c r="P15" i="6" s="1"/>
  <c r="P30" i="6" s="1"/>
  <c r="Q15" i="2"/>
  <c r="K15" i="2" l="1"/>
  <c r="N15" i="2"/>
  <c r="O15" i="2" s="1"/>
  <c r="O15" i="6" s="1"/>
  <c r="J29" i="8" l="1"/>
  <c r="B8" i="20"/>
  <c r="Q8" i="20" s="1"/>
  <c r="K15" i="6"/>
  <c r="L15" i="2"/>
  <c r="L15" i="6" s="1"/>
  <c r="B7" i="16"/>
  <c r="G7" i="16" s="1"/>
  <c r="C8" i="20"/>
  <c r="R8" i="20" s="1"/>
  <c r="N15" i="6"/>
  <c r="C9" i="20"/>
  <c r="R9" i="20" s="1"/>
  <c r="K16" i="2"/>
  <c r="L16" i="2" s="1"/>
  <c r="L16" i="6" s="1"/>
  <c r="Q16" i="2"/>
  <c r="N16" i="2"/>
  <c r="B8" i="16" l="1"/>
  <c r="G8" i="16" s="1"/>
  <c r="B9" i="20"/>
  <c r="Q9" i="20" s="1"/>
  <c r="B10" i="16"/>
  <c r="G10" i="16" s="1"/>
  <c r="B9" i="16"/>
  <c r="G9" i="16" s="1"/>
  <c r="B10" i="20"/>
  <c r="Q10" i="20" s="1"/>
  <c r="K16" i="6"/>
  <c r="B11" i="20"/>
  <c r="Q11" i="20" s="1"/>
  <c r="C10" i="20"/>
  <c r="R10" i="20" s="1"/>
  <c r="O16" i="2"/>
  <c r="N16" i="6"/>
  <c r="O16" i="6" l="1"/>
  <c r="C11" i="20"/>
  <c r="R11" i="20" s="1"/>
  <c r="K17" i="2"/>
  <c r="B12" i="20" s="1"/>
  <c r="Q12" i="20" s="1"/>
  <c r="L17" i="2" l="1"/>
  <c r="L17" i="6" s="1"/>
  <c r="B11" i="16"/>
  <c r="G11" i="16" s="1"/>
  <c r="K17" i="6"/>
  <c r="Q17" i="2"/>
  <c r="N17" i="2"/>
  <c r="B12" i="16" l="1"/>
  <c r="G12" i="16" s="1"/>
  <c r="B13" i="20"/>
  <c r="Q13" i="20" s="1"/>
  <c r="N17" i="6"/>
  <c r="O17" i="2"/>
  <c r="C12" i="20"/>
  <c r="R12" i="20" s="1"/>
  <c r="O17" i="6" l="1"/>
  <c r="C13" i="20"/>
  <c r="R13" i="20" s="1"/>
  <c r="N18" i="2"/>
  <c r="O18" i="2" s="1"/>
  <c r="Q18" i="2"/>
  <c r="K18" i="2"/>
  <c r="L18" i="2" s="1"/>
  <c r="B15" i="20" l="1"/>
  <c r="Q15" i="20" s="1"/>
  <c r="L18" i="6"/>
  <c r="B14" i="16"/>
  <c r="G14" i="16" s="1"/>
  <c r="N18" i="6"/>
  <c r="C14" i="20"/>
  <c r="R14" i="20" s="1"/>
  <c r="B14" i="20"/>
  <c r="Q14" i="20" s="1"/>
  <c r="B13" i="16"/>
  <c r="G13" i="16" s="1"/>
  <c r="K18" i="6"/>
  <c r="C15" i="20"/>
  <c r="R15" i="20" s="1"/>
  <c r="O18" i="6"/>
  <c r="N19" i="2"/>
  <c r="Q19" i="2"/>
  <c r="K19" i="2"/>
  <c r="K19" i="6" s="1"/>
  <c r="N19" i="6" l="1"/>
  <c r="C16" i="20"/>
  <c r="R16" i="20" s="1"/>
  <c r="O19" i="2"/>
  <c r="B16" i="20"/>
  <c r="Q16" i="20" s="1"/>
  <c r="B15" i="16"/>
  <c r="G15" i="16" s="1"/>
  <c r="L19" i="2"/>
  <c r="C17" i="20" l="1"/>
  <c r="R17" i="20" s="1"/>
  <c r="O19" i="6"/>
  <c r="B17" i="20"/>
  <c r="Q17" i="20" s="1"/>
  <c r="L19" i="6"/>
  <c r="B16" i="16"/>
  <c r="G16" i="16" s="1"/>
  <c r="K20" i="2"/>
  <c r="Q20" i="2"/>
  <c r="N20" i="2"/>
  <c r="C18" i="20" s="1"/>
  <c r="R18" i="20" s="1"/>
  <c r="B18" i="20" l="1"/>
  <c r="Q18" i="20" s="1"/>
  <c r="K20" i="6"/>
  <c r="B17" i="16"/>
  <c r="G17" i="16" s="1"/>
  <c r="O20" i="2"/>
  <c r="L20" i="2"/>
  <c r="N20" i="6"/>
  <c r="B18" i="16" l="1"/>
  <c r="G18" i="16" s="1"/>
  <c r="B19" i="20"/>
  <c r="Q19" i="20" s="1"/>
  <c r="L20" i="6"/>
  <c r="C19" i="20"/>
  <c r="R19" i="20" s="1"/>
  <c r="O20" i="6"/>
  <c r="N21" i="2"/>
  <c r="Q21" i="2"/>
  <c r="K21" i="2"/>
  <c r="L21" i="2" s="1"/>
  <c r="B20" i="16" s="1"/>
  <c r="G20" i="16" s="1"/>
  <c r="B20" i="20" l="1"/>
  <c r="Q20" i="20" s="1"/>
  <c r="B19" i="16"/>
  <c r="G19" i="16" s="1"/>
  <c r="K21" i="6"/>
  <c r="B21" i="20"/>
  <c r="Q21" i="20" s="1"/>
  <c r="L21" i="6"/>
  <c r="N21" i="6"/>
  <c r="C20" i="20"/>
  <c r="R20" i="20" s="1"/>
  <c r="O21" i="2"/>
  <c r="C21" i="20" l="1"/>
  <c r="R21" i="20" s="1"/>
  <c r="O21" i="6"/>
  <c r="K22" i="2"/>
  <c r="L22" i="2" s="1"/>
  <c r="Q22" i="2"/>
  <c r="N22" i="2"/>
  <c r="N22" i="6" s="1"/>
  <c r="B23" i="20" l="1"/>
  <c r="Q23" i="20" s="1"/>
  <c r="B22" i="16"/>
  <c r="G22" i="16" s="1"/>
  <c r="L22" i="6"/>
  <c r="B21" i="16"/>
  <c r="G21" i="16" s="1"/>
  <c r="B22" i="20"/>
  <c r="Q22" i="20" s="1"/>
  <c r="K22" i="6"/>
  <c r="O22" i="2"/>
  <c r="C22" i="20"/>
  <c r="R22" i="20" s="1"/>
  <c r="O22" i="6" l="1"/>
  <c r="C23" i="20"/>
  <c r="R23" i="20" s="1"/>
  <c r="N23" i="2"/>
  <c r="Q23" i="2"/>
  <c r="K23" i="2"/>
  <c r="N23" i="6" l="1"/>
  <c r="C24" i="20"/>
  <c r="R24" i="20" s="1"/>
  <c r="B24" i="20"/>
  <c r="Q24" i="20" s="1"/>
  <c r="B23" i="16"/>
  <c r="G23" i="16" s="1"/>
  <c r="L23" i="2"/>
  <c r="K23" i="6"/>
  <c r="O23" i="2"/>
  <c r="O23" i="6" l="1"/>
  <c r="C25" i="20"/>
  <c r="R25" i="20" s="1"/>
  <c r="L23" i="6"/>
  <c r="B24" i="16"/>
  <c r="G24" i="16" s="1"/>
  <c r="B25" i="20"/>
  <c r="Q25" i="20" s="1"/>
  <c r="N24" i="2"/>
  <c r="N24" i="6" s="1"/>
  <c r="Q24" i="2"/>
  <c r="K24" i="2"/>
  <c r="B26" i="20" s="1"/>
  <c r="Q26" i="20" s="1"/>
  <c r="L24" i="2" l="1"/>
  <c r="B27" i="20" s="1"/>
  <c r="Q27" i="20" s="1"/>
  <c r="B25" i="16"/>
  <c r="G25" i="16" s="1"/>
  <c r="C26" i="20"/>
  <c r="R26" i="20" s="1"/>
  <c r="O24" i="2"/>
  <c r="K24" i="6"/>
  <c r="L24" i="6" l="1"/>
  <c r="B26" i="16"/>
  <c r="G26" i="16" s="1"/>
  <c r="C27" i="20"/>
  <c r="R27" i="20" s="1"/>
  <c r="O24" i="6"/>
  <c r="K25" i="2"/>
  <c r="Q25" i="2"/>
  <c r="N25" i="2"/>
  <c r="L25" i="2" l="1"/>
  <c r="N25" i="6"/>
  <c r="C28" i="20"/>
  <c r="R28" i="20" s="1"/>
  <c r="O25" i="2"/>
  <c r="B27" i="16"/>
  <c r="G27" i="16" s="1"/>
  <c r="B28" i="20"/>
  <c r="Q28" i="20" s="1"/>
  <c r="K25" i="6"/>
  <c r="C29" i="20" l="1"/>
  <c r="R29" i="20" s="1"/>
  <c r="O25" i="6"/>
  <c r="L25" i="6"/>
  <c r="B29" i="20"/>
  <c r="Q29" i="20" s="1"/>
  <c r="B28" i="16"/>
  <c r="G28" i="16" s="1"/>
  <c r="K26" i="2"/>
  <c r="L26" i="2" s="1"/>
  <c r="Q26" i="2"/>
  <c r="N26" i="2"/>
  <c r="N26" i="6" s="1"/>
  <c r="B30" i="16" l="1"/>
  <c r="G30" i="16" s="1"/>
  <c r="B31" i="20"/>
  <c r="Q31" i="20" s="1"/>
  <c r="L26" i="6"/>
  <c r="C30" i="20"/>
  <c r="R30" i="20" s="1"/>
  <c r="O26" i="2"/>
  <c r="B29" i="16"/>
  <c r="G29" i="16" s="1"/>
  <c r="B30" i="20"/>
  <c r="Q30" i="20" s="1"/>
  <c r="K26" i="6"/>
  <c r="C31" i="20" l="1"/>
  <c r="R31" i="20" s="1"/>
  <c r="O26" i="6"/>
  <c r="N27" i="2"/>
  <c r="Q27" i="2"/>
  <c r="K27" i="2"/>
  <c r="B32" i="20" l="1"/>
  <c r="Q32" i="20" s="1"/>
  <c r="B31" i="16"/>
  <c r="G31" i="16" s="1"/>
  <c r="L27" i="2"/>
  <c r="K27" i="6"/>
  <c r="N27" i="6"/>
  <c r="O27" i="2"/>
  <c r="C32" i="20"/>
  <c r="R32" i="20" s="1"/>
  <c r="C33" i="20" l="1"/>
  <c r="R33" i="20" s="1"/>
  <c r="O27" i="6"/>
  <c r="L27" i="6"/>
  <c r="B32" i="16"/>
  <c r="G32" i="16" s="1"/>
  <c r="B33" i="20"/>
  <c r="Q33" i="20" s="1"/>
  <c r="K28" i="2"/>
  <c r="Q28" i="2"/>
  <c r="N28" i="2"/>
  <c r="O28" i="2" s="1"/>
  <c r="N28" i="6" l="1"/>
  <c r="C35" i="20"/>
  <c r="R35" i="20" s="1"/>
  <c r="O28" i="6"/>
  <c r="L28" i="2"/>
  <c r="C34" i="20"/>
  <c r="R34" i="20" s="1"/>
  <c r="B34" i="20"/>
  <c r="Q34" i="20" s="1"/>
  <c r="B33" i="16"/>
  <c r="G33" i="16" s="1"/>
  <c r="K28" i="6"/>
  <c r="B35" i="20" l="1"/>
  <c r="Q35" i="20" s="1"/>
  <c r="B34" i="16"/>
  <c r="G34" i="16" s="1"/>
  <c r="L28" i="6"/>
  <c r="K29" i="2"/>
  <c r="L29" i="2" l="1"/>
  <c r="K29" i="6"/>
  <c r="B36" i="20"/>
  <c r="Q36" i="20" s="1"/>
  <c r="B35" i="16"/>
  <c r="G35" i="16" s="1"/>
  <c r="K30" i="2"/>
  <c r="Q29" i="2"/>
  <c r="N29" i="2"/>
  <c r="C36" i="20" l="1"/>
  <c r="R36" i="20" s="1"/>
  <c r="N29" i="6"/>
  <c r="N30" i="6" s="1"/>
  <c r="N41" i="6" s="1"/>
  <c r="O29" i="2"/>
  <c r="B38" i="20"/>
  <c r="Q38" i="20" s="1"/>
  <c r="B37" i="16"/>
  <c r="G37" i="16" s="1"/>
  <c r="K41" i="2"/>
  <c r="K30" i="6"/>
  <c r="N30" i="2"/>
  <c r="L30" i="2"/>
  <c r="B36" i="16"/>
  <c r="G36" i="16" s="1"/>
  <c r="B37" i="20"/>
  <c r="Q37" i="20" s="1"/>
  <c r="L29" i="6"/>
  <c r="L30" i="6" s="1"/>
  <c r="K42" i="6" s="1"/>
  <c r="A6" i="18" l="1"/>
  <c r="U6" i="18" s="1"/>
  <c r="K41" i="6"/>
  <c r="K43" i="6" s="1"/>
  <c r="A22" i="18"/>
  <c r="B58" i="16"/>
  <c r="G58" i="16" s="1"/>
  <c r="B59" i="20"/>
  <c r="Q59" i="20" s="1"/>
  <c r="O29" i="6"/>
  <c r="O30" i="6" s="1"/>
  <c r="N42" i="6" s="1"/>
  <c r="A48" i="18" s="1"/>
  <c r="O30" i="2"/>
  <c r="C37" i="20"/>
  <c r="R37" i="20" s="1"/>
  <c r="B39" i="20"/>
  <c r="Q39" i="20" s="1"/>
  <c r="B38" i="16"/>
  <c r="G38" i="16" s="1"/>
  <c r="K42" i="2"/>
  <c r="K43" i="2" s="1"/>
  <c r="K76" i="2" s="1"/>
  <c r="C38" i="20"/>
  <c r="N41" i="2"/>
  <c r="A41" i="18" l="1"/>
  <c r="A36" i="18"/>
  <c r="U23" i="18"/>
  <c r="D48" i="18"/>
  <c r="C48" i="18"/>
  <c r="C37" i="18"/>
  <c r="U37" i="18" s="1"/>
  <c r="B89" i="20"/>
  <c r="Q89" i="20" s="1"/>
  <c r="B91" i="16"/>
  <c r="G91" i="16" s="1"/>
  <c r="K75" i="6"/>
  <c r="K76" i="6"/>
  <c r="A38" i="18"/>
  <c r="A46" i="18"/>
  <c r="C41" i="18"/>
  <c r="A47" i="18"/>
  <c r="A42" i="18"/>
  <c r="A44" i="18"/>
  <c r="A35" i="18"/>
  <c r="U48" i="18" s="1"/>
  <c r="A40" i="18"/>
  <c r="C40" i="18"/>
  <c r="C39" i="18"/>
  <c r="C38" i="18"/>
  <c r="C47" i="18"/>
  <c r="C46" i="18"/>
  <c r="C43" i="18"/>
  <c r="A45" i="18"/>
  <c r="C44" i="18"/>
  <c r="C42" i="18"/>
  <c r="B61" i="20"/>
  <c r="Q61" i="20" s="1"/>
  <c r="B60" i="16"/>
  <c r="G60" i="16" s="1"/>
  <c r="K75" i="2"/>
  <c r="G78" i="2" s="1"/>
  <c r="C39" i="20"/>
  <c r="R39" i="20" s="1"/>
  <c r="N42" i="2"/>
  <c r="C60" i="20" s="1"/>
  <c r="R60" i="20" s="1"/>
  <c r="A39" i="18"/>
  <c r="A43" i="18"/>
  <c r="N43" i="6"/>
  <c r="B60" i="20"/>
  <c r="Q60" i="20" s="1"/>
  <c r="B59" i="16"/>
  <c r="G59" i="16" s="1"/>
  <c r="C45" i="18"/>
  <c r="R38" i="20"/>
  <c r="C59" i="20"/>
  <c r="R59" i="20" s="1"/>
  <c r="U47" i="18" l="1"/>
  <c r="N75" i="6"/>
  <c r="U40" i="18"/>
  <c r="N43" i="2"/>
  <c r="U46" i="18"/>
  <c r="U44" i="18"/>
  <c r="U43" i="18"/>
  <c r="C94" i="20"/>
  <c r="U35" i="18"/>
  <c r="U41" i="18"/>
  <c r="U42" i="18"/>
  <c r="U39" i="18"/>
  <c r="U49" i="18"/>
  <c r="U45" i="18"/>
  <c r="U38" i="18"/>
  <c r="U36" i="18"/>
  <c r="R94" i="20"/>
  <c r="K82" i="14"/>
  <c r="B88" i="20"/>
  <c r="Q88" i="20" s="1"/>
  <c r="K83" i="13"/>
  <c r="K82" i="4"/>
  <c r="B90" i="16"/>
  <c r="G90" i="16" s="1"/>
  <c r="K82" i="2"/>
  <c r="K82" i="5"/>
  <c r="K82" i="13"/>
  <c r="K83" i="4"/>
  <c r="K83" i="2"/>
  <c r="K83" i="5"/>
  <c r="K83" i="14"/>
  <c r="K79" i="2"/>
  <c r="N75" i="2" l="1"/>
  <c r="C61" i="20"/>
  <c r="R61" i="20" s="1"/>
  <c r="I78" i="2"/>
  <c r="K80" i="2"/>
  <c r="K79" i="6"/>
  <c r="B93" i="16"/>
  <c r="B91" i="20"/>
  <c r="Q91" i="20" s="1"/>
  <c r="B90" i="20"/>
  <c r="Q90" i="20" s="1"/>
  <c r="G78" i="6"/>
  <c r="B92" i="16"/>
  <c r="G92" i="16" s="1"/>
  <c r="G79" i="2" l="1"/>
  <c r="N82" i="4"/>
  <c r="N82" i="5"/>
  <c r="N82" i="14"/>
  <c r="C88" i="20"/>
  <c r="R88" i="20" s="1"/>
  <c r="N82" i="13"/>
  <c r="N82" i="2"/>
  <c r="G93" i="16"/>
  <c r="A82" i="18" s="1"/>
  <c r="U82" i="18" s="1"/>
  <c r="A83" i="18"/>
  <c r="K84" i="4"/>
  <c r="K84" i="2"/>
  <c r="K84" i="5"/>
  <c r="K84" i="14"/>
  <c r="B94" i="16"/>
  <c r="G94" i="16" s="1"/>
  <c r="K84" i="13"/>
  <c r="B92" i="20"/>
  <c r="Q92" i="20" s="1"/>
  <c r="K80" i="6"/>
  <c r="A79" i="2" l="1"/>
  <c r="G79" i="6"/>
  <c r="A79" i="6" s="1"/>
  <c r="C90" i="20"/>
  <c r="R90" i="20" s="1"/>
  <c r="N79" i="2"/>
  <c r="N79" i="6" l="1"/>
  <c r="C91" i="20"/>
  <c r="N80" i="2"/>
  <c r="N93" i="2" s="1"/>
  <c r="A72" i="18" l="1"/>
  <c r="U72" i="18" s="1"/>
  <c r="N80" i="6"/>
  <c r="C101" i="20"/>
  <c r="R91" i="20"/>
  <c r="R101" i="20" s="1"/>
  <c r="N92" i="14"/>
  <c r="O107" i="20" s="1"/>
  <c r="N91" i="5"/>
  <c r="F95" i="13"/>
  <c r="L92" i="2"/>
  <c r="F92" i="14"/>
  <c r="G87" i="13"/>
  <c r="F95" i="5"/>
  <c r="G88" i="2"/>
  <c r="G90" i="2"/>
  <c r="L87" i="2"/>
  <c r="G89" i="2"/>
  <c r="G88" i="5"/>
  <c r="N91" i="14"/>
  <c r="G89" i="14"/>
  <c r="F92" i="5"/>
  <c r="N84" i="5"/>
  <c r="L92" i="4"/>
  <c r="G87" i="14"/>
  <c r="F91" i="13"/>
  <c r="N84" i="4"/>
  <c r="G89" i="13"/>
  <c r="F95" i="14"/>
  <c r="G90" i="13"/>
  <c r="G93" i="5"/>
  <c r="N92" i="2"/>
  <c r="F95" i="4"/>
  <c r="G94" i="5"/>
  <c r="G94" i="13"/>
  <c r="G87" i="2"/>
  <c r="G93" i="14"/>
  <c r="N84" i="13"/>
  <c r="F91" i="14"/>
  <c r="G87" i="4"/>
  <c r="G89" i="4"/>
  <c r="G90" i="14"/>
  <c r="F91" i="5"/>
  <c r="F91" i="4"/>
  <c r="G94" i="2"/>
  <c r="G90" i="5"/>
  <c r="N84" i="14"/>
  <c r="G93" i="2"/>
  <c r="G88" i="13"/>
  <c r="G93" i="13"/>
  <c r="G94" i="14"/>
  <c r="G89" i="5"/>
  <c r="F91" i="2"/>
  <c r="G90" i="4"/>
  <c r="N90" i="2"/>
  <c r="N92" i="5"/>
  <c r="I107" i="20" s="1"/>
  <c r="N91" i="13"/>
  <c r="N92" i="4"/>
  <c r="F107" i="20" s="1"/>
  <c r="F92" i="13"/>
  <c r="F95" i="2"/>
  <c r="G94" i="4"/>
  <c r="G87" i="5"/>
  <c r="G88" i="14"/>
  <c r="G93" i="4"/>
  <c r="G88" i="4"/>
  <c r="N93" i="5"/>
  <c r="N92" i="13"/>
  <c r="L107" i="20" s="1"/>
  <c r="N84" i="2"/>
  <c r="N91" i="2"/>
  <c r="N93" i="4"/>
  <c r="N87" i="2"/>
  <c r="N91" i="4"/>
  <c r="C92" i="20"/>
  <c r="R92" i="20" s="1"/>
  <c r="C108" i="20"/>
  <c r="F87" i="6" l="1"/>
  <c r="F90" i="6"/>
  <c r="F89" i="6"/>
  <c r="F86" i="6"/>
  <c r="F84" i="6"/>
  <c r="F88" i="6"/>
  <c r="F85" i="6"/>
  <c r="I106" i="20"/>
  <c r="I109" i="20" s="1"/>
  <c r="N94" i="5"/>
  <c r="N94" i="14"/>
  <c r="O106" i="20"/>
  <c r="O109" i="20" s="1"/>
  <c r="N93" i="14"/>
  <c r="P92" i="4"/>
  <c r="P92" i="13"/>
  <c r="C107" i="20"/>
  <c r="P92" i="14"/>
  <c r="P92" i="5"/>
  <c r="P92" i="2"/>
  <c r="R107" i="20" s="1"/>
  <c r="P90" i="13"/>
  <c r="P90" i="14"/>
  <c r="P90" i="2"/>
  <c r="C105" i="20"/>
  <c r="P90" i="4"/>
  <c r="N94" i="2"/>
  <c r="P90" i="5"/>
  <c r="N86" i="6"/>
  <c r="N95" i="2"/>
  <c r="N94" i="13"/>
  <c r="L106" i="20"/>
  <c r="L109" i="20" s="1"/>
  <c r="N93" i="13"/>
  <c r="N95" i="5"/>
  <c r="I108" i="20"/>
  <c r="I110" i="20" s="1"/>
  <c r="A4" i="20"/>
  <c r="A4" i="16"/>
  <c r="P91" i="14"/>
  <c r="P91" i="2"/>
  <c r="R106" i="20" s="1"/>
  <c r="C106" i="20"/>
  <c r="P91" i="5"/>
  <c r="P91" i="4"/>
  <c r="N87" i="6"/>
  <c r="P91" i="13"/>
  <c r="N95" i="4"/>
  <c r="F108" i="20"/>
  <c r="F110" i="20" s="1"/>
  <c r="P87" i="2"/>
  <c r="R102" i="20" s="1"/>
  <c r="P87" i="13"/>
  <c r="P87" i="14"/>
  <c r="C102" i="20"/>
  <c r="P87" i="5"/>
  <c r="P87" i="4"/>
  <c r="N94" i="4"/>
  <c r="F106" i="20"/>
  <c r="F109" i="20" s="1"/>
  <c r="P94" i="13" l="1"/>
  <c r="P94" i="14"/>
  <c r="O108" i="20"/>
  <c r="O110" i="20" s="1"/>
  <c r="N95" i="14"/>
  <c r="R105" i="20"/>
  <c r="P94" i="2"/>
  <c r="C109" i="20"/>
  <c r="C110" i="20"/>
  <c r="P93" i="2"/>
  <c r="P93" i="14"/>
  <c r="P95" i="14" s="1"/>
  <c r="P93" i="5"/>
  <c r="P95" i="5" s="1"/>
  <c r="P93" i="4"/>
  <c r="P95" i="4" s="1"/>
  <c r="P93" i="13"/>
  <c r="P95" i="13" s="1"/>
  <c r="N88" i="6"/>
  <c r="N90" i="6" s="1"/>
  <c r="L108" i="20"/>
  <c r="L110" i="20" s="1"/>
  <c r="N95" i="13"/>
  <c r="P94" i="4"/>
  <c r="P94" i="5"/>
  <c r="N89" i="6"/>
  <c r="R109" i="20" l="1"/>
  <c r="P95" i="2"/>
  <c r="R108" i="20"/>
  <c r="R110"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tc={A2527ABA-9466-41BE-9F05-D44B4C4383C8}</author>
    <author>tc={0B09678B-A176-4B8D-AFA2-877A2840D6AA}</author>
    <author>tc={EA5851B8-BCE4-4B5C-8670-C55D6E821CC3}</author>
  </authors>
  <commentList>
    <comment ref="A94" authorId="0" shapeId="0" xr:uid="{A2527ABA-9466-41BE-9F05-D44B4C4383C8}">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5" authorId="1" shapeId="0" xr:uid="{0B09678B-A176-4B8D-AFA2-877A2840D6AA}">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6" authorId="2" shapeId="0" xr:uid="{EA5851B8-BCE4-4B5C-8670-C55D6E821CC3}">
      <text>
        <t>[Threaded comment]
Your version of Excel allows you to read this threaded comment; however, any edits to it will get removed if the file is opened in a newer version of Excel. Learn more: https://go.microsoft.com/fwlink/?linkid=870924
Comment:
    This must always be a whole number; you cannot have partial quarters.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tc={6369CA53-D26D-4B95-A046-21B96843330C}</author>
    <author>tc={8981A012-1D59-411A-9FB0-DB0AE400F7C3}</author>
    <author>tc={FC1E02BD-51D0-43D4-AAA3-AE2305412672}</author>
    <author>tc={4DFCB001-A623-4D29-B8A5-495473D63A06}</author>
    <author>tc={7527E054-8A64-467E-958C-6E4C9FC70413}</author>
    <author>tc={DBA35FB5-2C01-4580-BCB4-109652B40B42}</author>
    <author>tc={C818A039-517C-4256-B74E-E9C063CB2E94}</author>
    <author>tc={6C8C2D62-1CF6-4290-B405-C8F725DB4E20}</author>
    <author>tc={6C8C2D62-1CF6-4291-B405-C8F725DB4E20}</author>
    <author>tc={6C8C2D62-1CF6-4292-B405-C8F725DB4E20}</author>
    <author>tc={6C8C2D62-1CF6-4293-B405-C8F725DB4E20}</author>
    <author>tc={6C8C2D62-1CF6-4294-B405-C8F725DB4E20}</author>
    <author>tc={6CF4F895-08BC-48A6-B001-775D240FA0AC}</author>
    <author>tc={6C8C2D62-1CF6-4295-B405-C8F725DB4E20}</author>
    <author>tc={293FB106-48BE-4B27-A4E4-CA40AC724B19}</author>
    <author>tc={3D6D8F24-D98F-4C06-BDD9-81C3C3ABF513}</author>
    <author>tc={6C8C2D62-1CF6-4296-B405-C8F725DB4E20}</author>
    <author>tc={6C8C2D62-1CF6-4297-B405-C8F725DB4E20}</author>
    <author>tc={C8309D82-3090-4E9D-96F9-328DE2236420}</author>
    <author>tc={173F25F3-0814-47E6-80EB-005C49D8B573}</author>
    <author>tc={81C83F75-A71A-493D-8502-E7A14E5FA519}</author>
    <author>tc={EA01ED2B-3194-4675-A59A-426EC969B3E0}</author>
  </authors>
  <commentList>
    <comment ref="K8"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You can change this to any date (i.e., mid-month) by removing the data validation for this cell.</t>
      </text>
    </comment>
    <comment ref="K10" authorId="1" shapeId="0" xr:uid="{00000000-0006-0000-0200-000002000000}">
      <text>
        <t xml:space="preserve">[Threaded comment]
Your version of Excel allows you to read this threaded comment; however, any edits to it will get removed if the file is opened in a newer version of Excel. Learn more: https://go.microsoft.com/fwlink/?linkid=870924
Comment:
    If the field says #VALUE!, go to Tools &gt; Add-Ins and click on Analysis Toolpak then reselect Budget Year Start </t>
      </text>
    </comment>
    <comment ref="M14"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Cost share effort can only be committed for academic (if 9 month) or calendar (if 10, 11, or 12 month) months.</t>
      </text>
    </comment>
    <comment ref="B15"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Type PI name here.  It will automatically copy to all other budget pages.</t>
      </text>
    </comment>
    <comment ref="L15"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Auto calculates fringe by personnel salary entered to left, based on project start date entered above.</t>
      </text>
    </comment>
    <comment ref="H32"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P32"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Northwestern minimum for salary, based on NRSA Postdoc Level 0. Update if higher.</t>
      </text>
    </comment>
    <comment ref="H33"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4" authorId="8" shapeId="0" xr:uid="{00000000-0006-0000-0200-000009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5"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6"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7"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B38" authorId="12" shapeId="0" xr:uid="{00000000-0006-0000-0200-00000D000000}">
      <text>
        <t>[Threaded comment]
Your version of Excel allows you to read this threaded comment; however, any edits to it will get removed if the file is opened in a newer version of Excel. Learn more: https://go.microsoft.com/fwlink/?linkid=870924
Comment:
    Insert number of graduate students here.
This will drive the tuition cost to grant, in the Other Direct Costs section.</t>
      </text>
    </comment>
    <comment ref="H38" authorId="13" shapeId="0" xr:uid="{00000000-0006-0000-0200-00000E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38" authorId="14" shapeId="0" xr:uid="{00000000-0006-0000-0200-00000F000000}">
      <text>
        <t>[Threaded comment]
Your version of Excel allows you to read this threaded comment; however, any edits to it will get removed if the file is opened in a newer version of Excel. Learn more: https://go.microsoft.com/fwlink/?linkid=870924
Comment:
    This field is calculated with graduate student fringe rate.</t>
      </text>
    </comment>
    <comment ref="P38" authorId="15" shapeId="0" xr:uid="{3D6D8F24-D98F-4C06-BDD9-81C3C3ABF513}">
      <text>
        <t>[Threaded comment]
Your version of Excel allows you to read this threaded comment; however, any edits to it will get removed if the file is opened in a newer version of Excel. Learn more: https://go.microsoft.com/fwlink/?linkid=870924
Comment:
    Per TGS announcement of rates, $3,979 per month for FY27.</t>
      </text>
    </comment>
    <comment ref="H39" authorId="16" shapeId="0" xr:uid="{00000000-0006-0000-0200-000011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40" authorId="17" shapeId="0" xr:uid="{00000000-0006-0000-0200-000012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40" authorId="18" shapeId="0" xr:uid="{00000000-0006-0000-0200-000013000000}">
      <text>
        <t>[Threaded comment]
Your version of Excel allows you to read this threaded comment; however, any edits to it will get removed if the file is opened in a newer version of Excel. Learn more: https://go.microsoft.com/fwlink/?linkid=870924
Comment:
    This field is calculated with statutory fringe rate.</t>
      </text>
    </comment>
    <comment ref="C60" authorId="19" shapeId="0" xr:uid="{00000000-0006-0000-0200-000014000000}">
      <text>
        <t>[Threaded comment]
Your version of Excel allows you to read this threaded comment; however, any edits to it will get removed if the file is opened in a newer version of Excel. Learn more: https://go.microsoft.com/fwlink/?linkid=870924
Comment:
    Example: Laboratory services, human subject fees, animal subject costs</t>
      </text>
    </comment>
    <comment ref="C61" authorId="20" shapeId="0" xr:uid="{00000000-0006-0000-0200-000015000000}">
      <text>
        <t>[Threaded comment]
Your version of Excel allows you to read this threaded comment; however, any edits to it will get removed if the file is opened in a newer version of Excel. Learn more: https://go.microsoft.com/fwlink/?linkid=870924
Comment:
    Example: Participant support costs</t>
      </text>
    </comment>
    <comment ref="G77" authorId="21" shapeId="0" xr:uid="{00000000-0006-0000-0200-000016000000}">
      <text>
        <t>[Threaded comment]
Your version of Excel allows you to read this threaded comment; however, any edits to it will get removed if the file is opened in a newer version of Excel. Learn more: https://go.microsoft.com/fwlink/?linkid=870924
Comment:
    Listed rate is for the BP's starting Month, F&amp;A is calculated using a blended rate. Unless manually modified.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tc={C2574E76-ECC7-4B40-829C-703FD11191FE}</author>
    <author>tc={14AA5514-A76C-4AF1-ACD7-418E35426D6F}</author>
    <author>tc={B1CEFA16-FC0F-4D85-94C6-AD7862EB6F84}</author>
    <author>tc={2DB2304C-B95C-427E-8EA3-337D3D66F91D}</author>
    <author>tc={2DB2304C-B95C-427F-8EA3-337D3D66F91D}</author>
    <author>tc={2DB2304C-B95C-4280-8EA3-337D3D66F91D}</author>
    <author>tc={2DB2304C-B95C-4281-8EA3-337D3D66F91D}</author>
    <author>tc={2DB2304C-B95C-4282-8EA3-337D3D66F91D}</author>
    <author>tc={2DB2304C-B95C-4283-8EA3-337D3D66F91D}</author>
    <author>tc={2DB2304C-B95C-4284-8EA3-337D3D66F91D}</author>
    <author>tc={2DB2304C-B95C-4285-8EA3-337D3D66F91D}</author>
    <author>tc={2DB2304C-B95C-4286-8EA3-337D3D66F91D}</author>
    <author>tc={2DB2304C-B95C-4287-8EA3-337D3D66F91D}</author>
    <author>tc={2DB2304C-B95C-4288-8EA3-337D3D66F91D}</author>
    <author>tc={2DB2304C-B95C-4289-8EA3-337D3D66F91D}</author>
    <author>tc={2DB2304C-B95C-428A-8EA3-337D3D66F91D}</author>
    <author>tc={2DB2304C-B95C-428B-8EA3-337D3D66F91D}</author>
    <author>tc={2DB2304C-B95C-428C-8EA3-337D3D66F91D}</author>
    <author>tc={1AAA62DA-7E97-400D-8517-CDCB601DBAE6}</author>
  </authors>
  <commentList>
    <comment ref="N2"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Enter # of days here.</t>
      </text>
    </comment>
    <comment ref="N3"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Enter # of travelers here.</t>
      </text>
    </comment>
    <comment ref="N4" authorId="2" shapeId="0" xr:uid="{00000000-0006-0000-0A00-000003000000}">
      <text>
        <t>[Threaded comment]
Your version of Excel allows you to read this threaded comment; however, any edits to it will get removed if the file is opened in a newer version of Excel. Learn more: https://go.microsoft.com/fwlink/?linkid=870924
Comment:
    Enter cost-share percentage here.</t>
      </text>
    </comment>
    <comment ref="I9" authorId="3" shapeId="0" xr:uid="{00000000-0006-0000-0A00-000004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9" authorId="4" shapeId="0" xr:uid="{00000000-0006-0000-0A00-000005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9" authorId="5" shapeId="0" xr:uid="{00000000-0006-0000-0A00-000006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0" authorId="6" shapeId="0" xr:uid="{00000000-0006-0000-0A00-000007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0" authorId="7"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0" authorId="8" shapeId="0" xr:uid="{00000000-0006-0000-0A00-000009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1" authorId="9"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1" authorId="10" shapeId="0" xr:uid="{00000000-0006-0000-0A00-00000B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1" authorId="11" shapeId="0" xr:uid="{00000000-0006-0000-0A00-00000C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2" authorId="12"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2" authorId="13" shapeId="0" xr:uid="{00000000-0006-0000-0A00-00000E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2" authorId="14" shapeId="0" xr:uid="{00000000-0006-0000-0A00-00000F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3" authorId="15" shapeId="0" xr:uid="{00000000-0006-0000-0A00-000010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3" authorId="16" shapeId="0" xr:uid="{00000000-0006-0000-0A00-000011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3" authorId="17" shapeId="0" xr:uid="{00000000-0006-0000-0A00-000012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H17" authorId="18" shapeId="0" xr:uid="{00000000-0006-0000-0A00-000013000000}">
      <text>
        <t xml:space="preserve">[Threaded comment]
Your version of Excel allows you to read this threaded comment; however, any edits to it will get removed if the file is opened in a newer version of Excel. Learn more: https://go.microsoft.com/fwlink/?linkid=870924
Comment:
    If (domestic) destination is unknown, use these rates for Lodging and M&amp;IE.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tc={B0425895-DF47-4AAF-8014-7F94219A5AB3}</author>
    <author>tc={9912DD39-F228-4D44-B35E-29A065A6FA9B}</author>
    <author>tc={4144F7DA-1B19-419C-AC48-129DE91EC6D2}</author>
    <author>tc={A02FC428-DB01-4A4F-8FA8-5D1B2511B3DC}</author>
    <author>tc={A23EB8FD-9445-47F3-BFAE-B8A745B02816}</author>
    <author>tc={357B9499-0C55-42C1-A4AD-6E5FA7308C7F}</author>
    <author>tc={FC5707F5-C204-4E6C-A969-32BC2DAC9D48}</author>
    <author>tc={20FFDB19-2A8D-4CD1-A853-78D0E90A84C2}</author>
    <author>tc={70230BEA-0414-40E2-940C-4795E40BC65F}</author>
    <author>tc={45D01AEB-4856-489D-A276-41DC0FF49D19}</author>
    <author>tc={45D01AEB-4856-489E-A276-41DC0FF49D19}</author>
    <author>tc={4804F61B-4433-404E-A0CC-F11D09B237B0}</author>
    <author>tc={14D0C4D4-BD87-4EC5-AE3D-AE7C134BD7AE}</author>
    <author>tc={C02219D6-536E-441C-9EDA-FB32E2224A61}</author>
    <author>tc={F5848549-938D-4D42-85DF-7FB8C9C72C83}</author>
    <author>tc={B2D85AA3-0A03-4D99-B79B-C496A962D634}</author>
    <author>tc={C45CB4AE-537E-41B1-A4A1-A16F2D4390E0}</author>
    <author>tc={24E2AAE9-85CD-4F29-AF68-D5649067620A}</author>
  </authors>
  <commentList>
    <comment ref="J74"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Rates are actual FY13 benefit rates from 7/30/12 Eugene Sunshine memo.</t>
      </text>
    </comment>
    <comment ref="L74" authorId="1" shapeId="0" xr:uid="{00000000-0006-0000-0C00-000002000000}">
      <text>
        <t>[Threaded comment]
Your version of Excel allows you to read this threaded comment; however, any edits to it will get removed if the file is opened in a newer version of Excel. Learn more: https://go.microsoft.com/fwlink/?linkid=870924
Comment:
    Quarterly rate per TGS 5/17/12.</t>
      </text>
    </comment>
    <comment ref="J86" authorId="2" shapeId="0" xr:uid="{00000000-0006-0000-0C00-000003000000}">
      <text>
        <t>[Threaded comment]
Your version of Excel allows you to read this threaded comment; however, any edits to it will get removed if the file is opened in a newer version of Excel. Learn more: https://go.microsoft.com/fwlink/?linkid=870924
Comment:
    Rates from 7/30/12 Eugene Sunshine memo - projected for FY14-17.</t>
      </text>
    </comment>
    <comment ref="L86" authorId="3" shapeId="0" xr:uid="{00000000-0006-0000-0C00-000004000000}">
      <text>
        <t>[Threaded comment]
Your version of Excel allows you to read this threaded comment; however, any edits to it will get removed if the file is opened in a newer version of Excel. Learn more: https://go.microsoft.com/fwlink/?linkid=870924
Comment:
    Quarterly rate per TGS 4/30/13</t>
      </text>
    </comment>
    <comment ref="L98" authorId="4" shapeId="0" xr:uid="{00000000-0006-0000-0C00-000005000000}">
      <text>
        <t>[Threaded comment]
Your version of Excel allows you to read this threaded comment; however, any edits to it will get removed if the file is opened in a newer version of Excel. Learn more: https://go.microsoft.com/fwlink/?linkid=870924
Comment:
    Quarterly rates per TGS 05/01/2014</t>
      </text>
    </comment>
    <comment ref="L110" authorId="5" shapeId="0" xr:uid="{00000000-0006-0000-0C00-000006000000}">
      <text>
        <t>[Threaded comment]
Your version of Excel allows you to read this threaded comment; however, any edits to it will get removed if the file is opened in a newer version of Excel. Learn more: https://go.microsoft.com/fwlink/?linkid=870924
Comment:
    Quarterly rates per TGS 06/08/2015</t>
      </text>
    </comment>
    <comment ref="L122" authorId="6" shapeId="0" xr:uid="{00000000-0006-0000-0C00-000007000000}">
      <text>
        <t>[Threaded comment]
Your version of Excel allows you to read this threaded comment; however, any edits to it will get removed if the file is opened in a newer version of Excel. Learn more: https://go.microsoft.com/fwlink/?linkid=870924
Comment:
    Quarterly rates per TGS  5/2/2016</t>
      </text>
    </comment>
    <comment ref="L134" authorId="7" shapeId="0" xr:uid="{00000000-0006-0000-0C00-000008000000}">
      <text>
        <t>[Threaded comment]
Your version of Excel allows you to read this threaded comment; however, any edits to it will get removed if the file is opened in a newer version of Excel. Learn more: https://go.microsoft.com/fwlink/?linkid=870924
Comment:
    Quarterly Rate per TGS 5/24/17</t>
      </text>
    </comment>
    <comment ref="L146" authorId="8" shapeId="0" xr:uid="{00000000-0006-0000-0C00-000009000000}">
      <text>
        <t>[Threaded comment]
Your version of Excel allows you to read this threaded comment; however, any edits to it will get removed if the file is opened in a newer version of Excel. Learn more: https://go.microsoft.com/fwlink/?linkid=870924
Comment:
    Quarterly Rate per TGS 5/9/18</t>
      </text>
    </comment>
    <comment ref="L158" authorId="9" shapeId="0" xr:uid="{00000000-0006-0000-0C00-00000A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70" authorId="10" shapeId="0" xr:uid="{00000000-0006-0000-0C00-00000B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82" authorId="11" shapeId="0" xr:uid="{4804F61B-4433-404E-A0CC-F11D09B237B0}">
      <text>
        <t>[Threaded comment]
Your version of Excel allows you to read this threaded comment; however, any edits to it will get removed if the file is opened in a newer version of Excel. Learn more: https://go.microsoft.com/fwlink/?linkid=870924
Comment:
    Quarter PI Rate per TGS (1/4/21)</t>
      </text>
    </comment>
    <comment ref="L194" authorId="12" shapeId="0" xr:uid="{14D0C4D4-BD87-4EC5-AE3D-AE7C134BD7AE}">
      <text>
        <t>[Threaded comment]
Your version of Excel allows you to read this threaded comment; however, any edits to it will get removed if the file is opened in a newer version of Excel. Learn more: https://go.microsoft.com/fwlink/?linkid=870924
Comment:
    Quarter PI Rate per TGS (1/4/22)</t>
      </text>
    </comment>
    <comment ref="L206" authorId="13" shapeId="0" xr:uid="{C02219D6-536E-441C-9EDA-FB32E2224A61}">
      <text>
        <t>[Threaded comment]
Your version of Excel allows you to read this threaded comment; however, any edits to it will get removed if the file is opened in a newer version of Excel. Learn more: https://go.microsoft.com/fwlink/?linkid=870924
Comment:
    Quarter PI Rate per TGS (2/6/23)
Reply:
    Updated to $2579/quarter mid-year due to Graduate Student Unionization (4/10/24)</t>
      </text>
    </comment>
    <comment ref="L215" authorId="14" shapeId="0" xr:uid="{F5848549-938D-4D42-85DF-7FB8C9C72C83}">
      <text>
        <t>[Threaded comment]
Your version of Excel allows you to read this threaded comment; however, any edits to it will get removed if the file is opened in a newer version of Excel. Learn more: https://go.microsoft.com/fwlink/?linkid=870924
Comment:
    Quarter PI Rate per TGS for Summer of 2024 (4/16/24)</t>
      </text>
    </comment>
    <comment ref="L218" authorId="15" shapeId="0" xr:uid="{B2D85AA3-0A03-4D99-B79B-C496A962D634}">
      <text>
        <t>[Threaded comment]
Your version of Excel allows you to read this threaded comment; however, any edits to it will get removed if the file is opened in a newer version of Excel. Learn more: https://go.microsoft.com/fwlink/?linkid=870924
Comment:
    Quarter Rate to remain at NIH Postdoctoral Level 0, per SR's website https://sponsoredresearch.northwestern.edu/docs/graduate-student-rates-sponsored-research.xlsx (4/5/24)
Quarter PI Rate per TGS (4/16/24)</t>
      </text>
    </comment>
    <comment ref="L230" authorId="16" shapeId="0" xr:uid="{C45CB4AE-537E-41B1-A4A1-A16F2D4390E0}">
      <text>
        <t>[Threaded comment]
Your version of Excel allows you to read this threaded comment; however, any edits to it will get removed if the file is opened in a newer version of Excel. Learn more: https://go.microsoft.com/fwlink/?linkid=870924
Comment:
    Quarter PI Rate per TGS (5/5/25)</t>
      </text>
    </comment>
    <comment ref="L242" authorId="17" shapeId="0" xr:uid="{24E2AAE9-85CD-4F29-AF68-D5649067620A}">
      <text>
        <t>[Threaded comment]
Your version of Excel allows you to read this threaded comment; however, any edits to it will get removed if the file is opened in a newer version of Excel. Learn more: https://go.microsoft.com/fwlink/?linkid=870924
Comment:
    Quarter PI Rate per TGS (4/24/26)</t>
      </text>
    </comment>
  </commentList>
</comments>
</file>

<file path=xl/sharedStrings.xml><?xml version="1.0" encoding="utf-8"?>
<sst xmlns="http://schemas.openxmlformats.org/spreadsheetml/2006/main" count="4556" uniqueCount="994">
  <si>
    <t>OTHER DIRECT COSTS</t>
  </si>
  <si>
    <t>Northwestern University</t>
  </si>
  <si>
    <t>CAL</t>
  </si>
  <si>
    <t>1. (</t>
  </si>
  <si>
    <t>3. (</t>
  </si>
  <si>
    <t>4. (</t>
  </si>
  <si>
    <t>5. (</t>
  </si>
  <si>
    <t>FullFed</t>
  </si>
  <si>
    <t>Full NonFed</t>
  </si>
  <si>
    <t>Statutory</t>
  </si>
  <si>
    <t>TGS (Student)</t>
  </si>
  <si>
    <t>3 month</t>
  </si>
  <si>
    <t>9 month</t>
  </si>
  <si>
    <t>12 month</t>
  </si>
  <si>
    <t>Summer Term</t>
  </si>
  <si>
    <t>Academic Year</t>
  </si>
  <si>
    <t>Calendar Year</t>
  </si>
  <si>
    <t>PM</t>
  </si>
  <si>
    <t>StartDateList</t>
  </si>
  <si>
    <t>EndDateList</t>
  </si>
  <si>
    <t>Tuition cost to grant</t>
  </si>
  <si>
    <t>For the NUCAPT facility rates are hourly and are applied in 0.25 h increments:</t>
  </si>
  <si>
    <t>Instrument</t>
  </si>
  <si>
    <t>LEAP Tomograph (Voltage Pulsing and Laser Pulsing)</t>
  </si>
  <si>
    <t>Metallographic Saw</t>
  </si>
  <si>
    <t>Imago Electropointer</t>
  </si>
  <si>
    <t>Electropolisher</t>
  </si>
  <si>
    <t>PC Workstation (IVAS)</t>
  </si>
  <si>
    <t>General Consultation</t>
  </si>
  <si>
    <t>For the NUANCE facility, instrument charges per hour:</t>
  </si>
  <si>
    <t>For the BIF facility, instrument charges per hour:</t>
  </si>
  <si>
    <t>Rate</t>
  </si>
  <si>
    <t>For the CLaMMP facility:</t>
  </si>
  <si>
    <t>Salary</t>
  </si>
  <si>
    <t>Fringe</t>
  </si>
  <si>
    <t>Requested by Applicant</t>
  </si>
  <si>
    <t>Quarterly</t>
  </si>
  <si>
    <t>Information for SF424</t>
  </si>
  <si>
    <t>Information for R&amp;R Budget</t>
  </si>
  <si>
    <t>Legal Name</t>
  </si>
  <si>
    <t>Name of Organization</t>
  </si>
  <si>
    <t>Department Name</t>
  </si>
  <si>
    <t>Indirect Cost Type</t>
  </si>
  <si>
    <t>Modified Total Direct Cost</t>
  </si>
  <si>
    <t>Division</t>
  </si>
  <si>
    <t>Cognizant Federal Agency</t>
  </si>
  <si>
    <t>Evanston Campus</t>
  </si>
  <si>
    <t>Street 1</t>
  </si>
  <si>
    <t>Indirect Cost Rate Agreement Date</t>
  </si>
  <si>
    <t>Street 2</t>
  </si>
  <si>
    <t>City</t>
  </si>
  <si>
    <t>County</t>
  </si>
  <si>
    <t>Cook</t>
  </si>
  <si>
    <t>State</t>
  </si>
  <si>
    <t>IL</t>
  </si>
  <si>
    <t>Zip</t>
  </si>
  <si>
    <t>Person to be contacted on matters involving this application</t>
  </si>
  <si>
    <t>EIN</t>
  </si>
  <si>
    <t>36-2167817 (For NIH: 1362167817A1)</t>
  </si>
  <si>
    <t>Type of Applicant</t>
  </si>
  <si>
    <t>O: Private Institution of Higher Education</t>
  </si>
  <si>
    <t>Areas Affected by the Project</t>
  </si>
  <si>
    <t>Evanston, Cook County, IL</t>
  </si>
  <si>
    <t>Congressional District</t>
  </si>
  <si>
    <t>IL-009</t>
  </si>
  <si>
    <r>
      <t>If non-NIH proposal,</t>
    </r>
    <r>
      <rPr>
        <b/>
        <sz val="10"/>
        <rFont val="Geneva"/>
        <family val="2"/>
      </rPr>
      <t xml:space="preserve"> </t>
    </r>
    <r>
      <rPr>
        <sz val="10"/>
        <rFont val="Geneva"/>
        <family val="2"/>
      </rPr>
      <t>the authorized representative on page 2 should be:</t>
    </r>
  </si>
  <si>
    <t>Division, Field 15</t>
  </si>
  <si>
    <t>Hysitron TriboIndenter</t>
  </si>
  <si>
    <t>non fed</t>
  </si>
  <si>
    <t>fed</t>
  </si>
  <si>
    <t>statutory</t>
  </si>
  <si>
    <t>student</t>
  </si>
  <si>
    <t>For the Genomics Core facility at CGM:</t>
  </si>
  <si>
    <t>Traditional Sequencing</t>
  </si>
  <si>
    <t>DNA Extraction</t>
  </si>
  <si>
    <t>Differential Scanning Calorimeter</t>
  </si>
  <si>
    <t>Fluorescence Polarization</t>
  </si>
  <si>
    <t>Circular Dichroism Spectrometer</t>
  </si>
  <si>
    <t>Fluorescence Plate Reader</t>
  </si>
  <si>
    <t>Dynamic Light Scattering</t>
  </si>
  <si>
    <t>Real Time PCR</t>
  </si>
  <si>
    <t>For the QBIC facility:</t>
  </si>
  <si>
    <t>Services</t>
  </si>
  <si>
    <t>Training</t>
  </si>
  <si>
    <t>Total Senior Personnel Salary</t>
  </si>
  <si>
    <t>Total Senior Personnel Fringe</t>
  </si>
  <si>
    <t>Total Salaries and Wages</t>
  </si>
  <si>
    <t>Total Fringe Benefits</t>
  </si>
  <si>
    <t>Domestic Travel</t>
  </si>
  <si>
    <t>Foreign Travel</t>
  </si>
  <si>
    <t>Total Other Direct Costs</t>
  </si>
  <si>
    <t>Indirect Costs</t>
  </si>
  <si>
    <t>Total Direct and Indirect Costs</t>
  </si>
  <si>
    <t>Total</t>
  </si>
  <si>
    <t>Annual Salary Increase</t>
  </si>
  <si>
    <t>Modified Total Direct Costs (MTDC)</t>
  </si>
  <si>
    <t>Total Salaries, Wages, &amp; Fringe Benefits</t>
  </si>
  <si>
    <t>Department of Health and Human Services (DHHS), Arif Karim, 214/767-3261</t>
  </si>
  <si>
    <t>For the Behavioral Phenotyping Core (BPC):</t>
  </si>
  <si>
    <t>Water Maze</t>
  </si>
  <si>
    <t>DigiGate</t>
  </si>
  <si>
    <t>Surgery</t>
  </si>
  <si>
    <t>BPC Definitions:</t>
  </si>
  <si>
    <t>BPC Rates:</t>
  </si>
  <si>
    <t>Total Travel</t>
  </si>
  <si>
    <t>Base Salary</t>
  </si>
  <si>
    <t>IBS Ion-Beam sputtering</t>
  </si>
  <si>
    <t>TENUPOL</t>
  </si>
  <si>
    <t>Arc Melter MAM-1</t>
  </si>
  <si>
    <t>ThermoCalc</t>
  </si>
  <si>
    <t>MEDEA</t>
  </si>
  <si>
    <t>Hitachi S4800-II cFEG SEM</t>
  </si>
  <si>
    <t>Hitachi S3400N SEM</t>
  </si>
  <si>
    <t>JEOL JEM-2100 FasTEM</t>
  </si>
  <si>
    <t>Hitachi HT-7700 Biological TEM</t>
  </si>
  <si>
    <t>Thermo Scientific ESCALAB 250 Xi X-Ray Photoelectron Spectrometer</t>
  </si>
  <si>
    <t>Physical Electronics PHI TRIFT III ToF-SIMS</t>
  </si>
  <si>
    <t>Thermo Nicolet Nexus 870 FT-IR</t>
  </si>
  <si>
    <t>Veeco Dektak 150 Surface Profiler</t>
  </si>
  <si>
    <t>J.A. Woollam M2000U Spectroscopic Ellipsometer</t>
  </si>
  <si>
    <t>Malvern Instruments Zetasizer</t>
  </si>
  <si>
    <t>Bruker ContourGT Optical Profiler</t>
  </si>
  <si>
    <t>Leica Spinning Disk Confocal</t>
  </si>
  <si>
    <t>Leica MM80 Impact Freezer</t>
  </si>
  <si>
    <t>Analytical HPLC</t>
  </si>
  <si>
    <t>BLitz Bio-Layer Interferometer (Evanston)</t>
  </si>
  <si>
    <t>BLItz Bio-Layer Interferometer (Chicago)</t>
  </si>
  <si>
    <t>Lyophilizer</t>
  </si>
  <si>
    <t>NanoSight NTA</t>
  </si>
  <si>
    <t>Photon-Counting Fluorescence Spectrometer</t>
  </si>
  <si>
    <t>For the Keck Biophysics Facility</t>
  </si>
  <si>
    <t>Staff Service</t>
  </si>
  <si>
    <t>UV/Vis DAD Spectrophotometer</t>
  </si>
  <si>
    <t>UV/Vis/NIR Spectrophotometer</t>
  </si>
  <si>
    <t>Microwave Digestion</t>
  </si>
  <si>
    <t>LimeLight</t>
  </si>
  <si>
    <t>Fear Conditioning</t>
  </si>
  <si>
    <t>Rotarod</t>
  </si>
  <si>
    <t>Prepulse Inhibition (PPI)</t>
  </si>
  <si>
    <t>Eyeblink Conditioning</t>
  </si>
  <si>
    <t>Plantar/Pain Testing</t>
  </si>
  <si>
    <t>General Use</t>
  </si>
  <si>
    <t>Data Analysis</t>
  </si>
  <si>
    <t>SubK PI</t>
  </si>
  <si>
    <t>Total Equipment</t>
  </si>
  <si>
    <t>%</t>
  </si>
  <si>
    <t>hrs.</t>
  </si>
  <si>
    <t>Effort Calculator</t>
  </si>
  <si>
    <t>Enter ⇓</t>
  </si>
  <si>
    <t>Senior Personnel Justification</t>
  </si>
  <si>
    <t>Other Personnel Justification</t>
  </si>
  <si>
    <t>Equipment Justification</t>
  </si>
  <si>
    <t>Travel Justification</t>
  </si>
  <si>
    <t>SubK Justification</t>
  </si>
  <si>
    <t>MTDC Other and Non-MTDC Other Justification</t>
  </si>
  <si>
    <t>Font is Arial 11 to conform with NSF and NIH guidelines.</t>
  </si>
  <si>
    <t>1. Equipment</t>
  </si>
  <si>
    <t>2. Equipment</t>
  </si>
  <si>
    <t>3. Equipment</t>
  </si>
  <si>
    <t>4. Equipment</t>
  </si>
  <si>
    <t>5. Equipment</t>
  </si>
  <si>
    <t>Percent Effort to Person Months Effort</t>
  </si>
  <si>
    <t>Person Months Effort to Percent Effort</t>
  </si>
  <si>
    <t>Person Months Effort to Labor Hours</t>
  </si>
  <si>
    <t>→</t>
  </si>
  <si>
    <t># calendar person months (or #% calendar effort) of # postdoctoral associate’s salary is requested each year for # years and is inflated by #% each September. The postdoctoral associate will …</t>
  </si>
  <si>
    <t># undergraduate student’s salary is requested each year for # years and is inflated by # each September. The undergraduate student will …</t>
  </si>
  <si>
    <t>Other: Support is requested each year for # years to cover the cost of laboratory facility use and training.  Current rates for these facilities are included below.</t>
  </si>
  <si>
    <t>PERSONNEL</t>
  </si>
  <si>
    <t>EQUIPMENT</t>
  </si>
  <si>
    <t>TRAVEL</t>
  </si>
  <si>
    <t># CATEGORY person months (or #% CATEGORY effort) of Professor ABC's salary is requested each year for # years and is inflated by #% each September. Professor ABC will …</t>
  </si>
  <si>
    <t>Boilerplate Budget Justification Language</t>
  </si>
  <si>
    <t>SUBAWARDS</t>
  </si>
  <si>
    <t>Subaward: Support is requested each year for # years for a total of $ for a subaward to SUBAWARD.  This subaward, led by subaward PI PERSON, is responsible for the following goals and tasks:</t>
  </si>
  <si>
    <t>F&amp;A accrues only on the first $25,000 of this subaward.</t>
  </si>
  <si>
    <t>F&amp;A</t>
  </si>
  <si>
    <t>F&amp;A has been calculated based on the following DHHS approved rates:</t>
  </si>
  <si>
    <t>F&amp;A has been calculated based on the following approved rates:</t>
  </si>
  <si>
    <t>Support is requested for the following items of capital equipment: … Capital equipment is requested for ...</t>
  </si>
  <si>
    <t>Support is requested each year for # years to cover the cost of transportation, accommodation, and subsistence for travel to scientific conferences, to present results, and meet with collaborators. Travel is requested for …</t>
  </si>
  <si>
    <t>Consultant Services: Support is requested to cover the cost of consultant services each year for # years. Consultant services are requested for …</t>
  </si>
  <si>
    <t>Populate</t>
  </si>
  <si>
    <t>Filter to also show additional rows</t>
  </si>
  <si>
    <t>Filter to also show additional rows.</t>
  </si>
  <si>
    <t>Post Doctoral Associates</t>
  </si>
  <si>
    <t>CM</t>
  </si>
  <si>
    <t>Other Professionals</t>
  </si>
  <si>
    <t>Graduate Students</t>
  </si>
  <si>
    <t>Undergraduate Students</t>
  </si>
  <si>
    <t>Other Personnel (Statutory)</t>
  </si>
  <si>
    <t>SM</t>
  </si>
  <si>
    <t>Y1 Labor Hours - Auto-Calculated</t>
  </si>
  <si>
    <t>Labor Hour Auto-Calculator</t>
  </si>
  <si>
    <t>ACA</t>
  </si>
  <si>
    <t>SUM</t>
  </si>
  <si>
    <t>Organization</t>
  </si>
  <si>
    <t>Sponsor</t>
  </si>
  <si>
    <t>Senior Personnel</t>
  </si>
  <si>
    <t>Total Senior Personnel Costs</t>
  </si>
  <si>
    <t>Other Personnel</t>
  </si>
  <si>
    <t>Principal Investigator/Project Director</t>
  </si>
  <si>
    <t>Total Salaries, Wages, and Fringe Benefits</t>
  </si>
  <si>
    <t>Capital Equipment</t>
  </si>
  <si>
    <t>Total Capital Equipment</t>
  </si>
  <si>
    <t>Travel</t>
  </si>
  <si>
    <t>Other Direct Costs</t>
  </si>
  <si>
    <t>Materials and Supplies</t>
  </si>
  <si>
    <t>Publication Costs</t>
  </si>
  <si>
    <t>Consultant Services</t>
  </si>
  <si>
    <t>Computer Services</t>
  </si>
  <si>
    <t>Tuition</t>
  </si>
  <si>
    <t>MTDC Other</t>
  </si>
  <si>
    <t>Total Indirect Costs</t>
  </si>
  <si>
    <t>When complete, filter to hide all blank rows.</t>
  </si>
  <si>
    <t>A) Condensed</t>
  </si>
  <si>
    <t>F) Add More Subawards (12 Total)</t>
  </si>
  <si>
    <t>E) Add Subawards (6 Total)</t>
  </si>
  <si>
    <t>F) Add Subawards (6 Total)</t>
  </si>
  <si>
    <t>G) Add More Subawards (12 Total)</t>
  </si>
  <si>
    <t>Other Direct Costs Justifications</t>
  </si>
  <si>
    <t>F&amp;A Type</t>
  </si>
  <si>
    <t>Note: This Summary sheet will reflect entries made into the YEAR1-5 sheets
(see tabs at bottom of window). Enter information starting at YEAR1, not here.</t>
  </si>
  <si>
    <t>Effort Breakdown</t>
  </si>
  <si>
    <t>Internal Only</t>
  </si>
  <si>
    <t>These columns are for internal purposes only.</t>
  </si>
  <si>
    <t>Example Justification</t>
  </si>
  <si>
    <t>The PI will oversee all aspects of the project.</t>
  </si>
  <si>
    <t>The Co-PI is responsible for Aim 1.</t>
  </si>
  <si>
    <t>The Co-I is responsible for Aim 2.</t>
  </si>
  <si>
    <t>The technician will work with the PI on completing Aim 1.</t>
  </si>
  <si>
    <t>The postdoc will work with the PI on completing Aim 1.</t>
  </si>
  <si>
    <t>Supplies are for laboratory consumables and materials.</t>
  </si>
  <si>
    <t>Publication costs are for publishing in 2 scientific journals a year.</t>
  </si>
  <si>
    <t>Consultant John Smith will review and offer insight throughout Aim 1.</t>
  </si>
  <si>
    <t>Computer services are for processing the large amounts of data.</t>
  </si>
  <si>
    <t>Laboratory services are for data collection and processing.</t>
  </si>
  <si>
    <t>SubK PI is responsible for Aim 2.</t>
  </si>
  <si>
    <t>SubK PI will work with the PI on Aim 1.</t>
  </si>
  <si>
    <t>The undergrad will work on data collection throughout the summer.</t>
  </si>
  <si>
    <t>A computer is needed to process data. (Funds requested in Year 1 only.)</t>
  </si>
  <si>
    <t>SubK PI is responsible for the clinical trials portion of the project.</t>
  </si>
  <si>
    <t>Travel is for transport to scientific conferences and to meet collaborators.</t>
  </si>
  <si>
    <t>The Master's student will work with the PI on completing Aim 1.</t>
  </si>
  <si>
    <t>For the Northwestern University Micro/Nano Fabrication Facilitiy (NUFAB):</t>
  </si>
  <si>
    <t>Cleanroom (CR) Charges</t>
  </si>
  <si>
    <t>Equipment Charges</t>
  </si>
  <si>
    <t>Hourly Rate</t>
  </si>
  <si>
    <t>Gowning Charges</t>
  </si>
  <si>
    <t>Flood Exposure</t>
  </si>
  <si>
    <t>Blue-M Ovens</t>
  </si>
  <si>
    <t>Developer Hood and Supplied Chemicals</t>
  </si>
  <si>
    <t>Acid/Solvent Hoods and Supplied Chemicals</t>
  </si>
  <si>
    <t>DRIE (STS Pegasus)</t>
  </si>
  <si>
    <t>RIE (Samco 10NR)</t>
  </si>
  <si>
    <t>PECVD (STS)</t>
  </si>
  <si>
    <t>Sputter (AJA)</t>
  </si>
  <si>
    <t>Parylene Coater</t>
  </si>
  <si>
    <t>Thermal Evaporator (Denton)</t>
  </si>
  <si>
    <t>E-beam Evaporator (AJA)</t>
  </si>
  <si>
    <t>XeF2 Etcher</t>
  </si>
  <si>
    <t>RTA/RTP (Allwin21)</t>
  </si>
  <si>
    <t>Profilometer (Dektak 8)</t>
  </si>
  <si>
    <t>Electrical Test Station</t>
  </si>
  <si>
    <t>Reflectometer (Filmetrics F20)</t>
  </si>
  <si>
    <t>Optical Microscopes</t>
  </si>
  <si>
    <t>Optical Profilometer (Zygo NexView)</t>
  </si>
  <si>
    <t>Wet/dry Oxidation (Tystar furnace)</t>
  </si>
  <si>
    <t>LPCVD Nitride (Tystar furnace)</t>
  </si>
  <si>
    <t>Maskless Aligner (Heidelberg uPG501)</t>
  </si>
  <si>
    <t>Contact Angle Measurement (VCA Optima XE)</t>
  </si>
  <si>
    <t>Critical Point Dryer - Tousimis</t>
  </si>
  <si>
    <t>Included in CR charge</t>
  </si>
  <si>
    <t>Training Charges</t>
  </si>
  <si>
    <t>Equipment Training</t>
  </si>
  <si>
    <t>Hands-on Clean Room Training</t>
  </si>
  <si>
    <t>Process Support</t>
  </si>
  <si>
    <t>Northwestern University Budget Justification</t>
  </si>
  <si>
    <t>It is recommended you copy and paste the text into a Word Document for easier editing if you would like to further revise the budget justification language.</t>
  </si>
  <si>
    <t>Non-MTDC Other (no indirect costs)</t>
  </si>
  <si>
    <t>Federal</t>
  </si>
  <si>
    <t>Requested from Sponsor</t>
  </si>
  <si>
    <t>Person-</t>
  </si>
  <si>
    <t>Months</t>
  </si>
  <si>
    <t>CS</t>
  </si>
  <si>
    <t>Unrecovered F&amp;A</t>
  </si>
  <si>
    <t>Cumulative</t>
  </si>
  <si>
    <t>Indirect Costs (Cost Share "Unrecovered F&amp;A")</t>
  </si>
  <si>
    <t>NAME:</t>
  </si>
  <si>
    <t>Project Costs</t>
  </si>
  <si>
    <t>Cumulative Budget</t>
  </si>
  <si>
    <t>Instructions</t>
  </si>
  <si>
    <t>Project Info</t>
  </si>
  <si>
    <t>Trip 1</t>
  </si>
  <si>
    <t>Trip 2</t>
  </si>
  <si>
    <t>Trip 3</t>
  </si>
  <si>
    <t>Enter the basic information about the average or typical trip. These figures can be customized on a per trip basis if necessary in the detail boxes to the right.</t>
  </si>
  <si>
    <t>PI:</t>
  </si>
  <si>
    <t>Days:</t>
  </si>
  <si>
    <t>Travelers:</t>
  </si>
  <si>
    <t>Rates</t>
  </si>
  <si>
    <t>Summary by Year</t>
  </si>
  <si>
    <t>Domestic</t>
  </si>
  <si>
    <t>Foreign</t>
  </si>
  <si>
    <t>Lodging</t>
  </si>
  <si>
    <t>M&amp;IE</t>
  </si>
  <si>
    <t>Total:</t>
  </si>
  <si>
    <t xml:space="preserve">Fill this table in carefully using your proposed destinations and the appropriate information for single-person daily costs or per-trip travel costs, not to exceed values found on the federal Travel Rates websites shown below.
The Identifier column is the name of the school, conference, or purpose of trip. There should be no duplicates in this column. The Destination column is for reference only. The Domestic/Foreign category must be populated in order for integration with the budget template to work.
Lodging and M&amp;IE meals and incidental expenses) can be found on the federal tables for domestic or foreign travel. Note that some destinations have different approved rates for different seasons (generally tropical, tourist destinations). Choose the correct rates for the time of your travel, or make two entries. The per-trip calculator to the right figures lodging as the number of days minus one, and the M&amp;IE is calculated at 75% for the first and last days of the trip.
The Travel column is round-trip, once-per-trip-per person cost, such as flights and conference registration. </t>
  </si>
  <si>
    <t>Identifier</t>
  </si>
  <si>
    <t>Destination</t>
  </si>
  <si>
    <t>Cat.</t>
  </si>
  <si>
    <t>Some useful resources.</t>
  </si>
  <si>
    <t>Travel Resources</t>
  </si>
  <si>
    <t>GSA Continental US (CONUS) Per Diem Rates</t>
  </si>
  <si>
    <t>DoD Alaska, Hawaii, and Overseas Territories Per Diem Rates</t>
  </si>
  <si>
    <t>State Department Foreign Travel Per Diem Rates</t>
  </si>
  <si>
    <t>Northwestern University Travel Services</t>
  </si>
  <si>
    <t xml:space="preserve">Title: </t>
  </si>
  <si>
    <t>Cost Share:</t>
  </si>
  <si>
    <t>Warnings</t>
  </si>
  <si>
    <t>NIH</t>
  </si>
  <si>
    <t>NCI</t>
  </si>
  <si>
    <t>NEI</t>
  </si>
  <si>
    <t>NHLBI</t>
  </si>
  <si>
    <t>NHGRI</t>
  </si>
  <si>
    <t>NIA</t>
  </si>
  <si>
    <t>NIAAA</t>
  </si>
  <si>
    <t>NIAID</t>
  </si>
  <si>
    <t>NIAMS</t>
  </si>
  <si>
    <t>NIBIB</t>
  </si>
  <si>
    <t>NICHD</t>
  </si>
  <si>
    <t>NIDCD</t>
  </si>
  <si>
    <t>NIDCR</t>
  </si>
  <si>
    <t>NIDDK</t>
  </si>
  <si>
    <t>NIDA</t>
  </si>
  <si>
    <t>NIEHS</t>
  </si>
  <si>
    <t>NIGMS</t>
  </si>
  <si>
    <t>NIMH</t>
  </si>
  <si>
    <t>NIMHD</t>
  </si>
  <si>
    <t>NINDS</t>
  </si>
  <si>
    <t>NINR</t>
  </si>
  <si>
    <t>NLM</t>
  </si>
  <si>
    <t>CC</t>
  </si>
  <si>
    <t>CIT</t>
  </si>
  <si>
    <t>CSR</t>
  </si>
  <si>
    <t>FIC</t>
  </si>
  <si>
    <t>NCATS</t>
  </si>
  <si>
    <t>NCCIH</t>
  </si>
  <si>
    <t>OD</t>
  </si>
  <si>
    <t>NIH NCI</t>
  </si>
  <si>
    <t>NIH NEI</t>
  </si>
  <si>
    <t>NIH NHLBI</t>
  </si>
  <si>
    <t>NIH NHGRI</t>
  </si>
  <si>
    <t>NIH NIA</t>
  </si>
  <si>
    <t>NIH NIAAA</t>
  </si>
  <si>
    <t>NIH NIAID</t>
  </si>
  <si>
    <t>NIH NIAMS</t>
  </si>
  <si>
    <t>NIH NIBIB</t>
  </si>
  <si>
    <t>NIH NICHD</t>
  </si>
  <si>
    <t>NIH NIDCD</t>
  </si>
  <si>
    <t>NIH NIDCR</t>
  </si>
  <si>
    <t>NIH NIDDK</t>
  </si>
  <si>
    <t>NIH NIDA</t>
  </si>
  <si>
    <t>NIH NIEHS</t>
  </si>
  <si>
    <t>NIH NIGMS</t>
  </si>
  <si>
    <t>NIH NIMH</t>
  </si>
  <si>
    <t>NIH NIMHD</t>
  </si>
  <si>
    <t>NIH NINDS</t>
  </si>
  <si>
    <t>NIH NINR</t>
  </si>
  <si>
    <t>NIH NLM</t>
  </si>
  <si>
    <t>NIH CC</t>
  </si>
  <si>
    <t>NIH CIT</t>
  </si>
  <si>
    <t>NIH CSR</t>
  </si>
  <si>
    <t>NIH FIC</t>
  </si>
  <si>
    <t>NIH NCATS</t>
  </si>
  <si>
    <t>NIH NCCIH</t>
  </si>
  <si>
    <t>NIH OD</t>
  </si>
  <si>
    <t>National Cancer Institute</t>
  </si>
  <si>
    <t>National Eye Institute</t>
  </si>
  <si>
    <t>National Heart, Lung, and Blood Institute</t>
  </si>
  <si>
    <t>National Human Genome Research Institute</t>
  </si>
  <si>
    <t>National Institute on Aging</t>
  </si>
  <si>
    <t>National Institute on Alcohol Abuse and Alcoholism</t>
  </si>
  <si>
    <t>National Institute of Allergy and Infectious Diseases</t>
  </si>
  <si>
    <t>National Institute of Arthritis and Musculoskeletal and Skin Diseases</t>
  </si>
  <si>
    <t>National Institute of Biomedical Imaging and Bioengineering</t>
  </si>
  <si>
    <t>Eunice Kennedy Shriver National Institute of Child Health and Human Development</t>
  </si>
  <si>
    <t>National Institute on Deafness and Other Communication Disorders</t>
  </si>
  <si>
    <t>National Institute of Dental and Craniofacial Research</t>
  </si>
  <si>
    <t>National Institute of Diabetes and Digestive and Kidney Diseases</t>
  </si>
  <si>
    <t>National Institute on Drug Abuse</t>
  </si>
  <si>
    <t>National Institute of Environmental Health Sciences</t>
  </si>
  <si>
    <t>National Institute of General Medical Sciences</t>
  </si>
  <si>
    <t>The National Institute of General Medical Sciences</t>
  </si>
  <si>
    <t>National Institute of Mental Health</t>
  </si>
  <si>
    <t>National Institute on Minority Health and Health Disparities</t>
  </si>
  <si>
    <t>National Institute of Neurological Disorders and Stroke</t>
  </si>
  <si>
    <t>National Institute of Nursing Research</t>
  </si>
  <si>
    <t>National Library of Medicine</t>
  </si>
  <si>
    <t>NIH Clinical Center</t>
  </si>
  <si>
    <t>Center for Information Technology</t>
  </si>
  <si>
    <t>Center for Scientific Review</t>
  </si>
  <si>
    <t>Fogarty International Center</t>
  </si>
  <si>
    <t>National Center for Advancing Translational Sciences</t>
  </si>
  <si>
    <t>National Center for Complementary and Integrative Health</t>
  </si>
  <si>
    <t>National Institutes of Health</t>
  </si>
  <si>
    <t>National Institute of Health</t>
  </si>
  <si>
    <t>Federal On Campus</t>
  </si>
  <si>
    <t>Federal Off Campus</t>
  </si>
  <si>
    <t>Federal DoD Contract</t>
  </si>
  <si>
    <t>Named Lists</t>
  </si>
  <si>
    <t>Non-Federal</t>
  </si>
  <si>
    <t>On Campus</t>
  </si>
  <si>
    <t>Off Campus</t>
  </si>
  <si>
    <t>DoD Contract</t>
  </si>
  <si>
    <t>No F&amp;A</t>
  </si>
  <si>
    <t>Custom</t>
  </si>
  <si>
    <t>Initial Fiscal Year Base F&amp;A Rate =</t>
  </si>
  <si>
    <r>
      <t xml:space="preserve">Enter the Identifier for each trip, or leave blank if no trip is planned. This must match the Identifier column in table below </t>
    </r>
    <r>
      <rPr>
        <b/>
        <sz val="11"/>
        <color theme="1"/>
        <rFont val="Calibri"/>
        <family val="2"/>
        <scheme val="minor"/>
      </rPr>
      <t>exactly</t>
    </r>
    <r>
      <rPr>
        <sz val="11"/>
        <rFont val="Calibri"/>
        <family val="2"/>
        <scheme val="minor"/>
      </rPr>
      <t>! If there is no match, you will see an error message in the related tables.
If there is no travel, clear these entries rather than deleting from the individual budget tabs, or the formulas will be broken.</t>
    </r>
  </si>
  <si>
    <t>Project Total</t>
  </si>
  <si>
    <t>Budget Period 1</t>
  </si>
  <si>
    <t>Budget Period 2</t>
  </si>
  <si>
    <t>Budget Period 3</t>
  </si>
  <si>
    <t>Budget Period 4</t>
  </si>
  <si>
    <t>Budget Period 5</t>
  </si>
  <si>
    <t>JDRF</t>
  </si>
  <si>
    <t>Juvenile Diabetes Research Foundation</t>
  </si>
  <si>
    <t>PHS</t>
  </si>
  <si>
    <t>Public Health Service</t>
  </si>
  <si>
    <t>AICR</t>
  </si>
  <si>
    <t>American Institute for Cancer Research</t>
  </si>
  <si>
    <t>Alex's Lemonade Stand</t>
  </si>
  <si>
    <t>Alex's Lemonade Stand Foundation</t>
  </si>
  <si>
    <t>ALSF</t>
  </si>
  <si>
    <t>Greenwall Foundation</t>
  </si>
  <si>
    <t>Greenwall</t>
  </si>
  <si>
    <t>Ovarian Cancer Research Fund</t>
  </si>
  <si>
    <t>OCRF</t>
  </si>
  <si>
    <t>Progeria Research Foundation</t>
  </si>
  <si>
    <t>Progeria</t>
  </si>
  <si>
    <t>Rheumatology Research Foundation</t>
  </si>
  <si>
    <t>Number of Budget Periods</t>
  </si>
  <si>
    <t>BP 1</t>
  </si>
  <si>
    <t>BP 2</t>
  </si>
  <si>
    <t>BP 3</t>
  </si>
  <si>
    <t>BP 4</t>
  </si>
  <si>
    <t>BP 5</t>
  </si>
  <si>
    <t>BP1</t>
  </si>
  <si>
    <t>BP2</t>
  </si>
  <si>
    <t>BP3</t>
  </si>
  <si>
    <t>BP4</t>
  </si>
  <si>
    <t>BP5</t>
  </si>
  <si>
    <t>Note: This Summary sheet will reflect entries made into the Budget Period 1-5 sheets
(see tabs at bottom of window). Enter information starting at BP1 tab, not here.</t>
  </si>
  <si>
    <t>)</t>
  </si>
  <si>
    <t>1.</t>
  </si>
  <si>
    <t>2.</t>
  </si>
  <si>
    <t>Non-Federal Off Campus</t>
  </si>
  <si>
    <t>Non-Federal On Campus</t>
  </si>
  <si>
    <t>Originating Sponsor</t>
  </si>
  <si>
    <t>Flow-through Sponsor</t>
  </si>
  <si>
    <t>Cumulative Total All Costs</t>
  </si>
  <si>
    <t>12 Months</t>
  </si>
  <si>
    <t># CATEGORY person months (or #% CATEGORY effort) of Professor ABC's salary is committed to the project each year for # years per Northwestern University cost-sharing.</t>
  </si>
  <si>
    <t>Transmission Electron Microcopy</t>
  </si>
  <si>
    <t>Scanning Electron Microscopy</t>
  </si>
  <si>
    <t>FEI Helios Nanolab SEM/FIB</t>
  </si>
  <si>
    <t>Lesker Nano38 Thin Film Deposition System</t>
  </si>
  <si>
    <t>Fishcione 1040 NanoMill</t>
  </si>
  <si>
    <t>Fischione 1050 TEM Mill</t>
  </si>
  <si>
    <t>SPI Osmium Coater</t>
  </si>
  <si>
    <t>Spin Coater</t>
  </si>
  <si>
    <t>Denton Desk IV Sputter Coater</t>
  </si>
  <si>
    <t>Struers Twin-jet Electropolisher</t>
  </si>
  <si>
    <t>Amira 3D Analysis Software for Life Sciences</t>
  </si>
  <si>
    <t>Other</t>
  </si>
  <si>
    <t>Keck-II Instruments</t>
  </si>
  <si>
    <t>Scanned Probe Imaging and Development (SPID)</t>
  </si>
  <si>
    <t>Bruker Dimension FastScan Atomic Force Microscope</t>
  </si>
  <si>
    <t>Bruker Bioscope Resolve Life Science Imaging System</t>
  </si>
  <si>
    <t>Bruker ICON Atomic Force Microscope</t>
  </si>
  <si>
    <t>Horiba LabRam Confocal RAMAN Microscope</t>
  </si>
  <si>
    <t>B) Add Senior Personnel (10 Total)</t>
  </si>
  <si>
    <t>C) Add More Senior Personnel (15 Total)</t>
  </si>
  <si>
    <t>E) Add Equipment (5 Total)</t>
  </si>
  <si>
    <t>2.a(</t>
  </si>
  <si>
    <t>2.b(</t>
  </si>
  <si>
    <t>2.c(</t>
  </si>
  <si>
    <t>2.d(</t>
  </si>
  <si>
    <t>2.e(</t>
  </si>
  <si>
    <t>D) Add Other Professionals (5 Total)</t>
  </si>
  <si>
    <t>Outyear Changes Check
Sponsor Budget</t>
  </si>
  <si>
    <t>GSA</t>
  </si>
  <si>
    <t>unknown</t>
  </si>
  <si>
    <t>BP1
Sponsor</t>
  </si>
  <si>
    <t>BP2
Sponsor</t>
  </si>
  <si>
    <t>BP3
Sponsor</t>
  </si>
  <si>
    <t>BP4
Sponsor</t>
  </si>
  <si>
    <t>BP5
Sponsor</t>
  </si>
  <si>
    <t>BP1
Cost-Share</t>
  </si>
  <si>
    <t>BP2
Cost-Share</t>
  </si>
  <si>
    <t>BP3
Cost-Share</t>
  </si>
  <si>
    <t>BP4
Cost-Share</t>
  </si>
  <si>
    <t>BP5
Cost-Share</t>
  </si>
  <si>
    <t>Outyear Changes Check
Cost-Share Budget</t>
  </si>
  <si>
    <t>Title</t>
  </si>
  <si>
    <t>Cost-Share</t>
  </si>
  <si>
    <t>Third Party Cost-Share</t>
  </si>
  <si>
    <t>Cost-Share as % of Sponsor Costs</t>
  </si>
  <si>
    <t>Cost-Share as % of Project Costs</t>
  </si>
  <si>
    <t xml:space="preserve">Budget Period Start </t>
  </si>
  <si>
    <t xml:space="preserve">Budget Period End </t>
  </si>
  <si>
    <t>Person-Months</t>
  </si>
  <si>
    <t>NRSA</t>
  </si>
  <si>
    <t>Non-citizen temporary U.S. visa?</t>
  </si>
  <si>
    <t>Non-citizen permanent U.S. resident visa?</t>
  </si>
  <si>
    <t>U.S. citizen or non-citizen national?</t>
  </si>
  <si>
    <r>
      <t xml:space="preserve">What is your </t>
    </r>
    <r>
      <rPr>
        <b/>
        <sz val="11"/>
        <color theme="1"/>
        <rFont val="Times New Roman"/>
        <family val="1"/>
      </rPr>
      <t>citizenship</t>
    </r>
    <r>
      <rPr>
        <sz val="11"/>
        <color theme="1"/>
        <rFont val="Times New Roman"/>
        <family val="1"/>
      </rPr>
      <t>?</t>
    </r>
  </si>
  <si>
    <r>
      <t xml:space="preserve">Are there applications for </t>
    </r>
    <r>
      <rPr>
        <b/>
        <sz val="11"/>
        <color theme="1"/>
        <rFont val="Times New Roman"/>
        <family val="1"/>
      </rPr>
      <t>concurrent fellowship support</t>
    </r>
    <r>
      <rPr>
        <sz val="11"/>
        <color theme="1"/>
        <rFont val="Times New Roman"/>
        <family val="1"/>
      </rPr>
      <t>?</t>
    </r>
  </si>
  <si>
    <r>
      <t xml:space="preserve">Do you have </t>
    </r>
    <r>
      <rPr>
        <b/>
        <sz val="11"/>
        <color theme="1"/>
        <rFont val="Times New Roman"/>
        <family val="1"/>
      </rPr>
      <t>current or prior NRSA support</t>
    </r>
    <r>
      <rPr>
        <sz val="11"/>
        <color theme="1"/>
        <rFont val="Times New Roman"/>
        <family val="1"/>
      </rPr>
      <t>?</t>
    </r>
  </si>
  <si>
    <r>
      <t xml:space="preserve">What is the NRSA </t>
    </r>
    <r>
      <rPr>
        <b/>
        <u/>
        <sz val="11"/>
        <color rgb="FF0070C0"/>
        <rFont val="Times New Roman"/>
        <family val="1"/>
      </rPr>
      <t>field of training</t>
    </r>
    <r>
      <rPr>
        <sz val="11"/>
        <rFont val="Times New Roman"/>
        <family val="1"/>
      </rPr>
      <t>?</t>
    </r>
  </si>
  <si>
    <t>When did you start at Northwestern (mm/yyyy)?</t>
  </si>
  <si>
    <r>
      <t xml:space="preserve">What is your </t>
    </r>
    <r>
      <rPr>
        <b/>
        <sz val="11"/>
        <color theme="1"/>
        <rFont val="Times New Roman"/>
        <family val="1"/>
      </rPr>
      <t>expected completion date</t>
    </r>
    <r>
      <rPr>
        <sz val="11"/>
        <color theme="1"/>
        <rFont val="Times New Roman"/>
        <family val="1"/>
      </rPr>
      <t xml:space="preserve"> (mm/yyyy)?</t>
    </r>
  </si>
  <si>
    <r>
      <t xml:space="preserve">What is your </t>
    </r>
    <r>
      <rPr>
        <b/>
        <sz val="11"/>
        <color theme="1"/>
        <rFont val="Times New Roman"/>
        <family val="1"/>
      </rPr>
      <t>alternate phone number</t>
    </r>
    <r>
      <rPr>
        <sz val="11"/>
        <color theme="1"/>
        <rFont val="Times New Roman"/>
        <family val="1"/>
      </rPr>
      <t>?</t>
    </r>
  </si>
  <si>
    <r>
      <t xml:space="preserve">If you have a </t>
    </r>
    <r>
      <rPr>
        <b/>
        <sz val="11"/>
        <color theme="1"/>
        <rFont val="Times New Roman"/>
        <family val="1"/>
      </rPr>
      <t>co-sponsor</t>
    </r>
    <r>
      <rPr>
        <sz val="11"/>
        <color theme="1"/>
        <rFont val="Times New Roman"/>
        <family val="1"/>
      </rPr>
      <t>, who is it?</t>
    </r>
  </si>
  <si>
    <r>
      <t xml:space="preserve">Who is your </t>
    </r>
    <r>
      <rPr>
        <b/>
        <sz val="11"/>
        <color theme="1"/>
        <rFont val="Times New Roman"/>
        <family val="1"/>
      </rPr>
      <t>sponsor</t>
    </r>
    <r>
      <rPr>
        <sz val="11"/>
        <color theme="1"/>
        <rFont val="Times New Roman"/>
        <family val="1"/>
      </rPr>
      <t>?</t>
    </r>
  </si>
  <si>
    <t>S2S</t>
  </si>
  <si>
    <r>
      <t xml:space="preserve">Will there be </t>
    </r>
    <r>
      <rPr>
        <b/>
        <sz val="11"/>
        <color theme="1"/>
        <rFont val="Times New Roman"/>
        <family val="1"/>
      </rPr>
      <t>activities outside the U.S.</t>
    </r>
    <r>
      <rPr>
        <sz val="11"/>
        <color theme="1"/>
        <rFont val="Times New Roman"/>
        <family val="1"/>
      </rPr>
      <t xml:space="preserve"> or will there be partnership with </t>
    </r>
    <r>
      <rPr>
        <b/>
        <sz val="11"/>
        <color theme="1"/>
        <rFont val="Times New Roman"/>
        <family val="1"/>
      </rPr>
      <t>international collaborators</t>
    </r>
    <r>
      <rPr>
        <sz val="11"/>
        <color theme="1"/>
        <rFont val="Times New Roman"/>
        <family val="1"/>
      </rPr>
      <t>?</t>
    </r>
  </si>
  <si>
    <r>
      <t xml:space="preserve">Is the research performance site designated, or eligible to be designated, as a </t>
    </r>
    <r>
      <rPr>
        <b/>
        <sz val="11"/>
        <color theme="1"/>
        <rFont val="Times New Roman"/>
        <family val="1"/>
      </rPr>
      <t>historic place</t>
    </r>
    <r>
      <rPr>
        <sz val="11"/>
        <color theme="1"/>
        <rFont val="Times New Roman"/>
        <family val="1"/>
      </rPr>
      <t>?</t>
    </r>
  </si>
  <si>
    <r>
      <t xml:space="preserve">If an additional or a different </t>
    </r>
    <r>
      <rPr>
        <b/>
        <sz val="11"/>
        <color theme="1"/>
        <rFont val="Times New Roman"/>
        <family val="1"/>
      </rPr>
      <t>performance site</t>
    </r>
    <r>
      <rPr>
        <sz val="11"/>
        <color theme="1"/>
        <rFont val="Times New Roman"/>
        <family val="1"/>
      </rPr>
      <t xml:space="preserve"> is needed other than your standard office, specify.</t>
    </r>
  </si>
  <si>
    <r>
      <t xml:space="preserve">Will there be an </t>
    </r>
    <r>
      <rPr>
        <b/>
        <sz val="11"/>
        <color theme="1"/>
        <rFont val="Times New Roman"/>
        <family val="1"/>
      </rPr>
      <t>actual or potential impact on the environment</t>
    </r>
    <r>
      <rPr>
        <sz val="11"/>
        <color theme="1"/>
        <rFont val="Times New Roman"/>
        <family val="1"/>
      </rPr>
      <t xml:space="preserve"> (positive or negative)?</t>
    </r>
  </si>
  <si>
    <r>
      <t xml:space="preserve">Is </t>
    </r>
    <r>
      <rPr>
        <b/>
        <sz val="11"/>
        <color theme="1"/>
        <rFont val="Times New Roman"/>
        <family val="1"/>
      </rPr>
      <t>proprietary/privileged information</t>
    </r>
    <r>
      <rPr>
        <sz val="11"/>
        <color theme="1"/>
        <rFont val="Times New Roman"/>
        <family val="1"/>
      </rPr>
      <t xml:space="preserve"> included?</t>
    </r>
  </si>
  <si>
    <r>
      <t xml:space="preserve">If this is a resubmission, please list the </t>
    </r>
    <r>
      <rPr>
        <b/>
        <sz val="11"/>
        <color theme="1"/>
        <rFont val="Times New Roman"/>
        <family val="1"/>
      </rPr>
      <t>original proposal’s application ID</t>
    </r>
    <r>
      <rPr>
        <sz val="11"/>
        <color theme="1"/>
        <rFont val="Times New Roman"/>
        <family val="1"/>
      </rPr>
      <t xml:space="preserve"> (i.e., 1R21CA12345-01).</t>
    </r>
  </si>
  <si>
    <t>Standard</t>
  </si>
  <si>
    <r>
      <t xml:space="preserve">Does this study involve </t>
    </r>
    <r>
      <rPr>
        <b/>
        <sz val="11"/>
        <color theme="1"/>
        <rFont val="Times New Roman"/>
        <family val="1"/>
      </rPr>
      <t>human subjects research</t>
    </r>
    <r>
      <rPr>
        <sz val="11"/>
        <color theme="1"/>
        <rFont val="Times New Roman"/>
        <family val="1"/>
      </rPr>
      <t>, including dissemination of any surveys?</t>
    </r>
  </si>
  <si>
    <r>
      <t xml:space="preserve">Does this study involve </t>
    </r>
    <r>
      <rPr>
        <b/>
        <sz val="11"/>
        <color theme="1"/>
        <rFont val="Times New Roman"/>
        <family val="1"/>
      </rPr>
      <t>vertebrate animal subjects</t>
    </r>
    <r>
      <rPr>
        <sz val="11"/>
        <color theme="1"/>
        <rFont val="Times New Roman"/>
        <family val="1"/>
      </rPr>
      <t>?</t>
    </r>
  </si>
  <si>
    <r>
      <t xml:space="preserve">Does the research require the use of </t>
    </r>
    <r>
      <rPr>
        <b/>
        <sz val="11"/>
        <color theme="1"/>
        <rFont val="Times New Roman"/>
        <family val="1"/>
      </rPr>
      <t>compounds or materials from other universities or companies</t>
    </r>
    <r>
      <rPr>
        <sz val="11"/>
        <color theme="1"/>
        <rFont val="Times New Roman"/>
        <family val="1"/>
      </rPr>
      <t>?</t>
    </r>
  </si>
  <si>
    <r>
      <t xml:space="preserve">Is the research part of any current or past </t>
    </r>
    <r>
      <rPr>
        <b/>
        <sz val="11"/>
        <color theme="1"/>
        <rFont val="Times New Roman"/>
        <family val="1"/>
      </rPr>
      <t>industry collaboration</t>
    </r>
    <r>
      <rPr>
        <sz val="11"/>
        <color theme="1"/>
        <rFont val="Times New Roman"/>
        <family val="1"/>
      </rPr>
      <t>?</t>
    </r>
  </si>
  <si>
    <r>
      <t xml:space="preserve">Have any </t>
    </r>
    <r>
      <rPr>
        <b/>
        <sz val="11"/>
        <color theme="1"/>
        <rFont val="Times New Roman"/>
        <family val="1"/>
      </rPr>
      <t>inventions or patents</t>
    </r>
    <r>
      <rPr>
        <sz val="11"/>
        <color theme="1"/>
        <rFont val="Times New Roman"/>
        <family val="1"/>
      </rPr>
      <t xml:space="preserve"> related to this proposal been disclosed to the Technology Transfer Program (INVO) by project personnel?</t>
    </r>
  </si>
  <si>
    <r>
      <t xml:space="preserve">Does the proposed research involve the collection, derivation, or use of </t>
    </r>
    <r>
      <rPr>
        <b/>
        <sz val="11"/>
        <color theme="1"/>
        <rFont val="Times New Roman"/>
        <family val="1"/>
      </rPr>
      <t>human stem cells</t>
    </r>
    <r>
      <rPr>
        <sz val="11"/>
        <color theme="1"/>
        <rFont val="Times New Roman"/>
        <family val="1"/>
      </rPr>
      <t>?</t>
    </r>
  </si>
  <si>
    <r>
      <t xml:space="preserve">Will a </t>
    </r>
    <r>
      <rPr>
        <b/>
        <sz val="11"/>
        <color theme="1"/>
        <rFont val="Times New Roman"/>
        <family val="1"/>
      </rPr>
      <t>computer cluster</t>
    </r>
    <r>
      <rPr>
        <sz val="11"/>
        <color theme="1"/>
        <rFont val="Times New Roman"/>
        <family val="1"/>
      </rPr>
      <t xml:space="preserve"> be purchased for this project?</t>
    </r>
  </si>
  <si>
    <r>
      <t xml:space="preserve">Will any </t>
    </r>
    <r>
      <rPr>
        <b/>
        <sz val="11"/>
        <color theme="1"/>
        <rFont val="Times New Roman"/>
        <family val="1"/>
      </rPr>
      <t>additional space or renovation of space</t>
    </r>
    <r>
      <rPr>
        <sz val="11"/>
        <color theme="1"/>
        <rFont val="Times New Roman"/>
        <family val="1"/>
      </rPr>
      <t xml:space="preserve"> be required?</t>
    </r>
  </si>
  <si>
    <r>
      <t xml:space="preserve">Will any leaves/changes in </t>
    </r>
    <r>
      <rPr>
        <b/>
        <sz val="11"/>
        <color theme="1"/>
        <rFont val="Times New Roman"/>
        <family val="1"/>
      </rPr>
      <t>faculty responsibilities</t>
    </r>
    <r>
      <rPr>
        <sz val="11"/>
        <color theme="1"/>
        <rFont val="Times New Roman"/>
        <family val="1"/>
      </rPr>
      <t xml:space="preserve"> be required?</t>
    </r>
  </si>
  <si>
    <r>
      <t xml:space="preserve">If awarded, will the project require </t>
    </r>
    <r>
      <rPr>
        <b/>
        <sz val="11"/>
        <color theme="1"/>
        <rFont val="Times New Roman"/>
        <family val="1"/>
      </rPr>
      <t>multiple chartstrings</t>
    </r>
    <r>
      <rPr>
        <sz val="11"/>
        <color theme="1"/>
        <rFont val="Times New Roman"/>
        <family val="1"/>
      </rPr>
      <t xml:space="preserve"> set up?</t>
    </r>
  </si>
  <si>
    <t>LFH</t>
  </si>
  <si>
    <t>NUHS</t>
  </si>
  <si>
    <t>LCH</t>
  </si>
  <si>
    <t>RIC</t>
  </si>
  <si>
    <t>VA</t>
  </si>
  <si>
    <t>NMFF</t>
  </si>
  <si>
    <t>NMH</t>
  </si>
  <si>
    <t>If so, specify.</t>
  </si>
  <si>
    <r>
      <t xml:space="preserve">Does the project involve the use of facilities, staff, or patients of member institutions of the </t>
    </r>
    <r>
      <rPr>
        <b/>
        <sz val="11"/>
        <color theme="1"/>
        <rFont val="Times New Roman"/>
        <family val="1"/>
      </rPr>
      <t>McGaw Medical Center</t>
    </r>
    <r>
      <rPr>
        <sz val="11"/>
        <color theme="1"/>
        <rFont val="Times New Roman"/>
        <family val="1"/>
      </rPr>
      <t>?</t>
    </r>
  </si>
  <si>
    <r>
      <t xml:space="preserve">Will the majority of the research will be conducted </t>
    </r>
    <r>
      <rPr>
        <b/>
        <sz val="11"/>
        <color theme="1"/>
        <rFont val="Times New Roman"/>
        <family val="1"/>
      </rPr>
      <t>on campus or off campus</t>
    </r>
    <r>
      <rPr>
        <sz val="11"/>
        <color theme="1"/>
        <rFont val="Times New Roman"/>
        <family val="1"/>
      </rPr>
      <t>?</t>
    </r>
  </si>
  <si>
    <t>Project Dates</t>
  </si>
  <si>
    <t>PROPOSAL COMMITMENTS QUESTIONNAIRE</t>
  </si>
  <si>
    <t>Filter</t>
  </si>
  <si>
    <r>
      <t xml:space="preserve">What is your </t>
    </r>
    <r>
      <rPr>
        <b/>
        <sz val="11"/>
        <color theme="1"/>
        <rFont val="Times New Roman"/>
        <family val="1"/>
      </rPr>
      <t>CommonsID</t>
    </r>
    <r>
      <rPr>
        <sz val="11"/>
        <color theme="1"/>
        <rFont val="Times New Roman"/>
        <family val="1"/>
      </rPr>
      <t>?</t>
    </r>
  </si>
  <si>
    <t>Cost-Share Request</t>
  </si>
  <si>
    <t>Reg</t>
  </si>
  <si>
    <t>Registration</t>
  </si>
  <si>
    <t>Trip Total:</t>
  </si>
  <si>
    <t>Subaward I</t>
  </si>
  <si>
    <t>Subaward II</t>
  </si>
  <si>
    <t>Subaward III</t>
  </si>
  <si>
    <t>Subaward IV</t>
  </si>
  <si>
    <t>Subaward V</t>
  </si>
  <si>
    <t>Subaward VI</t>
  </si>
  <si>
    <t>Subaward VII</t>
  </si>
  <si>
    <t>Subaward VIII</t>
  </si>
  <si>
    <t>Subaward IX</t>
  </si>
  <si>
    <t>Subaward X</t>
  </si>
  <si>
    <t>Subaward XI</t>
  </si>
  <si>
    <t>Subaward XII</t>
  </si>
  <si>
    <t>Subaward Name</t>
  </si>
  <si>
    <t>Subaward PI</t>
  </si>
  <si>
    <t>Directs</t>
  </si>
  <si>
    <t>Indirects</t>
  </si>
  <si>
    <t>Total Direct Costs</t>
  </si>
  <si>
    <t>Enter the direct costs and indirect costs for each subaward for each year. These entries will drive the calculations of the Budget, as well as properly split out the total prime and subaward direct costs as required by certain sponsors such as NIH.</t>
  </si>
  <si>
    <t>Cumulative Total Direct Costs</t>
  </si>
  <si>
    <t>Subaward Cost-Share</t>
  </si>
  <si>
    <t>CUMULATIVE BUDGET</t>
  </si>
  <si>
    <t>CUMULATIVE</t>
  </si>
  <si>
    <t>TOTAL</t>
  </si>
  <si>
    <t>Total Cost-Shared</t>
  </si>
  <si>
    <t>This person has an 11-month appointment/a 10 month appointment. Effort percentage is thus based on 11/10 months rather than the standard 12 months.</t>
  </si>
  <si>
    <t>Materials and Supplies: Support is requested to cover the cost of expendable materials and supplies each year for # years. Materials and supplies include … Materials and supplies are requested for …</t>
  </si>
  <si>
    <t>Computer Services: Support is requested to cover the cost of computer services each year for # years. Computer services are requested for …</t>
  </si>
  <si>
    <t>58% MTDC 9/1/17 - 8/31/18 - Predetermined</t>
  </si>
  <si>
    <t>58% MTDC Beginning 9/1/18 - 8/31/19 and thereafter provisional</t>
  </si>
  <si>
    <t>68.9% MTDC Beginning 9/1/18 - 8/31/19 and thereafter provisional</t>
  </si>
  <si>
    <t>26% MTDC Beginning 9/1/18 - 8/31/19 and thereafter provisional - Off-Campus</t>
  </si>
  <si>
    <t>59% MTDC 9/1/17 - 8/31/18 - Predetermined; DoD Contract</t>
  </si>
  <si>
    <t>68.9% MTDC 9/1/17 - 8/31/18 - Predetermined</t>
  </si>
  <si>
    <t>26% MTDC 9/1/17 - 8/31/18 - Predetermined - Off-Campus</t>
  </si>
  <si>
    <t>Per sponsor guidelines, F&amp;A has been capped at the following rate:</t>
  </si>
  <si>
    <t>Per sponsor guidelines, no F&amp;A is allowed.</t>
  </si>
  <si>
    <t>#% MTDC</t>
  </si>
  <si>
    <t>#% TDC</t>
  </si>
  <si>
    <t>59% MTDC Beginning 9/1/18 - 8/31/19 and thereafter provisional; DoD Contract</t>
  </si>
  <si>
    <t>The grad student will work with the PI on completing Aim 1.</t>
  </si>
  <si>
    <t>/hr.</t>
  </si>
  <si>
    <t>School of Eng. &amp; Applied Sci.</t>
  </si>
  <si>
    <t>per Hour</t>
  </si>
  <si>
    <t>per Trainee</t>
  </si>
  <si>
    <t>per Trainee, per equipment</t>
  </si>
  <si>
    <t>Unit</t>
  </si>
  <si>
    <t>per hour</t>
  </si>
  <si>
    <t>Ball Wire Bonder (iBond5000)</t>
  </si>
  <si>
    <t>Doping p-type (Tystar furnace)</t>
  </si>
  <si>
    <t>Spinner/Bake Hoods</t>
  </si>
  <si>
    <t>Mask Aligner (Suss MJB4)</t>
  </si>
  <si>
    <t>Mask Aligner (Suss MABA6)</t>
  </si>
  <si>
    <t>per month</t>
  </si>
  <si>
    <t>as of 3/5/2018</t>
  </si>
  <si>
    <t>Self Serve</t>
  </si>
  <si>
    <t>Full Serve</t>
  </si>
  <si>
    <t>includes a stereotaxic with for rat or mouse,  gas adapters, and isoflurane vaporizer.</t>
  </si>
  <si>
    <t xml:space="preserve">Surgery: </t>
  </si>
  <si>
    <t>Med Associates startle system, 2 chambers simultaneously.</t>
  </si>
  <si>
    <t xml:space="preserve">Startle: </t>
  </si>
  <si>
    <t>thermal sensitivity test using an infrared beam and a glass floor, also provide  a set of von Frey hairs</t>
  </si>
  <si>
    <t xml:space="preserve">Plantar: </t>
  </si>
  <si>
    <t>5 lane TSE system (with shock floor)</t>
  </si>
  <si>
    <t xml:space="preserve">Rotorod: </t>
  </si>
  <si>
    <t>for people using our rooms, but not our equipment, i.e. they bring their own video camera for some behavior</t>
  </si>
  <si>
    <t xml:space="preserve">General Use: </t>
  </si>
  <si>
    <t xml:space="preserve"> Actimetrics FreezeFrame software, Coulbourn Hardware</t>
  </si>
  <si>
    <t>Fear:</t>
  </si>
  <si>
    <t>in house custom eyeblink conditioning system</t>
  </si>
  <si>
    <t xml:space="preserve">Eyeblink: </t>
  </si>
  <si>
    <t>Mouse Specifics treadmill- video digitzed footprints</t>
  </si>
  <si>
    <t xml:space="preserve">DigiGate: </t>
  </si>
  <si>
    <t>Actimetrics LimeLight Chambers (4 subjects in own chambers collected simultaneously)</t>
  </si>
  <si>
    <t xml:space="preserve">L-L: </t>
  </si>
  <si>
    <t>The lab collects the data- after they are certified to use the equipment</t>
  </si>
  <si>
    <t xml:space="preserve">Self Serve: </t>
  </si>
  <si>
    <t>The Core's technician does the training.</t>
  </si>
  <si>
    <t xml:space="preserve">Full Serve: </t>
  </si>
  <si>
    <t>NuWave 213 UP Laser Ablation (LA-ICP-MS), Additional to ICP-MS fees</t>
  </si>
  <si>
    <t>Perkin Elmer AAnalyst 800 (GFAAS)</t>
  </si>
  <si>
    <t>Dionex ICS 5000+ Ion Chromotography System</t>
  </si>
  <si>
    <t>Thermo ELEMENT2 High Resolution ICP-MS (HR-ICP-MS)</t>
  </si>
  <si>
    <t>Thermo iCAP 7600 (ICP-OES)</t>
  </si>
  <si>
    <t>Thermo iCAP Q (ICP-MS)</t>
  </si>
  <si>
    <t>Training, Assisted Usage, Sample Preparation and Analysis</t>
  </si>
  <si>
    <t>(*) rates charged per minute</t>
  </si>
  <si>
    <t>Typhoon Fluorimager*</t>
  </si>
  <si>
    <t>Surface Plasmon Resonance (limited access)</t>
  </si>
  <si>
    <t>Storm Phosphorimager*</t>
  </si>
  <si>
    <t>SEC-MALS-QELS  (limited access)</t>
  </si>
  <si>
    <t>PXi Chemiluminescence &amp; IR Imager*</t>
  </si>
  <si>
    <t>NanoDrop Spectrophotometer*</t>
  </si>
  <si>
    <t>NanoDrop 3300 Fluorimeter*</t>
  </si>
  <si>
    <t>LAS 4010 Gel Imager*</t>
  </si>
  <si>
    <t>Isothermal Titration Calorimeter (limited access)</t>
  </si>
  <si>
    <t>Training (one time)</t>
  </si>
  <si>
    <t xml:space="preserve">Instrument </t>
  </si>
  <si>
    <t>as of 3/5/18</t>
  </si>
  <si>
    <t>per Plate</t>
  </si>
  <si>
    <t>qPCR (Equipment Use)</t>
  </si>
  <si>
    <t>Price</t>
  </si>
  <si>
    <t>Equipment Use</t>
  </si>
  <si>
    <t>Staff Labor/Hour</t>
  </si>
  <si>
    <t>License seat</t>
  </si>
  <si>
    <t>Lasergene License</t>
  </si>
  <si>
    <t>Bioinformatics</t>
  </si>
  <si>
    <t>per Session</t>
  </si>
  <si>
    <t>Project Consulting</t>
  </si>
  <si>
    <t>Bioinformatics and Consultation</t>
  </si>
  <si>
    <t>per Sample</t>
  </si>
  <si>
    <t>Human Cell Line Authentication</t>
  </si>
  <si>
    <t>Human Cell Line Authentication Through STR Profiling</t>
  </si>
  <si>
    <t>DNA Extraction: 5-10ml Blood</t>
  </si>
  <si>
    <t>DNA Extraction &lt; 5ml Input</t>
  </si>
  <si>
    <t>Fragment Analyzer RNA/DNA Analysis</t>
  </si>
  <si>
    <t>per Chip</t>
  </si>
  <si>
    <t>Bioanalyzer DNA High Sensitivity Assay</t>
  </si>
  <si>
    <t>Bioanalyzer DNA 1K, RNA Nano/Pico Assay</t>
  </si>
  <si>
    <t xml:space="preserve">Qubit DNA/RNA Measurement </t>
  </si>
  <si>
    <t>DNA/RNA Nanodrop Measurement</t>
  </si>
  <si>
    <t>Sample QC</t>
  </si>
  <si>
    <t>Check NUcore</t>
  </si>
  <si>
    <t>Traditional Sequencing through ACGT: Premium Option</t>
  </si>
  <si>
    <t>Traditional Sequencing through ACGT: Standard Option</t>
  </si>
  <si>
    <t>Traditional Sequencing through ACGT: Low Cost Option</t>
  </si>
  <si>
    <t>Illumina Genotyping or MethylationEPIC Microarray Processing</t>
  </si>
  <si>
    <t>Affymetrix Microarray Processing</t>
  </si>
  <si>
    <t>Array Processing</t>
  </si>
  <si>
    <t>DNA Fragmentation on Covaris</t>
  </si>
  <si>
    <t>DNA Size Selection for Next-Gen Sequencing</t>
  </si>
  <si>
    <t>NGS Sample Prep</t>
  </si>
  <si>
    <t>Sequencing Library qPCR Quantification</t>
  </si>
  <si>
    <t>ATAC-Seq Library Prep</t>
  </si>
  <si>
    <t>Exome Sequencing Library Prep</t>
  </si>
  <si>
    <t>TruSeq ChIP-Seq Library Prep</t>
  </si>
  <si>
    <t xml:space="preserve">ImmunoSEQ Library Prep from Tissue </t>
  </si>
  <si>
    <t>Human Mitochondrial DNA Enrichment and Sequencing Library Prep</t>
  </si>
  <si>
    <t>Nextera XT DNA Library Prep</t>
  </si>
  <si>
    <t>DNA Methyl-Seq Library Prep</t>
  </si>
  <si>
    <t>TruSeq DNA Nano/ PCR-Free Library Prep</t>
  </si>
  <si>
    <t>Low-Input Small RNA-Seq Library Prep</t>
  </si>
  <si>
    <t>TruSeq Small RNA-Seq Library Prep</t>
  </si>
  <si>
    <t>Single-Cell RNA-Seq High-Throughput Library Prep</t>
  </si>
  <si>
    <t>Single-Cell Manual RNA-Seq Customization and Optimization</t>
  </si>
  <si>
    <t>Single-Cell Manual/ Ultra-Low-Input RNA-Seq Library Prep</t>
  </si>
  <si>
    <t>Low-Input RNA-Seq Library Prep</t>
  </si>
  <si>
    <t>TruSeq Total RNA-Seq Library Prep</t>
  </si>
  <si>
    <t>TruSeq mRNA-Seq Library Prep</t>
  </si>
  <si>
    <t xml:space="preserve">QuantSeq 3' mRNA-Seq Library Prep </t>
  </si>
  <si>
    <t>NGS Library Prep</t>
  </si>
  <si>
    <t>per Quarter Run</t>
  </si>
  <si>
    <t>150bp, PE, MT, 66 million reads</t>
  </si>
  <si>
    <t>150bp, PE, HT, 200 million reads</t>
  </si>
  <si>
    <t>75bp, PE, MT, 66 million reads</t>
  </si>
  <si>
    <t>75bp, Paired-End Reads, HT, 200 million reads</t>
  </si>
  <si>
    <t>150bp, SR, Mid-Throughput, 33 million reads</t>
  </si>
  <si>
    <t>150bp, SR, HT, 100 million reads</t>
  </si>
  <si>
    <t>75bp, Single Reads, High-Throughput, 100 million reads</t>
  </si>
  <si>
    <t>NextSeq 500 Sequencing</t>
  </si>
  <si>
    <t>per Flowcell</t>
  </si>
  <si>
    <t>2x250bp Sequencing, v2 Nano, 1 million reads</t>
  </si>
  <si>
    <t>1x300bp or 2x150bp Sequencing, v2 Nano, 1 million reads</t>
  </si>
  <si>
    <t>1x300bp or 2x150bp Sequencing, v2, Micro, 4 million reads</t>
  </si>
  <si>
    <t>2x250bp Sequencing, v2, 15 million reads</t>
  </si>
  <si>
    <t>1x300bp or 2x150 Sequencing, v2, 15 million reads</t>
  </si>
  <si>
    <t>1x50bp Sequencing, v2, 15 million reads</t>
  </si>
  <si>
    <t>1x300bp or 2x300bp Sequencing, v3, 25 million reads</t>
  </si>
  <si>
    <t>1x150bp or 2x75bp Sequencing, v3, 25 million reads</t>
  </si>
  <si>
    <t>MiSeq Sequencing</t>
  </si>
  <si>
    <t>per Lane</t>
  </si>
  <si>
    <t>150bp, PE, 600-800 million reads</t>
  </si>
  <si>
    <t>100bp, PE, 600-800 million reads</t>
  </si>
  <si>
    <t>50bp, Paired-End Reads, 600-800 million reads</t>
  </si>
  <si>
    <t>150bp, SR, 300-400 million reads</t>
  </si>
  <si>
    <t>100bp, SR, 300-400 million reads</t>
  </si>
  <si>
    <t>50bp, Single Reads, 300-400 million reads</t>
  </si>
  <si>
    <t>HiSeq 4000 Sequencing </t>
  </si>
  <si>
    <t>Training and Constutation</t>
  </si>
  <si>
    <t>Correlated Solutions DIC Rental</t>
  </si>
  <si>
    <t>/sample</t>
  </si>
  <si>
    <t>Impact Tester Rental</t>
  </si>
  <si>
    <t>System Rental</t>
  </si>
  <si>
    <t>Portable Test</t>
  </si>
  <si>
    <t>Tensile Testing Systems Rental</t>
  </si>
  <si>
    <t>Internal Rates</t>
  </si>
  <si>
    <t>Equipment Rental and Services</t>
  </si>
  <si>
    <t>per tube</t>
  </si>
  <si>
    <t>Poster tube</t>
  </si>
  <si>
    <t>per linear inch</t>
  </si>
  <si>
    <t>HP5500PS 42” Poster Printer</t>
  </si>
  <si>
    <t>Poster Printing</t>
  </si>
  <si>
    <t>Add On: Micromanipulators</t>
  </si>
  <si>
    <t>n/a</t>
  </si>
  <si>
    <t>Inverted Color Microscope</t>
  </si>
  <si>
    <t>Time Used</t>
  </si>
  <si>
    <t>Inverted Fluorescent Microscope</t>
  </si>
  <si>
    <t>Add On: SpectraPhysics MaiTai laser</t>
  </si>
  <si>
    <t>Zeiss LSM510 Inverted Confocal</t>
  </si>
  <si>
    <t>Assistance</t>
  </si>
  <si>
    <t>Overnight</t>
  </si>
  <si>
    <t>Evening &amp; Weekend</t>
  </si>
  <si>
    <t>Daytime (M-F)</t>
  </si>
  <si>
    <t>Instruments in CAMI in Silverman Hall</t>
  </si>
  <si>
    <t>Leica Brightfield Microscope</t>
  </si>
  <si>
    <t>Olympus BX53</t>
  </si>
  <si>
    <t>Leica DM6B Fluorescent Microscope</t>
  </si>
  <si>
    <t>Zeiss LSM510 Meta with FCS</t>
  </si>
  <si>
    <t>Deltavision Elite</t>
  </si>
  <si>
    <t>Add On: iLAS2 FRAP/TIRF module</t>
  </si>
  <si>
    <t>Leica SP5 Scanning Confocal</t>
  </si>
  <si>
    <t>Instruments in Hogan Hall</t>
  </si>
  <si>
    <t>Tera-Print M-series</t>
  </si>
  <si>
    <t>Bruker Photocurrent &amp; Thermal AFM</t>
  </si>
  <si>
    <t>HP DesignJet Z6200 42-in Poster Printer</t>
  </si>
  <si>
    <t>Gatan Double-Tilt Holder</t>
  </si>
  <si>
    <t>South Bay Technologies PC2000 Plasma Cleaner</t>
  </si>
  <si>
    <t>Gatan 691 Precision Ion Polishing System</t>
  </si>
  <si>
    <t>Fischione 1010 Ion Beam Thinning</t>
  </si>
  <si>
    <t>Specimen Preparation</t>
  </si>
  <si>
    <t>LEO Gemini 1525 Scanning Electron Microscope</t>
  </si>
  <si>
    <t>FEI Quanta 650FEG Environmental SEM</t>
  </si>
  <si>
    <t>Hitachi SU8030 Field Emission SEM</t>
  </si>
  <si>
    <t>Hitachi H8100 TEM</t>
  </si>
  <si>
    <t>JEOL JEM-ARM300CF 300kV TEM</t>
  </si>
  <si>
    <t>JEOL JEM-ARM200CF 200kV Cs-Corrected STEM</t>
  </si>
  <si>
    <t>Leica EM ACE600 High Vacuum Coater</t>
  </si>
  <si>
    <t>Leica UC7/FC7 (and UltraCut) Ultramicrotomes</t>
  </si>
  <si>
    <t>CryoTransfer Holder - JEOL or Hitachi (per run)</t>
  </si>
  <si>
    <t>Pella BioWave Microwave Processor</t>
  </si>
  <si>
    <t>Tousimis Critical Point Dryer</t>
  </si>
  <si>
    <t>Emitech K775X Turbo Freeze Dryer (per run)</t>
  </si>
  <si>
    <t>FEI Vitrobot Mark III or Mark IV Vitrification Robot (per run)</t>
  </si>
  <si>
    <t>Leica HPM100 High Pressure Freezer (per run)</t>
  </si>
  <si>
    <t>Leica EM-Pact2 High-pressure Freezer (per run)</t>
  </si>
  <si>
    <t>Leica AFS2 Freeze Substitution (per run)</t>
  </si>
  <si>
    <t>BioCryo Specimen Preparation</t>
  </si>
  <si>
    <t>Hitachi HD-2300 Dual EDS Cryo STEM</t>
  </si>
  <si>
    <t>JEOL JEM-1230 120 kV TEM</t>
  </si>
  <si>
    <t>Hitachi S4800-II cFEG Cryo-SEM (per run)</t>
  </si>
  <si>
    <t>BioCryo Imaging &amp; Analysis</t>
  </si>
  <si>
    <t>per unit</t>
  </si>
  <si>
    <t>Varies</t>
  </si>
  <si>
    <t>Shipping of Media</t>
  </si>
  <si>
    <t>Data Recovery Due to User Error</t>
  </si>
  <si>
    <t>Jewel Cases</t>
  </si>
  <si>
    <t>DVD+/-R</t>
  </si>
  <si>
    <t>CD-R</t>
  </si>
  <si>
    <t>Glass Cell</t>
  </si>
  <si>
    <t>Microtip-array</t>
  </si>
  <si>
    <t>Copper Crimps</t>
  </si>
  <si>
    <t>Consumables, Materials and One Time Costs</t>
  </si>
  <si>
    <t>Arc Melter AM0.5</t>
  </si>
  <si>
    <t>Per Hour</t>
  </si>
  <si>
    <t>per 1 TB</t>
  </si>
  <si>
    <t>Quest Storage Service</t>
  </si>
  <si>
    <t>QUEST</t>
  </si>
  <si>
    <t>Date</t>
  </si>
  <si>
    <t>Description</t>
  </si>
  <si>
    <t>Added changelog, updated GSA rates</t>
  </si>
  <si>
    <t>M&amp;IE is charged at 75% on the first and last days of travel per Northwestern policy.</t>
  </si>
  <si>
    <t>Agency for Healthcare Research and Quality (AHRQ)</t>
  </si>
  <si>
    <t>Agency for Healthcare Research and Quality</t>
  </si>
  <si>
    <t>AHRQ</t>
  </si>
  <si>
    <t>Agency for Toxic Substances and Disease Registry (ATSDR)</t>
  </si>
  <si>
    <t>Agency for Toxic Substances and Disease Registry</t>
  </si>
  <si>
    <t>ATSDR</t>
  </si>
  <si>
    <t>Centers for Disease Control and Prevention (CDC)</t>
  </si>
  <si>
    <t>Centers for Disease Control and Prevention</t>
  </si>
  <si>
    <t>Centers for Disease Control</t>
  </si>
  <si>
    <t>CDC</t>
  </si>
  <si>
    <t>Food and Drug Administration (FDA)</t>
  </si>
  <si>
    <t>Food and Drug Administration</t>
  </si>
  <si>
    <t>FDA</t>
  </si>
  <si>
    <t>Centers for Medicare and Medicaid Services (CMS)</t>
  </si>
  <si>
    <t>Centers for Medicare and Medicaid Services</t>
  </si>
  <si>
    <t>CMS</t>
  </si>
  <si>
    <t>Indian Health Service (IHS)</t>
  </si>
  <si>
    <t>Indian Health Service</t>
  </si>
  <si>
    <t>IHS</t>
  </si>
  <si>
    <t>Office of the Assistant Secretary for Health (ASH)</t>
  </si>
  <si>
    <t>Office of the Assistant Secretary for Health</t>
  </si>
  <si>
    <t>ASH</t>
  </si>
  <si>
    <t>Office of the Secretary</t>
  </si>
  <si>
    <t>Program Support Center</t>
  </si>
  <si>
    <t>PSC</t>
  </si>
  <si>
    <t>Program Support Center (PSC)</t>
  </si>
  <si>
    <t>Substance Abuse and Mental Health Services Administration (SAMHSA)</t>
  </si>
  <si>
    <t>Substance Abuse and Mental Health Services Administration</t>
  </si>
  <si>
    <t>SAMHSA</t>
  </si>
  <si>
    <t>Office of the Assistant Secretary for Preparedness and Response</t>
  </si>
  <si>
    <t>ASPR</t>
  </si>
  <si>
    <t>Office of the Assistant Secretary for Preparedness and Response (ASPR)</t>
  </si>
  <si>
    <t>Updated HHS under Exc. II salary cap</t>
  </si>
  <si>
    <t>If NIH Salary Cap changes, update here.</t>
  </si>
  <si>
    <t>←</t>
  </si>
  <si>
    <t>NIH or other Sponsors using the HHS Salary Cap</t>
  </si>
  <si>
    <t>HHS Cap</t>
  </si>
  <si>
    <t>Professor ABC’s salary currently exceeds the HHS salary cap per recent guidelines. Professor ABC’s direct salary in this application has been restricted according to Executive Level II of the Federal Pay Scale.</t>
  </si>
  <si>
    <t>Updated Facility rate tables</t>
  </si>
  <si>
    <t>Other Sponsors using the HHS salary cap</t>
  </si>
  <si>
    <t>Other Agencies under the HHS using the salary cap</t>
  </si>
  <si>
    <t xml:space="preserve">Version </t>
  </si>
  <si>
    <t>Updated justification boilerplate language</t>
  </si>
  <si>
    <t>FINAL</t>
  </si>
  <si>
    <t>Updated Tuition for FY19</t>
  </si>
  <si>
    <t>Publication Costs: Support is requested to cover the cost of publications each year for # years.</t>
  </si>
  <si>
    <t>Minor fixes to budget justification</t>
  </si>
  <si>
    <t>Updated to DHHS rate agreement 6/22/2018</t>
  </si>
  <si>
    <t>changed colors on cost share tab</t>
  </si>
  <si>
    <t>Updated 'Estimated' to 'provisional in justification</t>
  </si>
  <si>
    <t># graduate student’s salary is requested each year for # years and is inflated by # each September. The Graduate School (TGS) has set FY 2020 PhD student Minimum Stipend Rates at $2,737 per month ($32,844 per year). The graduate student will …</t>
  </si>
  <si>
    <t>Added base salary rate for graduate students FY20</t>
  </si>
  <si>
    <t>NIH Recommended Stipend Levels</t>
  </si>
  <si>
    <t>Notice Number: NOT-OD-18-175</t>
  </si>
  <si>
    <t>Career Level</t>
  </si>
  <si>
    <t>Monthly Stipend</t>
  </si>
  <si>
    <t>Freshmen/Sophomores</t>
  </si>
  <si>
    <t>Juniors/Seniors</t>
  </si>
  <si>
    <t>FY 2018</t>
  </si>
  <si>
    <t>Predoctoral</t>
  </si>
  <si>
    <t>Postdoctoral</t>
  </si>
  <si>
    <t>7 or More</t>
  </si>
  <si>
    <t>Added NIH recommended stipends to rate tables</t>
  </si>
  <si>
    <t>Tuition: Support is requested to cover the cost of graduate student tuition each year for # years and is inflated #% each University fiscal year starting in September. Fiscal Year 2020's quarterly PI rate is $3,867. Total tuition requested in Budget Period # is $.</t>
  </si>
  <si>
    <t>FY 2020 TGS Rates</t>
  </si>
  <si>
    <t>Annual</t>
  </si>
  <si>
    <t>Full Tuition</t>
  </si>
  <si>
    <t>Adv. tuition</t>
  </si>
  <si>
    <t>PI rate</t>
  </si>
  <si>
    <t>Full RAS</t>
  </si>
  <si>
    <t>Adv. RAS</t>
  </si>
  <si>
    <t>Monthly</t>
  </si>
  <si>
    <t>Stipend</t>
  </si>
  <si>
    <t>Per NOT-OD-19-099, increased EX2 cap to $192,300</t>
  </si>
  <si>
    <t>Appointment months</t>
  </si>
  <si>
    <t>Professor McCormick</t>
  </si>
  <si>
    <r>
      <t>Appointment Type
(</t>
    </r>
    <r>
      <rPr>
        <sz val="8"/>
        <color rgb="FF0070C0"/>
        <rFont val="Garamond"/>
        <family val="1"/>
      </rPr>
      <t>3</t>
    </r>
    <r>
      <rPr>
        <sz val="8"/>
        <rFont val="Garamond"/>
        <family val="1"/>
      </rPr>
      <t xml:space="preserve">, </t>
    </r>
    <r>
      <rPr>
        <sz val="8"/>
        <color rgb="FF0070C0"/>
        <rFont val="Garamond"/>
        <family val="1"/>
      </rPr>
      <t>9</t>
    </r>
    <r>
      <rPr>
        <sz val="8"/>
        <rFont val="Garamond"/>
        <family val="1"/>
      </rPr>
      <t xml:space="preserve">, </t>
    </r>
    <r>
      <rPr>
        <sz val="8"/>
        <color rgb="FFFF0000"/>
        <rFont val="Garamond"/>
        <family val="1"/>
      </rPr>
      <t>10</t>
    </r>
    <r>
      <rPr>
        <sz val="8"/>
        <rFont val="Garamond"/>
        <family val="1"/>
      </rPr>
      <t xml:space="preserve">, </t>
    </r>
    <r>
      <rPr>
        <sz val="8"/>
        <color rgb="FFFF0000"/>
        <rFont val="Garamond"/>
        <family val="1"/>
      </rPr>
      <t>11</t>
    </r>
    <r>
      <rPr>
        <sz val="8"/>
        <rFont val="Garamond"/>
        <family val="1"/>
      </rPr>
      <t xml:space="preserve">, </t>
    </r>
    <r>
      <rPr>
        <sz val="8"/>
        <color rgb="FFFF0000"/>
        <rFont val="Garamond"/>
        <family val="1"/>
      </rPr>
      <t>12</t>
    </r>
    <r>
      <rPr>
        <sz val="8"/>
        <rFont val="Garamond"/>
        <family val="1"/>
      </rPr>
      <t xml:space="preserve"> months)</t>
    </r>
  </si>
  <si>
    <t>Per Solicitation requirement, hourly rates approximations are provided. Northwestern University does not bill, pay, or track effort by the hour. Records are maintained by personnel survey reports using percentage of effort in accordance with 2 CFR Part 200.</t>
  </si>
  <si>
    <t>Updated Justification to include language for PAPPG 20-1</t>
  </si>
  <si>
    <t>Updated fringe benefit rates for FY2020; updated Justification fringe benefit rates blank/populate logic; added if/then logic for "Total NU Direct Costs and Subaward Direct Costs"</t>
  </si>
  <si>
    <t>Updated Fringe Benefits language</t>
  </si>
  <si>
    <t>Updated fringe calculations</t>
  </si>
  <si>
    <t>Updated to DHHS rate agreement 09/20/2019</t>
  </si>
  <si>
    <t>Updated non-federal rates</t>
  </si>
  <si>
    <t>- Use the filter to the right for additional rows for personnel, equipment, and/or subks.
- Use the +/- icon above to hide/unhide the cost-share columns.
- Enter information (names, amounts, justifications, etc.) in the white cells. These entries will drive the calculations of the Budget and the descriptions will drive the text for the Budget Justification. Most outyear calculations will auto-populate based on BP1 entries.
- Unhide Column T to the right for examples of justification entries.
- Appointment Type and Person-Months are required for salary calculations. Summer appointments should get their own row.
- Sponsor is required for NIH cap calculations. Some non-NIH sponsors who also use the NIH cap that we are aware of have been included to the best of our ability.
- F&amp;A types can be updated by selecting the proper cells to the left. Template calculates at blended rates (see 'Lists' tab).
- Subaward Calculator should be used for subaward budgets.
- Travel Calculator can be used for more exact travel calculations (lodging, M&amp;IE, etc.). 
- Appendices have more information such as boilerplate budget justification text, labor hour calculations, and facilities rates.</t>
  </si>
  <si>
    <t>Fixed predetermine/provisional F&amp;A language in Budget Justification</t>
  </si>
  <si>
    <t>Fixed Cumulative Budget not adding in extra non-key personnel in L41 and L42</t>
  </si>
  <si>
    <t>Updated GSA base rates</t>
  </si>
  <si>
    <t>Updated Tuition for FY21</t>
  </si>
  <si>
    <t>Updated language and updated Tuition for FY20</t>
  </si>
  <si>
    <t>Removed AHA from salary cap.</t>
  </si>
  <si>
    <t>Per NOT-OD-20-065, increased EX2 cap to $197,300</t>
  </si>
  <si>
    <t>Indirect Costs:</t>
  </si>
  <si>
    <t>750 N. Lake Shore Drive</t>
  </si>
  <si>
    <t>Rubloff 7th Floor</t>
  </si>
  <si>
    <t>Chicago</t>
  </si>
  <si>
    <t>60611-4579</t>
  </si>
  <si>
    <t>Updated fringe benefit rates for FY21; updated Justification fringe benefit rates blank/populate logic; updated Grants.gov info</t>
  </si>
  <si>
    <t>Updated defaulted start date and GSA base rate</t>
  </si>
  <si>
    <t>Updated Tuition for FY22 and noted FY22 stipend rate</t>
  </si>
  <si>
    <t>Per NOT-HS-21-007, increased EX2 cap to $199,300</t>
  </si>
  <si>
    <t>SponsoredResearch@northwestern.edu</t>
  </si>
  <si>
    <t>Updated fringe benefit rates for FY22; updated Justification fringe benefit rates; updated Grants.gov info</t>
  </si>
  <si>
    <t>Per central office clarification, updated fringe benefit rates for FY23 and beyond to use provisional rates in rate agreement; updated Justification fringe benefit rates; updated Justification NSF's fiscal year language blank/populate logic</t>
  </si>
  <si>
    <t>Northwestern - Cash Cost-Share</t>
  </si>
  <si>
    <t>Northwestern - Fellowship Quarters</t>
  </si>
  <si>
    <t>Updated Tuition for FY23 and noted FY23 stipend rate</t>
  </si>
  <si>
    <t>Added cash and fellowship cost-share info to Summary to be more useful for reviewing totals and amounts</t>
  </si>
  <si>
    <t>Updated effort tables to keep as numbers rather than text on the summary sheets, also made a separate effort summary sheet</t>
  </si>
  <si>
    <t>Per NOT-OD-22-076, increased EX2 cap to $203,700</t>
  </si>
  <si>
    <t>Updated base per diem rate</t>
  </si>
  <si>
    <t>Printing to PDF updates only</t>
  </si>
  <si>
    <t>Total Sponsor Costs</t>
  </si>
  <si>
    <t>Northwestern Sponsor Costs</t>
  </si>
  <si>
    <t>Added NU only sponsor amount and NU only cost-share amount rows for cost-sharing clarifications</t>
  </si>
  <si>
    <t>Updated fringe benefit rates for FY23; updated Justification fringe benefit rates</t>
  </si>
  <si>
    <t>Total Northwestern Cost-Share</t>
  </si>
  <si>
    <t>Northwestern - Faculty In Kind</t>
  </si>
  <si>
    <t>Northwestern - Unrecovered F&amp;A</t>
  </si>
  <si>
    <t>Included cost-share summary rows for easier review</t>
  </si>
  <si>
    <t>Northwestern - Fellowships Total</t>
  </si>
  <si>
    <t xml:space="preserve">     Graduate Student Salary</t>
  </si>
  <si>
    <t xml:space="preserve">     Graduate Student Fringe</t>
  </si>
  <si>
    <t xml:space="preserve">     Graduate Student Tuition</t>
  </si>
  <si>
    <t>Miscellenaous minor formula corrections (e.g., outyears pulling from previous year rather than BP1 and cost-share summary rows adding all BPs)</t>
  </si>
  <si>
    <t>Per NOT-OD-23-056, increased EX2 cap to $212,100</t>
  </si>
  <si>
    <t>Noted FY24 stipend rate (tuition to be announced at a later time)</t>
  </si>
  <si>
    <t>Updated Tuition for FY24</t>
  </si>
  <si>
    <t>phone: 312-503-7955</t>
  </si>
  <si>
    <t>fax: 312-503-2234</t>
  </si>
  <si>
    <t>Fixed typo in BP4 costshare formula; changed SR contact in Appendix C</t>
  </si>
  <si>
    <t>Updated fringe benefit rates for FY24; updated Justification fringe benefit rates</t>
  </si>
  <si>
    <t>Sponsored Research</t>
  </si>
  <si>
    <t>https://www.northwestern.edu/asrsp/costing/fa-fringe-benefit-rates-and-space-survey.html</t>
  </si>
  <si>
    <t>Organizational DUNS, UEI, and CAGE (Evanston)</t>
  </si>
  <si>
    <t>160079455 / EXZVPWZBLUE8 / 39GV5</t>
  </si>
  <si>
    <t>1600794550000 / EXZVPWZBLUE8 / 39GV5</t>
  </si>
  <si>
    <t>Updated postdoc minimum to $56,484 per NIH's NRSA postdoc zero level</t>
  </si>
  <si>
    <t>Per NOT-OD-24-057, increased EX2 cap to $221,900</t>
  </si>
  <si>
    <t>Per Graduate Student Unionization Agreement, updating base stipends rate: https://nugradworkers.org/full-tentative-agreement-bc-recommendation/</t>
  </si>
  <si>
    <t>Per SR guidance, https://sponsoredresearch.northwestern.edu/docs/graduate-student-rates-sponsored-research.xlsx, updating tuition to keep in line with NIH Postdoctoral Level 0</t>
  </si>
  <si>
    <t>Also applied the above to the back-half of FY24</t>
  </si>
  <si>
    <t>Updated Tuition for Summer FY24 and for FY25</t>
  </si>
  <si>
    <t>Updated postdoc minimum to $61,008 per NIH's NRSA postdoc zero level</t>
  </si>
  <si>
    <t>Updated fringe benefit rates for FY25; updated Justification fringe benefit rates</t>
  </si>
  <si>
    <t>Organizational DUNS, UEI, and CAGE (Chicago)</t>
  </si>
  <si>
    <t>005436803  / KG76WYENL5K1 / 01725</t>
  </si>
  <si>
    <t>0054368030000  / KG76WYENL5K1 / 01725</t>
  </si>
  <si>
    <t>Per NOT-OD-25-085, increased EX2 cap to $225,700</t>
  </si>
  <si>
    <t>Advanced Research Projects Agency for Health</t>
  </si>
  <si>
    <t>ARPA-H</t>
  </si>
  <si>
    <t>Updated fringe benefit rates for FY26 based on projections; updated Justification fringe benefit rates; updated stipend and tuition rates for FY26; added ARPA-H to NIH salary cap check</t>
  </si>
  <si>
    <t>CERES Annualized Salary</t>
  </si>
  <si>
    <t>Sponsor NIH check:</t>
  </si>
  <si>
    <t>If NSF</t>
  </si>
  <si>
    <t>If NIH</t>
  </si>
  <si>
    <t>If DOE</t>
  </si>
  <si>
    <t>If DOD</t>
  </si>
  <si>
    <t>Added CERES annualized base salary column to BP1; updated Justification with NIH salary cap language and additional F&amp;A rate language for NSF, NIH, DOE, and DOD</t>
  </si>
  <si>
    <t>Cathy Barrera, Asst VP Sponsored Research</t>
  </si>
  <si>
    <t>At the date of budget preparation, the DOE policy announced in Policy Flash (PF 2025-22): Adjusting Department of Energy Grant Policy for Institutions of Higher Education (IHE) issued on April 11, 2025, limiting indirect cost recovery to a 15% rate has been enjoined. Therefore, our budget was prepared using Northwestern’s indirect cost rate under its Negotiated Indirect Cost Rate Agreement with DHHS.</t>
  </si>
  <si>
    <t>As of the date of this submission, the NIH Supplemental Guidance (NOT-OD-25-068) issued on February 7, 2025, limiting indirect cost recovery to a 15% rate has been enjoined. Therefore, our budget was prepared using Northwestern’s indirect cost rate under its Negotiated Indirect Cost Rate Agreement with DHHS.</t>
  </si>
  <si>
    <t>On May 2, 2025, NSF issued a policy stating that it would apply a standard indirect cost rate of 15% to all new NSF grants awarded to institutions of higher education on or after May 5, 2025. There is pending litigation in federal court seeking a stay of implementation of this policy (see Association of American Universities v. National Science Foundation (1:25-cv-11231) (D. Mass.)), which could result in the policy being rescinded, modified, invalidated, or otherwise found inapplicable to this grant proposal. Therefore, the budget submitted with this proposal was prepared using Northwestern’s indirect cost rate under its existing Negotiated Indirect Cost Rate Agreement with DHHS.</t>
  </si>
  <si>
    <t>In memoranda from Secretary of Defense Hegseth on May 14, 2025, and from Under Secretary of Defense Emil Michael on June 12, 2025, DoD announced a policy directing all DoD components to apply a 15% cap on indirect costs to all new and existing DoD grants awarded to institutions of higher education. Implementation of this policy has been temporarily enjoined and/or voluntarily paused pending litigation in federal court (see Association of American Universities, et al. v. Department of Defense, et al. (25-cv-11740) (D. Mass.)). Therefore, the budget submitted with this proposal was prepared using Northwestern’s indirect cost rate under its existing Negotiated Indirect Cost Rate Agreement with DHHS.</t>
  </si>
  <si>
    <t>Updated fringe benefits rates and language to reflect federal using FY25 provisionally and FY26 as proposed</t>
  </si>
  <si>
    <t>Effective January 11, 2026 (Executive Level II)</t>
  </si>
  <si>
    <t>Notice Number: NOT-OD-26-034</t>
  </si>
  <si>
    <t>Per NOT-OD-26-034, increased EX2 cap to $228,000</t>
  </si>
  <si>
    <t>F&amp;A:</t>
  </si>
  <si>
    <t>MTDC</t>
  </si>
  <si>
    <t>Updated graduate student salary and tuition rates for FY27; added a F&amp;A % of total project budget option and updated F&amp;A language in justification accordingly</t>
  </si>
  <si>
    <t>Removed additional federal agency-specific F&amp;A disclaimer language in Justification</t>
  </si>
  <si>
    <t>Updated postdoc minimum to $63,480 per NIH's NRSA postdoc zero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</si>
</sst>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00%"/>
    <numFmt numFmtId="165" formatCode="0."/>
    <numFmt numFmtId="166" formatCode="&quot;$&quot;#,##0"/>
    <numFmt numFmtId="167" formatCode="&quot;$&quot;#,##0.0"/>
    <numFmt numFmtId="168" formatCode="mmmm\ d\,\ yyyy"/>
    <numFmt numFmtId="169" formatCode="[$-409]mmmm\ d\,\ yyyy;@"/>
    <numFmt numFmtId="170" formatCode="0.0000"/>
    <numFmt numFmtId="171" formatCode="&quot;$&quot;#,##0.00"/>
    <numFmt numFmtId="172" formatCode="0\ &quot;Months&quot;"/>
    <numFmt numFmtId="173" formatCode="0;\-0;;@"/>
    <numFmt numFmtId="174" formatCode="&quot;$&quot;#,##0;\-0;;@"/>
    <numFmt numFmtId="175" formatCode="&quot;Budget Period&quot;\ 0"/>
    <numFmt numFmtId="176" formatCode="_(&quot;$&quot;* #,##0_);_(&quot;$&quot;* \(#,##0\);_(&quot;$&quot;* &quot;-&quot;??_);_(@_)"/>
    <numFmt numFmtId="177" formatCode="0\ &quot;Quarters&quot;"/>
  </numFmts>
  <fonts count="118">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eneva"/>
      <family val="2"/>
    </font>
    <font>
      <sz val="10"/>
      <name val="Geneva"/>
      <family val="2"/>
    </font>
    <font>
      <sz val="10"/>
      <name val="Times"/>
      <family val="1"/>
    </font>
    <font>
      <sz val="10"/>
      <name val="Helv"/>
    </font>
    <font>
      <sz val="6"/>
      <name val="Geneva"/>
      <family val="2"/>
    </font>
    <font>
      <u/>
      <sz val="10"/>
      <color indexed="12"/>
      <name val="Geneva"/>
      <family val="2"/>
    </font>
    <font>
      <b/>
      <sz val="12"/>
      <name val="Garamond"/>
      <family val="1"/>
    </font>
    <font>
      <sz val="10"/>
      <name val="Garamond"/>
      <family val="1"/>
    </font>
    <font>
      <sz val="6"/>
      <name val="Garamond"/>
      <family val="1"/>
    </font>
    <font>
      <sz val="8"/>
      <name val="Garamond"/>
      <family val="1"/>
    </font>
    <font>
      <sz val="9"/>
      <name val="Garamond"/>
      <family val="1"/>
    </font>
    <font>
      <b/>
      <sz val="10"/>
      <name val="Garamond"/>
      <family val="1"/>
    </font>
    <font>
      <sz val="11"/>
      <name val="Garamond"/>
      <family val="1"/>
    </font>
    <font>
      <sz val="10"/>
      <name val="Arial"/>
      <family val="2"/>
    </font>
    <font>
      <b/>
      <sz val="10"/>
      <name val="Arial"/>
      <family val="2"/>
    </font>
    <font>
      <sz val="9"/>
      <name val="Arial"/>
      <family val="2"/>
    </font>
    <font>
      <sz val="9"/>
      <color indexed="20"/>
      <name val="Arial"/>
      <family val="2"/>
    </font>
    <font>
      <b/>
      <sz val="9"/>
      <name val="Arial"/>
      <family val="2"/>
    </font>
    <font>
      <sz val="8"/>
      <name val="Helv"/>
    </font>
    <font>
      <sz val="11"/>
      <name val="Arial"/>
      <family val="2"/>
    </font>
    <font>
      <b/>
      <sz val="11"/>
      <name val="Arial"/>
      <family val="2"/>
    </font>
    <font>
      <i/>
      <sz val="11"/>
      <name val="Arial"/>
      <family val="2"/>
    </font>
    <font>
      <b/>
      <sz val="12"/>
      <name val="Geneva"/>
      <family val="2"/>
    </font>
    <font>
      <b/>
      <u/>
      <sz val="10"/>
      <name val="Geneva"/>
      <family val="2"/>
    </font>
    <font>
      <b/>
      <sz val="8"/>
      <name val="Garamond"/>
      <family val="1"/>
    </font>
    <font>
      <sz val="9"/>
      <color indexed="8"/>
      <name val="Arial"/>
      <family val="2"/>
    </font>
    <font>
      <u/>
      <sz val="9"/>
      <color indexed="8"/>
      <name val="Arial"/>
      <family val="2"/>
    </font>
    <font>
      <sz val="8"/>
      <name val="Geneva"/>
      <family val="2"/>
    </font>
    <font>
      <sz val="12"/>
      <name val="Garamond"/>
      <family val="1"/>
    </font>
    <font>
      <b/>
      <sz val="11"/>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Arial"/>
      <family val="2"/>
    </font>
    <font>
      <sz val="10"/>
      <name val="Geneva"/>
      <family val="2"/>
    </font>
    <font>
      <b/>
      <sz val="9"/>
      <color rgb="FFFF0000"/>
      <name val="Arial"/>
      <family val="2"/>
    </font>
    <font>
      <sz val="10"/>
      <color rgb="FFFF0000"/>
      <name val="Garamond"/>
      <family val="1"/>
    </font>
    <font>
      <u/>
      <sz val="11"/>
      <name val="Arial"/>
      <family val="2"/>
    </font>
    <font>
      <sz val="10"/>
      <color theme="0"/>
      <name val="Geneva"/>
      <family val="2"/>
    </font>
    <font>
      <b/>
      <sz val="10"/>
      <color rgb="FFFF0000"/>
      <name val="Geneva"/>
      <family val="2"/>
    </font>
    <font>
      <sz val="12"/>
      <color theme="0"/>
      <name val="Garamond"/>
      <family val="1"/>
    </font>
    <font>
      <b/>
      <sz val="6"/>
      <color rgb="FFFF0000"/>
      <name val="Garamond"/>
      <family val="1"/>
    </font>
    <font>
      <b/>
      <sz val="6"/>
      <color rgb="FF0070C0"/>
      <name val="Garamond"/>
      <family val="1"/>
    </font>
    <font>
      <b/>
      <sz val="10"/>
      <color rgb="FFFF0000"/>
      <name val="Garamond"/>
      <family val="1"/>
    </font>
    <font>
      <sz val="8"/>
      <color theme="0" tint="-4.9989318521683403E-2"/>
      <name val="Garamond"/>
      <family val="1"/>
    </font>
    <font>
      <b/>
      <sz val="8"/>
      <color rgb="FFFF0000"/>
      <name val="Garamond"/>
      <family val="1"/>
    </font>
    <font>
      <b/>
      <sz val="14"/>
      <name val="Garamond"/>
      <family val="1"/>
    </font>
    <font>
      <b/>
      <sz val="8"/>
      <color rgb="FFFF0000"/>
      <name val="Geneva"/>
      <family val="2"/>
    </font>
    <font>
      <sz val="11"/>
      <name val="Geneva"/>
      <family val="2"/>
    </font>
    <font>
      <u/>
      <sz val="11"/>
      <name val="Geneva"/>
      <family val="2"/>
    </font>
    <font>
      <sz val="8"/>
      <color rgb="FF0070C0"/>
      <name val="Garamond"/>
      <family val="1"/>
    </font>
    <font>
      <sz val="8"/>
      <color rgb="FFFF0000"/>
      <name val="Garamond"/>
      <family val="1"/>
    </font>
    <font>
      <b/>
      <sz val="6"/>
      <color rgb="FF7030A0"/>
      <name val="Garamond"/>
      <family val="1"/>
    </font>
    <font>
      <b/>
      <sz val="12"/>
      <color rgb="FFFF0000"/>
      <name val="Garamond"/>
      <family val="1"/>
    </font>
    <font>
      <sz val="12"/>
      <color rgb="FFFF0000"/>
      <name val="Garamond"/>
      <family val="1"/>
    </font>
    <font>
      <b/>
      <sz val="6"/>
      <name val="Garamond"/>
      <family val="1"/>
    </font>
    <font>
      <b/>
      <sz val="11"/>
      <color theme="1"/>
      <name val="Calibri"/>
      <family val="2"/>
      <scheme val="minor"/>
    </font>
    <font>
      <i/>
      <sz val="11"/>
      <color theme="1"/>
      <name val="Calibri"/>
      <family val="2"/>
      <scheme val="minor"/>
    </font>
    <font>
      <i/>
      <sz val="11"/>
      <name val="Calibri"/>
      <family val="2"/>
      <scheme val="minor"/>
    </font>
    <font>
      <b/>
      <sz val="11"/>
      <color theme="8"/>
      <name val="Calibri"/>
      <family val="2"/>
      <scheme val="minor"/>
    </font>
    <font>
      <b/>
      <i/>
      <sz val="11"/>
      <name val="Calibri"/>
      <family val="2"/>
      <scheme val="minor"/>
    </font>
    <font>
      <u/>
      <sz val="11"/>
      <color theme="10"/>
      <name val="Calibri"/>
      <family val="2"/>
      <scheme val="minor"/>
    </font>
    <font>
      <sz val="11"/>
      <name val="Calibri"/>
      <family val="2"/>
      <scheme val="minor"/>
    </font>
    <font>
      <b/>
      <sz val="24"/>
      <color rgb="FFFF0000"/>
      <name val="Garamond"/>
      <family val="1"/>
    </font>
    <font>
      <b/>
      <sz val="10"/>
      <name val="Geneva"/>
    </font>
    <font>
      <b/>
      <sz val="10"/>
      <color theme="0"/>
      <name val="Geneva"/>
    </font>
    <font>
      <sz val="11"/>
      <color theme="0"/>
      <name val="Garamond"/>
      <family val="1"/>
    </font>
    <font>
      <b/>
      <sz val="14"/>
      <name val="Arial"/>
      <family val="2"/>
    </font>
    <font>
      <b/>
      <sz val="10"/>
      <color rgb="FF0070C0"/>
      <name val="Garamond"/>
      <family val="1"/>
    </font>
    <font>
      <b/>
      <sz val="10"/>
      <color rgb="FFFF0000"/>
      <name val="Geneva"/>
    </font>
    <font>
      <b/>
      <sz val="16"/>
      <color rgb="FFFF0000"/>
      <name val="Garamond"/>
      <family val="1"/>
    </font>
    <font>
      <b/>
      <sz val="8"/>
      <color rgb="FF0070C0"/>
      <name val="Garamond"/>
      <family val="1"/>
    </font>
    <font>
      <sz val="11"/>
      <color theme="1"/>
      <name val="Times New Roman"/>
      <family val="1"/>
    </font>
    <font>
      <sz val="11"/>
      <color theme="1"/>
      <name val="Comic Sans MS"/>
      <family val="4"/>
    </font>
    <font>
      <b/>
      <sz val="11"/>
      <color theme="1"/>
      <name val="Times New Roman"/>
      <family val="1"/>
    </font>
    <font>
      <sz val="11"/>
      <name val="Times New Roman"/>
      <family val="1"/>
    </font>
    <font>
      <b/>
      <u/>
      <sz val="11"/>
      <color rgb="FF0070C0"/>
      <name val="Times New Roman"/>
      <family val="1"/>
    </font>
    <font>
      <b/>
      <sz val="24"/>
      <color theme="1"/>
      <name val="Times New Roman"/>
      <family val="1"/>
    </font>
    <font>
      <b/>
      <sz val="11"/>
      <color rgb="FFFF0000"/>
      <name val="Times New Roman"/>
      <family val="1"/>
    </font>
    <font>
      <sz val="10"/>
      <color theme="1"/>
      <name val="Times New Roman"/>
      <family val="1"/>
    </font>
    <font>
      <sz val="11"/>
      <color theme="0"/>
      <name val="Times New Roman"/>
      <family val="1"/>
    </font>
    <font>
      <u/>
      <sz val="11"/>
      <color theme="1"/>
      <name val="Comic Sans MS"/>
      <family val="4"/>
    </font>
    <font>
      <b/>
      <sz val="9"/>
      <name val="Garamond"/>
      <family val="1"/>
    </font>
    <font>
      <sz val="9"/>
      <color theme="1"/>
      <name val="Garamond"/>
      <family val="1"/>
    </font>
    <font>
      <b/>
      <sz val="11"/>
      <color theme="1"/>
      <name val="Garamond"/>
      <family val="1"/>
    </font>
    <font>
      <sz val="11"/>
      <name val="Geneva"/>
    </font>
    <font>
      <b/>
      <sz val="11"/>
      <name val="Geneva"/>
    </font>
    <font>
      <b/>
      <sz val="11"/>
      <name val="Geneva"/>
      <family val="2"/>
    </font>
    <font>
      <u/>
      <sz val="10"/>
      <color theme="10"/>
      <name val="Geneva"/>
    </font>
    <font>
      <u/>
      <sz val="11"/>
      <color theme="10"/>
      <name val="Arial"/>
      <family val="2"/>
    </font>
    <font>
      <sz val="10"/>
      <name val="Calibri"/>
      <family val="2"/>
    </font>
    <font>
      <sz val="8"/>
      <color theme="1"/>
      <name val="Garamond"/>
      <family val="1"/>
    </font>
    <font>
      <sz val="10"/>
      <color theme="0"/>
      <name val="Geneva"/>
    </font>
    <font>
      <sz val="10"/>
      <color rgb="FF0070C0"/>
      <name val="Garamond"/>
      <family val="1"/>
    </font>
    <font>
      <sz val="10"/>
      <color rgb="FF7030A0"/>
      <name val="Garamond"/>
      <family val="1"/>
    </font>
    <font>
      <b/>
      <strike/>
      <u/>
      <sz val="10"/>
      <name val="Geneva"/>
    </font>
    <font>
      <strike/>
      <sz val="10"/>
      <name val="Geneva"/>
    </font>
    <font>
      <sz val="11"/>
      <color theme="0" tint="-4.9989318521683403E-2"/>
      <name val="Garamond"/>
      <family val="1"/>
    </font>
    <font>
      <b/>
      <sz val="8"/>
      <color theme="0" tint="-4.9989318521683403E-2"/>
      <name val="Garamond"/>
      <family val="1"/>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indexed="65"/>
        <bgColor indexed="64"/>
      </patternFill>
    </fill>
    <fill>
      <patternFill patternType="solid">
        <fgColor theme="6" tint="0.79998168889431442"/>
        <bgColor indexed="64"/>
      </patternFill>
    </fill>
    <fill>
      <patternFill patternType="gray125">
        <bgColor theme="7" tint="0.39991454817346722"/>
      </patternFill>
    </fill>
    <fill>
      <patternFill patternType="gray125">
        <bgColor theme="7" tint="0.79998168889431442"/>
      </patternFill>
    </fill>
  </fills>
  <borders count="1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bottom style="thin">
        <color rgb="FFFF0000"/>
      </bottom>
      <diagonal/>
    </border>
    <border>
      <left style="thin">
        <color theme="0" tint="-0.24994659260841701"/>
      </left>
      <right/>
      <top/>
      <bottom style="thin">
        <color rgb="FFFF0000"/>
      </bottom>
      <diagonal/>
    </border>
    <border>
      <left/>
      <right style="thin">
        <color theme="0" tint="-0.24994659260841701"/>
      </right>
      <top/>
      <bottom style="thin">
        <color rgb="FFFF0000"/>
      </bottom>
      <diagonal/>
    </border>
    <border>
      <left/>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theme="9" tint="-0.24994659260841701"/>
      </left>
      <right/>
      <top/>
      <bottom/>
      <diagonal/>
    </border>
    <border>
      <left/>
      <right style="thin">
        <color theme="9" tint="-0.24994659260841701"/>
      </right>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style="double">
        <color indexed="64"/>
      </top>
      <bottom style="thin">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54">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1" applyNumberFormat="0" applyAlignment="0" applyProtection="0"/>
    <xf numFmtId="0" fontId="39" fillId="21" borderId="2" applyNumberFormat="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10"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22" borderId="0" applyNumberFormat="0" applyBorder="0" applyAlignment="0" applyProtection="0"/>
    <xf numFmtId="0" fontId="6" fillId="0" borderId="0"/>
    <xf numFmtId="0" fontId="35" fillId="0" borderId="0"/>
    <xf numFmtId="0" fontId="18" fillId="0" borderId="0"/>
    <xf numFmtId="0" fontId="18" fillId="0" borderId="0"/>
    <xf numFmtId="0" fontId="35" fillId="23" borderId="7" applyNumberFormat="0" applyFont="0" applyAlignment="0" applyProtection="0"/>
    <xf numFmtId="0" fontId="48" fillId="20" borderId="8"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0" borderId="0" applyNumberFormat="0" applyFill="0" applyBorder="0" applyAlignment="0" applyProtection="0"/>
    <xf numFmtId="44" fontId="53" fillId="0" borderId="0" applyFont="0" applyFill="0" applyBorder="0" applyAlignment="0" applyProtection="0"/>
    <xf numFmtId="9" fontId="53" fillId="0" borderId="0" applyFont="0" applyFill="0" applyBorder="0" applyAlignment="0" applyProtection="0"/>
    <xf numFmtId="0" fontId="4" fillId="0" borderId="0"/>
    <xf numFmtId="0" fontId="80" fillId="0" borderId="0" applyNumberFormat="0" applyFill="0" applyBorder="0" applyAlignment="0" applyProtection="0"/>
    <xf numFmtId="0" fontId="2" fillId="0" borderId="0"/>
    <xf numFmtId="44" fontId="6" fillId="0" borderId="0" applyFont="0" applyFill="0" applyBorder="0" applyAlignment="0" applyProtection="0"/>
    <xf numFmtId="0" fontId="107" fillId="0" borderId="0" applyNumberFormat="0" applyFill="0" applyBorder="0" applyAlignment="0" applyProtection="0"/>
  </cellStyleXfs>
  <cellXfs count="1036">
    <xf numFmtId="0" fontId="0" fillId="0" borderId="0" xfId="0"/>
    <xf numFmtId="0" fontId="7" fillId="0" borderId="0" xfId="0" applyFont="1"/>
    <xf numFmtId="0" fontId="8" fillId="0" borderId="0" xfId="0" applyFont="1"/>
    <xf numFmtId="164" fontId="0" fillId="0" borderId="0" xfId="0" applyNumberFormat="1"/>
    <xf numFmtId="0" fontId="7" fillId="0" borderId="0" xfId="0" applyFont="1" applyAlignment="1">
      <alignment wrapText="1"/>
    </xf>
    <xf numFmtId="0" fontId="8" fillId="0" borderId="0" xfId="0" applyFont="1" applyAlignment="1">
      <alignment wrapText="1"/>
    </xf>
    <xf numFmtId="0" fontId="7" fillId="0" borderId="12" xfId="0" applyFont="1" applyBorder="1"/>
    <xf numFmtId="0" fontId="12" fillId="0" borderId="0" xfId="0" applyFont="1"/>
    <xf numFmtId="0" fontId="18" fillId="0" borderId="0" xfId="40"/>
    <xf numFmtId="0" fontId="19" fillId="24" borderId="22" xfId="40" applyFont="1" applyFill="1" applyBorder="1" applyAlignment="1">
      <alignment horizontal="right"/>
    </xf>
    <xf numFmtId="0" fontId="20" fillId="0" borderId="0" xfId="41" applyFont="1"/>
    <xf numFmtId="0" fontId="21" fillId="0" borderId="0" xfId="41" applyFont="1" applyAlignment="1">
      <alignment horizontal="center"/>
    </xf>
    <xf numFmtId="0" fontId="20" fillId="0" borderId="0" xfId="41" applyFont="1" applyAlignment="1">
      <alignment horizontal="center"/>
    </xf>
    <xf numFmtId="2" fontId="20" fillId="0" borderId="0" xfId="41" applyNumberFormat="1" applyFont="1"/>
    <xf numFmtId="0" fontId="18" fillId="0" borderId="0" xfId="41"/>
    <xf numFmtId="2" fontId="15" fillId="1" borderId="19" xfId="0" applyNumberFormat="1" applyFont="1" applyFill="1" applyBorder="1" applyAlignment="1">
      <alignment horizontal="right"/>
    </xf>
    <xf numFmtId="2" fontId="15" fillId="1" borderId="19" xfId="0" applyNumberFormat="1" applyFont="1" applyFill="1" applyBorder="1"/>
    <xf numFmtId="2" fontId="12" fillId="1" borderId="16" xfId="0" applyNumberFormat="1" applyFont="1" applyFill="1" applyBorder="1" applyAlignment="1">
      <alignment horizontal="right"/>
    </xf>
    <xf numFmtId="2" fontId="12" fillId="1" borderId="15" xfId="0" applyNumberFormat="1" applyFont="1" applyFill="1" applyBorder="1" applyAlignment="1">
      <alignment horizontal="right"/>
    </xf>
    <xf numFmtId="169" fontId="0" fillId="0" borderId="0" xfId="0" applyNumberFormat="1"/>
    <xf numFmtId="167" fontId="17" fillId="1" borderId="25" xfId="0" applyNumberFormat="1" applyFont="1" applyFill="1" applyBorder="1" applyAlignment="1">
      <alignment horizontal="left" indent="3"/>
    </xf>
    <xf numFmtId="5" fontId="17" fillId="1" borderId="27" xfId="0" applyNumberFormat="1" applyFont="1" applyFill="1" applyBorder="1" applyAlignment="1">
      <alignment horizontal="left" indent="3"/>
    </xf>
    <xf numFmtId="166" fontId="17" fillId="1" borderId="28" xfId="0" applyNumberFormat="1" applyFont="1" applyFill="1" applyBorder="1" applyAlignment="1">
      <alignment horizontal="left" indent="3"/>
    </xf>
    <xf numFmtId="5" fontId="17" fillId="1" borderId="29" xfId="0" applyNumberFormat="1" applyFont="1" applyFill="1" applyBorder="1" applyAlignment="1">
      <alignment horizontal="left" indent="3"/>
    </xf>
    <xf numFmtId="166" fontId="17" fillId="1" borderId="25" xfId="0" applyNumberFormat="1" applyFont="1" applyFill="1" applyBorder="1" applyAlignment="1">
      <alignment horizontal="left" indent="3"/>
    </xf>
    <xf numFmtId="166" fontId="0" fillId="0" borderId="0" xfId="0" applyNumberFormat="1"/>
    <xf numFmtId="166" fontId="17" fillId="1" borderId="19" xfId="0" applyNumberFormat="1" applyFont="1" applyFill="1" applyBorder="1"/>
    <xf numFmtId="0" fontId="17" fillId="1" borderId="30" xfId="0" applyFont="1" applyFill="1" applyBorder="1"/>
    <xf numFmtId="167" fontId="17" fillId="1" borderId="25" xfId="0" applyNumberFormat="1" applyFont="1" applyFill="1" applyBorder="1" applyAlignment="1">
      <alignment horizontal="center"/>
    </xf>
    <xf numFmtId="5" fontId="17" fillId="1" borderId="27" xfId="0" applyNumberFormat="1" applyFont="1" applyFill="1" applyBorder="1" applyAlignment="1">
      <alignment horizontal="center"/>
    </xf>
    <xf numFmtId="166" fontId="17" fillId="1" borderId="28" xfId="0" applyNumberFormat="1" applyFont="1" applyFill="1" applyBorder="1" applyAlignment="1">
      <alignment horizontal="center"/>
    </xf>
    <xf numFmtId="5" fontId="17" fillId="1" borderId="29" xfId="0" applyNumberFormat="1" applyFont="1" applyFill="1" applyBorder="1" applyAlignment="1">
      <alignment horizontal="center"/>
    </xf>
    <xf numFmtId="0" fontId="0" fillId="0" borderId="0" xfId="0" applyAlignment="1">
      <alignment wrapText="1"/>
    </xf>
    <xf numFmtId="0" fontId="27" fillId="0" borderId="14" xfId="0" applyFont="1" applyBorder="1"/>
    <xf numFmtId="0" fontId="27" fillId="0" borderId="15" xfId="0" applyFont="1" applyBorder="1"/>
    <xf numFmtId="0" fontId="0" fillId="0" borderId="16" xfId="0" applyBorder="1"/>
    <xf numFmtId="0" fontId="28" fillId="0" borderId="0" xfId="0" applyFont="1"/>
    <xf numFmtId="0" fontId="28" fillId="0" borderId="12" xfId="0" applyFont="1" applyBorder="1"/>
    <xf numFmtId="0" fontId="0" fillId="0" borderId="12" xfId="0" applyBorder="1"/>
    <xf numFmtId="0" fontId="0" fillId="0" borderId="12" xfId="0" applyBorder="1" applyAlignment="1">
      <alignment wrapText="1"/>
    </xf>
    <xf numFmtId="14" fontId="0" fillId="0" borderId="12" xfId="0" applyNumberFormat="1" applyBorder="1" applyAlignment="1">
      <alignment horizontal="left"/>
    </xf>
    <xf numFmtId="0" fontId="28" fillId="0" borderId="0" xfId="34" applyFont="1" applyAlignment="1" applyProtection="1">
      <alignment wrapText="1"/>
    </xf>
    <xf numFmtId="0" fontId="5" fillId="0" borderId="12" xfId="0" applyFont="1" applyBorder="1"/>
    <xf numFmtId="0" fontId="28" fillId="0" borderId="0" xfId="0" applyFont="1" applyAlignment="1">
      <alignment wrapText="1"/>
    </xf>
    <xf numFmtId="0" fontId="0" fillId="0" borderId="0" xfId="34" applyFont="1" applyAlignment="1" applyProtection="1">
      <alignment wrapText="1"/>
    </xf>
    <xf numFmtId="0" fontId="26" fillId="0" borderId="0" xfId="0" applyFont="1" applyAlignment="1">
      <alignment horizontal="left"/>
    </xf>
    <xf numFmtId="0" fontId="24" fillId="0" borderId="0" xfId="0" applyFont="1" applyAlignment="1">
      <alignment horizontal="left" vertical="top"/>
    </xf>
    <xf numFmtId="0" fontId="0" fillId="26" borderId="0" xfId="0" applyFill="1"/>
    <xf numFmtId="0" fontId="24" fillId="0" borderId="0" xfId="0" applyFont="1"/>
    <xf numFmtId="166" fontId="17" fillId="1" borderId="25" xfId="0" applyNumberFormat="1" applyFont="1" applyFill="1" applyBorder="1" applyAlignment="1">
      <alignment horizontal="left" vertical="center" indent="3"/>
    </xf>
    <xf numFmtId="166" fontId="17" fillId="1" borderId="27" xfId="0" applyNumberFormat="1" applyFont="1" applyFill="1" applyBorder="1" applyAlignment="1">
      <alignment horizontal="left" vertical="center" indent="3"/>
    </xf>
    <xf numFmtId="166" fontId="17" fillId="1" borderId="12" xfId="0" applyNumberFormat="1" applyFont="1" applyFill="1" applyBorder="1" applyAlignment="1">
      <alignment horizontal="left" vertical="center" indent="3"/>
    </xf>
    <xf numFmtId="166" fontId="17" fillId="1" borderId="11" xfId="0" applyNumberFormat="1" applyFont="1" applyFill="1" applyBorder="1" applyAlignment="1">
      <alignment horizontal="left" vertical="center" indent="3"/>
    </xf>
    <xf numFmtId="166" fontId="17" fillId="1" borderId="28" xfId="0" applyNumberFormat="1" applyFont="1" applyFill="1" applyBorder="1" applyAlignment="1">
      <alignment horizontal="left" vertical="center" indent="3"/>
    </xf>
    <xf numFmtId="166" fontId="17" fillId="1" borderId="29" xfId="0" applyNumberFormat="1" applyFont="1" applyFill="1" applyBorder="1" applyAlignment="1">
      <alignment horizontal="left" vertical="center" indent="3"/>
    </xf>
    <xf numFmtId="166" fontId="17" fillId="1" borderId="19" xfId="0" applyNumberFormat="1" applyFont="1" applyFill="1" applyBorder="1" applyAlignment="1">
      <alignment vertical="center"/>
    </xf>
    <xf numFmtId="166" fontId="17" fillId="1" borderId="30" xfId="0" applyNumberFormat="1" applyFont="1" applyFill="1" applyBorder="1" applyAlignment="1">
      <alignment vertical="center"/>
    </xf>
    <xf numFmtId="166" fontId="17" fillId="0" borderId="16" xfId="0" applyNumberFormat="1" applyFont="1" applyBorder="1" applyAlignment="1">
      <alignment vertical="center"/>
    </xf>
    <xf numFmtId="0" fontId="29" fillId="0" borderId="0" xfId="0" applyFont="1" applyAlignment="1">
      <alignment wrapText="1"/>
    </xf>
    <xf numFmtId="0" fontId="33" fillId="0" borderId="0" xfId="0" applyFont="1"/>
    <xf numFmtId="0" fontId="17" fillId="0" borderId="0" xfId="0" applyFont="1"/>
    <xf numFmtId="0" fontId="17" fillId="27" borderId="22" xfId="0" applyFont="1" applyFill="1" applyBorder="1"/>
    <xf numFmtId="0" fontId="17" fillId="0" borderId="22" xfId="0" applyFont="1" applyBorder="1"/>
    <xf numFmtId="0" fontId="17" fillId="0" borderId="24" xfId="0" applyFont="1" applyBorder="1"/>
    <xf numFmtId="166" fontId="17" fillId="0" borderId="0" xfId="0" applyNumberFormat="1" applyFont="1"/>
    <xf numFmtId="3" fontId="17" fillId="0" borderId="0" xfId="0" applyNumberFormat="1" applyFont="1"/>
    <xf numFmtId="0" fontId="34" fillId="27" borderId="22" xfId="0" applyFont="1" applyFill="1" applyBorder="1"/>
    <xf numFmtId="0" fontId="17" fillId="27" borderId="24" xfId="0" applyFont="1" applyFill="1" applyBorder="1"/>
    <xf numFmtId="0" fontId="26" fillId="0" borderId="0" xfId="0" applyFont="1"/>
    <xf numFmtId="0" fontId="25" fillId="0" borderId="0" xfId="0" applyFont="1"/>
    <xf numFmtId="0" fontId="24" fillId="0" borderId="23" xfId="0" applyFont="1" applyBorder="1" applyAlignment="1">
      <alignment wrapText="1"/>
    </xf>
    <xf numFmtId="49" fontId="24" fillId="0" borderId="23" xfId="0" applyNumberFormat="1" applyFont="1" applyBorder="1"/>
    <xf numFmtId="0" fontId="24" fillId="0" borderId="23" xfId="0" applyFont="1" applyBorder="1" applyAlignment="1">
      <alignment horizontal="left" vertical="top"/>
    </xf>
    <xf numFmtId="0" fontId="24" fillId="0" borderId="23" xfId="0" applyFont="1" applyBorder="1"/>
    <xf numFmtId="0" fontId="17" fillId="0" borderId="18" xfId="0" applyFont="1" applyBorder="1"/>
    <xf numFmtId="0" fontId="34" fillId="28" borderId="22" xfId="0" applyFont="1" applyFill="1" applyBorder="1"/>
    <xf numFmtId="166" fontId="0" fillId="29" borderId="0" xfId="0" applyNumberFormat="1" applyFill="1"/>
    <xf numFmtId="169" fontId="0" fillId="29" borderId="0" xfId="0" applyNumberFormat="1" applyFill="1"/>
    <xf numFmtId="0" fontId="0" fillId="29" borderId="0" xfId="0" applyFill="1"/>
    <xf numFmtId="0" fontId="9" fillId="0" borderId="0" xfId="0" applyFont="1"/>
    <xf numFmtId="10" fontId="0" fillId="0" borderId="0" xfId="0" applyNumberFormat="1"/>
    <xf numFmtId="10" fontId="18" fillId="0" borderId="24" xfId="40" applyNumberFormat="1" applyBorder="1"/>
    <xf numFmtId="169" fontId="6" fillId="29" borderId="0" xfId="0" applyNumberFormat="1" applyFont="1" applyFill="1"/>
    <xf numFmtId="0" fontId="18" fillId="26" borderId="0" xfId="40" applyFill="1" applyAlignment="1">
      <alignment horizontal="center"/>
    </xf>
    <xf numFmtId="10" fontId="18" fillId="0" borderId="22" xfId="40" applyNumberFormat="1" applyBorder="1"/>
    <xf numFmtId="10" fontId="18" fillId="0" borderId="0" xfId="40" applyNumberFormat="1"/>
    <xf numFmtId="10" fontId="18" fillId="29" borderId="22" xfId="40" applyNumberFormat="1" applyFill="1" applyBorder="1"/>
    <xf numFmtId="10" fontId="18" fillId="29" borderId="0" xfId="40" applyNumberFormat="1" applyFill="1"/>
    <xf numFmtId="10" fontId="18" fillId="29" borderId="37" xfId="40" applyNumberFormat="1" applyFill="1" applyBorder="1"/>
    <xf numFmtId="10" fontId="18" fillId="29" borderId="38" xfId="40" applyNumberFormat="1" applyFill="1" applyBorder="1"/>
    <xf numFmtId="10" fontId="18" fillId="29" borderId="39" xfId="40" applyNumberFormat="1" applyFill="1" applyBorder="1"/>
    <xf numFmtId="10" fontId="18" fillId="29" borderId="40" xfId="40" applyNumberFormat="1" applyFill="1" applyBorder="1"/>
    <xf numFmtId="10" fontId="18" fillId="29" borderId="41" xfId="40" applyNumberFormat="1" applyFill="1" applyBorder="1"/>
    <xf numFmtId="2" fontId="0" fillId="0" borderId="0" xfId="0" applyNumberFormat="1"/>
    <xf numFmtId="2" fontId="0" fillId="29" borderId="0" xfId="0" applyNumberFormat="1" applyFill="1"/>
    <xf numFmtId="2" fontId="18" fillId="0" borderId="0" xfId="40" applyNumberFormat="1"/>
    <xf numFmtId="2" fontId="6" fillId="29" borderId="0" xfId="0" applyNumberFormat="1" applyFont="1" applyFill="1"/>
    <xf numFmtId="2" fontId="6" fillId="0" borderId="0" xfId="0" applyNumberFormat="1" applyFont="1"/>
    <xf numFmtId="0" fontId="22" fillId="25" borderId="36" xfId="41" applyFont="1" applyFill="1" applyBorder="1" applyProtection="1">
      <protection locked="0"/>
    </xf>
    <xf numFmtId="0" fontId="20" fillId="0" borderId="23" xfId="41" applyFont="1" applyBorder="1"/>
    <xf numFmtId="2" fontId="22" fillId="31" borderId="36" xfId="41" applyNumberFormat="1" applyFont="1" applyFill="1" applyBorder="1" applyProtection="1">
      <protection locked="0"/>
    </xf>
    <xf numFmtId="2" fontId="22" fillId="30" borderId="36" xfId="41" applyNumberFormat="1" applyFont="1" applyFill="1" applyBorder="1" applyProtection="1">
      <protection locked="0"/>
    </xf>
    <xf numFmtId="0" fontId="54" fillId="0" borderId="0" xfId="41" applyFont="1"/>
    <xf numFmtId="2" fontId="15" fillId="1" borderId="22" xfId="0" applyNumberFormat="1" applyFont="1" applyFill="1" applyBorder="1"/>
    <xf numFmtId="10" fontId="24" fillId="0" borderId="0" xfId="48" applyNumberFormat="1" applyFont="1"/>
    <xf numFmtId="166" fontId="18" fillId="1" borderId="0" xfId="0" applyNumberFormat="1" applyFont="1" applyFill="1" applyAlignment="1">
      <alignment vertical="center"/>
    </xf>
    <xf numFmtId="2" fontId="12" fillId="1" borderId="42" xfId="0" applyNumberFormat="1" applyFont="1" applyFill="1" applyBorder="1" applyAlignment="1">
      <alignment horizontal="right"/>
    </xf>
    <xf numFmtId="0" fontId="8" fillId="1" borderId="0" xfId="0" applyFont="1" applyFill="1" applyAlignment="1">
      <alignment wrapText="1"/>
    </xf>
    <xf numFmtId="2" fontId="12" fillId="1" borderId="43" xfId="0" applyNumberFormat="1" applyFont="1" applyFill="1" applyBorder="1" applyAlignment="1">
      <alignment horizontal="right"/>
    </xf>
    <xf numFmtId="2" fontId="12" fillId="1" borderId="0" xfId="0" applyNumberFormat="1" applyFont="1" applyFill="1" applyAlignment="1">
      <alignment horizontal="right"/>
    </xf>
    <xf numFmtId="170" fontId="8" fillId="1" borderId="0" xfId="0" applyNumberFormat="1" applyFont="1" applyFill="1" applyAlignment="1">
      <alignment wrapText="1"/>
    </xf>
    <xf numFmtId="0" fontId="6" fillId="0" borderId="0" xfId="0" applyFont="1"/>
    <xf numFmtId="0" fontId="6" fillId="0" borderId="0" xfId="34" applyFont="1" applyAlignment="1" applyProtection="1">
      <alignment horizontal="left" wrapText="1"/>
    </xf>
    <xf numFmtId="0" fontId="6" fillId="0" borderId="0" xfId="0" applyFont="1" applyAlignment="1">
      <alignment wrapText="1"/>
    </xf>
    <xf numFmtId="0" fontId="59" fillId="0" borderId="0" xfId="0" applyFont="1"/>
    <xf numFmtId="0" fontId="57" fillId="0" borderId="0" xfId="0" applyFont="1"/>
    <xf numFmtId="5" fontId="0" fillId="0" borderId="0" xfId="0" applyNumberFormat="1"/>
    <xf numFmtId="0" fontId="58" fillId="0" borderId="51" xfId="0" applyFont="1" applyBorder="1" applyAlignment="1">
      <alignment horizontal="left" vertical="center"/>
    </xf>
    <xf numFmtId="0" fontId="58" fillId="0" borderId="51" xfId="0" applyFont="1" applyBorder="1"/>
    <xf numFmtId="2" fontId="20" fillId="32" borderId="0" xfId="41" applyNumberFormat="1" applyFont="1" applyFill="1"/>
    <xf numFmtId="0" fontId="20" fillId="32" borderId="0" xfId="41" applyFont="1" applyFill="1"/>
    <xf numFmtId="2" fontId="20" fillId="29" borderId="0" xfId="41" applyNumberFormat="1" applyFont="1" applyFill="1"/>
    <xf numFmtId="0" fontId="20" fillId="29" borderId="0" xfId="41" applyFont="1" applyFill="1"/>
    <xf numFmtId="0" fontId="30" fillId="29" borderId="0" xfId="41" applyFont="1" applyFill="1"/>
    <xf numFmtId="0" fontId="31" fillId="29" borderId="0" xfId="41" applyFont="1" applyFill="1"/>
    <xf numFmtId="0" fontId="30" fillId="29" borderId="23" xfId="41" applyFont="1" applyFill="1" applyBorder="1" applyAlignment="1">
      <alignment horizontal="left"/>
    </xf>
    <xf numFmtId="0" fontId="30" fillId="29" borderId="0" xfId="41" applyFont="1" applyFill="1" applyAlignment="1">
      <alignment horizontal="center"/>
    </xf>
    <xf numFmtId="0" fontId="30" fillId="29" borderId="14" xfId="41" applyFont="1" applyFill="1" applyBorder="1" applyAlignment="1">
      <alignment horizontal="center"/>
    </xf>
    <xf numFmtId="2" fontId="20" fillId="32" borderId="23" xfId="41" applyNumberFormat="1" applyFont="1" applyFill="1" applyBorder="1"/>
    <xf numFmtId="0" fontId="20" fillId="32" borderId="23" xfId="41" applyFont="1" applyFill="1" applyBorder="1"/>
    <xf numFmtId="2" fontId="22" fillId="35" borderId="23" xfId="41" applyNumberFormat="1" applyFont="1" applyFill="1" applyBorder="1"/>
    <xf numFmtId="1" fontId="22" fillId="36" borderId="23" xfId="48" applyNumberFormat="1" applyFont="1" applyFill="1" applyBorder="1"/>
    <xf numFmtId="2" fontId="22" fillId="37" borderId="23" xfId="41" applyNumberFormat="1" applyFont="1" applyFill="1" applyBorder="1"/>
    <xf numFmtId="0" fontId="22" fillId="37" borderId="0" xfId="41" applyFont="1" applyFill="1"/>
    <xf numFmtId="0" fontId="22" fillId="37" borderId="23" xfId="41" applyFont="1" applyFill="1" applyBorder="1"/>
    <xf numFmtId="171" fontId="20" fillId="37" borderId="0" xfId="0" applyNumberFormat="1" applyFont="1" applyFill="1" applyAlignment="1" applyProtection="1">
      <alignment vertical="center"/>
      <protection locked="0"/>
    </xf>
    <xf numFmtId="171" fontId="20" fillId="37" borderId="23" xfId="0" applyNumberFormat="1" applyFont="1" applyFill="1" applyBorder="1" applyAlignment="1" applyProtection="1">
      <alignment vertical="center"/>
      <protection locked="0"/>
    </xf>
    <xf numFmtId="0" fontId="20" fillId="29" borderId="23" xfId="41" applyFont="1" applyFill="1" applyBorder="1"/>
    <xf numFmtId="166" fontId="17" fillId="32" borderId="18" xfId="0" applyNumberFormat="1" applyFont="1" applyFill="1" applyBorder="1" applyAlignment="1" applyProtection="1">
      <alignment vertical="center"/>
      <protection locked="0"/>
    </xf>
    <xf numFmtId="166" fontId="17" fillId="32" borderId="22" xfId="0" applyNumberFormat="1" applyFont="1" applyFill="1" applyBorder="1" applyAlignment="1">
      <alignment vertical="center"/>
    </xf>
    <xf numFmtId="166" fontId="17" fillId="32" borderId="18" xfId="0" applyNumberFormat="1" applyFont="1" applyFill="1" applyBorder="1" applyAlignment="1">
      <alignment vertical="center"/>
    </xf>
    <xf numFmtId="0" fontId="13" fillId="32" borderId="12" xfId="0" applyFont="1" applyFill="1" applyBorder="1"/>
    <xf numFmtId="0" fontId="13" fillId="32" borderId="0" xfId="0" applyFont="1" applyFill="1"/>
    <xf numFmtId="0" fontId="13" fillId="32" borderId="0" xfId="0" applyFont="1" applyFill="1" applyAlignment="1">
      <alignment horizontal="right"/>
    </xf>
    <xf numFmtId="0" fontId="8" fillId="32" borderId="0" xfId="0" applyFont="1" applyFill="1"/>
    <xf numFmtId="0" fontId="13" fillId="32" borderId="14" xfId="0" applyFont="1" applyFill="1" applyBorder="1" applyAlignment="1">
      <alignment horizontal="right"/>
    </xf>
    <xf numFmtId="0" fontId="13" fillId="32" borderId="18" xfId="0" applyFont="1" applyFill="1" applyBorder="1"/>
    <xf numFmtId="0" fontId="13" fillId="32" borderId="19" xfId="0" applyFont="1" applyFill="1" applyBorder="1"/>
    <xf numFmtId="0" fontId="13" fillId="32" borderId="19" xfId="0" applyFont="1" applyFill="1" applyBorder="1" applyAlignment="1">
      <alignment horizontal="right"/>
    </xf>
    <xf numFmtId="6" fontId="13" fillId="32" borderId="19" xfId="0" applyNumberFormat="1" applyFont="1" applyFill="1" applyBorder="1"/>
    <xf numFmtId="0" fontId="13" fillId="32" borderId="19" xfId="0" applyFont="1" applyFill="1" applyBorder="1" applyAlignment="1">
      <alignment horizontal="left"/>
    </xf>
    <xf numFmtId="0" fontId="13" fillId="32" borderId="14" xfId="0" applyFont="1" applyFill="1" applyBorder="1" applyAlignment="1">
      <alignment horizontal="left"/>
    </xf>
    <xf numFmtId="0" fontId="13" fillId="32" borderId="15" xfId="0" applyFont="1" applyFill="1" applyBorder="1"/>
    <xf numFmtId="0" fontId="13" fillId="32" borderId="14" xfId="0" applyFont="1" applyFill="1" applyBorder="1"/>
    <xf numFmtId="0" fontId="13" fillId="32" borderId="13" xfId="0" applyFont="1" applyFill="1" applyBorder="1" applyAlignment="1">
      <alignment horizontal="right"/>
    </xf>
    <xf numFmtId="0" fontId="13" fillId="32" borderId="0" xfId="0" applyFont="1" applyFill="1" applyAlignment="1">
      <alignment horizontal="left"/>
    </xf>
    <xf numFmtId="0" fontId="13" fillId="32" borderId="13" xfId="0" applyFont="1" applyFill="1" applyBorder="1" applyAlignment="1">
      <alignment horizontal="left"/>
    </xf>
    <xf numFmtId="6" fontId="13" fillId="32" borderId="0" xfId="0" applyNumberFormat="1" applyFont="1" applyFill="1"/>
    <xf numFmtId="0" fontId="13" fillId="32" borderId="14" xfId="0" applyFont="1" applyFill="1" applyBorder="1" applyProtection="1">
      <protection locked="0"/>
    </xf>
    <xf numFmtId="0" fontId="13" fillId="32" borderId="17" xfId="0" applyFont="1" applyFill="1" applyBorder="1" applyProtection="1">
      <protection locked="0"/>
    </xf>
    <xf numFmtId="0" fontId="14" fillId="32" borderId="12" xfId="0" applyFont="1" applyFill="1" applyBorder="1" applyProtection="1">
      <protection locked="0"/>
    </xf>
    <xf numFmtId="0" fontId="13" fillId="32" borderId="16" xfId="0" applyFont="1" applyFill="1" applyBorder="1" applyAlignment="1">
      <alignment horizontal="left"/>
    </xf>
    <xf numFmtId="0" fontId="13" fillId="32" borderId="13" xfId="0" applyFont="1" applyFill="1" applyBorder="1"/>
    <xf numFmtId="0" fontId="13" fillId="32" borderId="13" xfId="0" applyFont="1" applyFill="1" applyBorder="1" applyAlignment="1">
      <alignment horizontal="center"/>
    </xf>
    <xf numFmtId="6" fontId="13" fillId="32" borderId="13" xfId="0" applyNumberFormat="1" applyFont="1" applyFill="1" applyBorder="1"/>
    <xf numFmtId="0" fontId="14" fillId="32" borderId="13" xfId="0" quotePrefix="1" applyFont="1" applyFill="1" applyBorder="1" applyAlignment="1">
      <alignment horizontal="left"/>
    </xf>
    <xf numFmtId="10" fontId="14" fillId="32" borderId="13" xfId="0" applyNumberFormat="1" applyFont="1" applyFill="1" applyBorder="1" applyAlignment="1">
      <alignment horizontal="left"/>
    </xf>
    <xf numFmtId="10" fontId="14" fillId="32" borderId="13" xfId="0" applyNumberFormat="1" applyFont="1" applyFill="1" applyBorder="1"/>
    <xf numFmtId="0" fontId="15" fillId="32" borderId="18" xfId="0" applyFont="1" applyFill="1" applyBorder="1" applyAlignment="1">
      <alignment horizontal="center"/>
    </xf>
    <xf numFmtId="0" fontId="15" fillId="32" borderId="22" xfId="0" applyFont="1" applyFill="1" applyBorder="1" applyAlignment="1">
      <alignment horizontal="center"/>
    </xf>
    <xf numFmtId="0" fontId="14" fillId="32" borderId="15" xfId="0" applyFont="1" applyFill="1" applyBorder="1"/>
    <xf numFmtId="10" fontId="60" fillId="32" borderId="21" xfId="0" applyNumberFormat="1" applyFont="1" applyFill="1" applyBorder="1" applyAlignment="1">
      <alignment horizontal="center"/>
    </xf>
    <xf numFmtId="0" fontId="61" fillId="32" borderId="21" xfId="0" applyFont="1" applyFill="1" applyBorder="1" applyAlignment="1">
      <alignment horizontal="center"/>
    </xf>
    <xf numFmtId="166" fontId="12" fillId="1" borderId="16" xfId="0" applyNumberFormat="1" applyFont="1" applyFill="1" applyBorder="1" applyAlignment="1">
      <alignment vertical="center"/>
    </xf>
    <xf numFmtId="168" fontId="8" fillId="1" borderId="0" xfId="0" applyNumberFormat="1" applyFont="1" applyFill="1" applyAlignment="1">
      <alignment wrapText="1"/>
    </xf>
    <xf numFmtId="0" fontId="12" fillId="1" borderId="13" xfId="0" applyFont="1" applyFill="1" applyBorder="1"/>
    <xf numFmtId="0" fontId="14" fillId="32" borderId="14" xfId="0" applyFont="1" applyFill="1" applyBorder="1"/>
    <xf numFmtId="0" fontId="14" fillId="32" borderId="16" xfId="0" applyFont="1" applyFill="1" applyBorder="1"/>
    <xf numFmtId="0" fontId="14" fillId="32" borderId="13" xfId="0" applyFont="1" applyFill="1" applyBorder="1"/>
    <xf numFmtId="0" fontId="14" fillId="32" borderId="13" xfId="0" applyFont="1" applyFill="1" applyBorder="1" applyAlignment="1">
      <alignment horizontal="right"/>
    </xf>
    <xf numFmtId="0" fontId="14" fillId="32" borderId="13" xfId="0" applyFont="1" applyFill="1" applyBorder="1" applyAlignment="1">
      <alignment horizontal="left"/>
    </xf>
    <xf numFmtId="0" fontId="14" fillId="32" borderId="12" xfId="0" applyFont="1" applyFill="1" applyBorder="1"/>
    <xf numFmtId="165" fontId="14" fillId="32" borderId="16" xfId="0" applyNumberFormat="1" applyFont="1" applyFill="1" applyBorder="1" applyAlignment="1">
      <alignment horizontal="left"/>
    </xf>
    <xf numFmtId="0" fontId="14" fillId="32" borderId="16" xfId="0" applyFont="1" applyFill="1" applyBorder="1" applyAlignment="1">
      <alignment horizontal="left"/>
    </xf>
    <xf numFmtId="0" fontId="14" fillId="32" borderId="19" xfId="0" applyFont="1" applyFill="1" applyBorder="1"/>
    <xf numFmtId="0" fontId="14" fillId="32" borderId="14" xfId="0" applyFont="1" applyFill="1" applyBorder="1" applyProtection="1">
      <protection locked="0"/>
    </xf>
    <xf numFmtId="0" fontId="14" fillId="32" borderId="18" xfId="0" applyFont="1" applyFill="1" applyBorder="1"/>
    <xf numFmtId="0" fontId="14" fillId="32" borderId="19" xfId="0" applyFont="1" applyFill="1" applyBorder="1" applyAlignment="1">
      <alignment horizontal="left"/>
    </xf>
    <xf numFmtId="0" fontId="23" fillId="32" borderId="0" xfId="0" applyFont="1" applyFill="1"/>
    <xf numFmtId="0" fontId="14" fillId="32" borderId="0" xfId="0" applyFont="1" applyFill="1"/>
    <xf numFmtId="0" fontId="14" fillId="32" borderId="14" xfId="0" applyFont="1" applyFill="1" applyBorder="1" applyAlignment="1">
      <alignment horizontal="left"/>
    </xf>
    <xf numFmtId="6" fontId="14" fillId="32" borderId="19" xfId="0" applyNumberFormat="1" applyFont="1" applyFill="1" applyBorder="1"/>
    <xf numFmtId="165" fontId="14" fillId="32" borderId="19" xfId="0" applyNumberFormat="1" applyFont="1" applyFill="1" applyBorder="1"/>
    <xf numFmtId="166" fontId="16" fillId="29" borderId="22" xfId="0" applyNumberFormat="1" applyFont="1" applyFill="1" applyBorder="1" applyAlignment="1">
      <alignment horizontal="center"/>
    </xf>
    <xf numFmtId="2" fontId="12" fillId="33" borderId="22" xfId="0" applyNumberFormat="1" applyFont="1" applyFill="1" applyBorder="1" applyProtection="1">
      <protection locked="0"/>
    </xf>
    <xf numFmtId="2" fontId="12" fillId="38" borderId="22" xfId="0" applyNumberFormat="1" applyFont="1" applyFill="1" applyBorder="1" applyProtection="1">
      <protection locked="0"/>
    </xf>
    <xf numFmtId="2" fontId="12" fillId="33" borderId="22" xfId="0" applyNumberFormat="1" applyFont="1" applyFill="1" applyBorder="1" applyAlignment="1" applyProtection="1">
      <alignment horizontal="right"/>
      <protection locked="0"/>
    </xf>
    <xf numFmtId="2" fontId="12" fillId="1" borderId="22" xfId="0" applyNumberFormat="1" applyFont="1" applyFill="1" applyBorder="1"/>
    <xf numFmtId="2" fontId="12" fillId="32" borderId="22" xfId="0" applyNumberFormat="1" applyFont="1" applyFill="1" applyBorder="1" applyAlignment="1">
      <alignment horizontal="right"/>
    </xf>
    <xf numFmtId="2" fontId="12" fillId="1" borderId="19" xfId="0" applyNumberFormat="1" applyFont="1" applyFill="1" applyBorder="1" applyAlignment="1">
      <alignment horizontal="right"/>
    </xf>
    <xf numFmtId="2" fontId="12" fillId="1" borderId="19" xfId="0" applyNumberFormat="1" applyFont="1" applyFill="1" applyBorder="1"/>
    <xf numFmtId="0" fontId="12" fillId="32" borderId="24" xfId="0" applyFont="1" applyFill="1" applyBorder="1" applyAlignment="1">
      <alignment horizontal="center"/>
    </xf>
    <xf numFmtId="0" fontId="12" fillId="32" borderId="22" xfId="0" applyFont="1" applyFill="1" applyBorder="1" applyAlignment="1">
      <alignment horizontal="center"/>
    </xf>
    <xf numFmtId="166" fontId="17" fillId="0" borderId="22" xfId="0" applyNumberFormat="1" applyFont="1" applyBorder="1" applyAlignment="1">
      <alignment horizontal="center" vertical="center"/>
    </xf>
    <xf numFmtId="166" fontId="62" fillId="33" borderId="22" xfId="0" applyNumberFormat="1" applyFont="1" applyFill="1" applyBorder="1" applyAlignment="1">
      <alignment horizontal="center"/>
    </xf>
    <xf numFmtId="0" fontId="55" fillId="32" borderId="22" xfId="0" applyFont="1" applyFill="1" applyBorder="1" applyAlignment="1">
      <alignment horizontal="right"/>
    </xf>
    <xf numFmtId="0" fontId="33" fillId="0" borderId="0" xfId="0" applyFont="1" applyAlignment="1">
      <alignment vertical="top" wrapText="1"/>
    </xf>
    <xf numFmtId="0" fontId="66" fillId="0" borderId="0" xfId="0" applyFont="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center" wrapText="1"/>
    </xf>
    <xf numFmtId="0" fontId="68" fillId="0" borderId="0" xfId="0" applyFont="1" applyAlignment="1">
      <alignment horizontal="left" wrapText="1"/>
    </xf>
    <xf numFmtId="165" fontId="14" fillId="32" borderId="19" xfId="0" applyNumberFormat="1" applyFont="1" applyFill="1" applyBorder="1" applyAlignment="1">
      <alignment horizontal="right"/>
    </xf>
    <xf numFmtId="0" fontId="12" fillId="32" borderId="15" xfId="0" applyFont="1" applyFill="1" applyBorder="1"/>
    <xf numFmtId="0" fontId="12" fillId="32" borderId="14" xfId="0" applyFont="1" applyFill="1" applyBorder="1"/>
    <xf numFmtId="164" fontId="12" fillId="32" borderId="14" xfId="0" applyNumberFormat="1" applyFont="1" applyFill="1" applyBorder="1"/>
    <xf numFmtId="0" fontId="16" fillId="32" borderId="14" xfId="0" applyFont="1" applyFill="1" applyBorder="1" applyAlignment="1">
      <alignment horizontal="center"/>
    </xf>
    <xf numFmtId="5" fontId="12" fillId="32" borderId="17" xfId="0" applyNumberFormat="1" applyFont="1" applyFill="1" applyBorder="1"/>
    <xf numFmtId="2" fontId="12" fillId="33" borderId="22" xfId="0" applyNumberFormat="1" applyFont="1" applyFill="1" applyBorder="1" applyAlignment="1">
      <alignment horizontal="right"/>
    </xf>
    <xf numFmtId="2" fontId="12" fillId="38" borderId="22" xfId="0" applyNumberFormat="1" applyFont="1" applyFill="1" applyBorder="1" applyAlignment="1">
      <alignment horizontal="right"/>
    </xf>
    <xf numFmtId="166" fontId="17" fillId="32" borderId="16" xfId="0" applyNumberFormat="1" applyFont="1" applyFill="1" applyBorder="1" applyAlignment="1">
      <alignment vertical="center"/>
    </xf>
    <xf numFmtId="166" fontId="17" fillId="32" borderId="24" xfId="0" applyNumberFormat="1" applyFont="1" applyFill="1" applyBorder="1" applyAlignment="1">
      <alignment vertical="center"/>
    </xf>
    <xf numFmtId="165" fontId="14" fillId="32" borderId="18" xfId="0" applyNumberFormat="1" applyFont="1" applyFill="1" applyBorder="1" applyAlignment="1">
      <alignment horizontal="left"/>
    </xf>
    <xf numFmtId="0" fontId="24" fillId="0" borderId="0" xfId="0" applyFont="1" applyAlignment="1">
      <alignment horizontal="left" wrapText="1"/>
    </xf>
    <xf numFmtId="0" fontId="24" fillId="0" borderId="0" xfId="0" applyFont="1" applyAlignment="1">
      <alignment horizontal="center" wrapText="1"/>
    </xf>
    <xf numFmtId="0" fontId="56" fillId="0" borderId="0" xfId="0" applyFont="1" applyAlignment="1">
      <alignment horizontal="left" wrapText="1"/>
    </xf>
    <xf numFmtId="0" fontId="24" fillId="0" borderId="0" xfId="0" applyFont="1" applyAlignment="1">
      <alignment horizontal="left"/>
    </xf>
    <xf numFmtId="2" fontId="14" fillId="32" borderId="13" xfId="0" applyNumberFormat="1" applyFont="1" applyFill="1" applyBorder="1" applyAlignment="1">
      <alignment horizontal="left"/>
    </xf>
    <xf numFmtId="172" fontId="12" fillId="32" borderId="24" xfId="0" applyNumberFormat="1" applyFont="1" applyFill="1" applyBorder="1" applyAlignment="1">
      <alignment horizontal="left" indent="1"/>
    </xf>
    <xf numFmtId="172" fontId="12" fillId="0" borderId="24" xfId="0" applyNumberFormat="1" applyFont="1" applyBorder="1" applyAlignment="1">
      <alignment horizontal="center"/>
    </xf>
    <xf numFmtId="2" fontId="12" fillId="0" borderId="0" xfId="0" applyNumberFormat="1" applyFont="1" applyAlignment="1">
      <alignment horizontal="right"/>
    </xf>
    <xf numFmtId="2" fontId="12" fillId="1" borderId="30" xfId="0" applyNumberFormat="1" applyFont="1" applyFill="1" applyBorder="1"/>
    <xf numFmtId="165" fontId="14" fillId="32" borderId="14" xfId="0" applyNumberFormat="1" applyFont="1" applyFill="1" applyBorder="1" applyAlignment="1">
      <alignment horizontal="right"/>
    </xf>
    <xf numFmtId="2" fontId="12" fillId="39" borderId="22" xfId="0" applyNumberFormat="1" applyFont="1" applyFill="1" applyBorder="1" applyAlignment="1">
      <alignment vertical="center"/>
    </xf>
    <xf numFmtId="2" fontId="12" fillId="39" borderId="16" xfId="0" applyNumberFormat="1" applyFont="1" applyFill="1" applyBorder="1" applyAlignment="1">
      <alignment vertical="center"/>
    </xf>
    <xf numFmtId="10" fontId="71" fillId="32" borderId="21" xfId="0" applyNumberFormat="1" applyFont="1" applyFill="1" applyBorder="1" applyAlignment="1">
      <alignment horizontal="center"/>
    </xf>
    <xf numFmtId="166" fontId="17" fillId="0" borderId="0" xfId="0" applyNumberFormat="1" applyFont="1" applyAlignment="1">
      <alignment horizontal="left" vertical="center" indent="3"/>
    </xf>
    <xf numFmtId="2" fontId="12" fillId="0" borderId="43" xfId="0" applyNumberFormat="1" applyFont="1" applyBorder="1" applyAlignment="1">
      <alignment horizontal="right"/>
    </xf>
    <xf numFmtId="0" fontId="16" fillId="0" borderId="0" xfId="0" applyFont="1" applyAlignment="1">
      <alignment wrapText="1"/>
    </xf>
    <xf numFmtId="166" fontId="12" fillId="0" borderId="0" xfId="0" applyNumberFormat="1" applyFont="1" applyAlignment="1">
      <alignment horizontal="left" wrapText="1"/>
    </xf>
    <xf numFmtId="167" fontId="17" fillId="0" borderId="0" xfId="0" applyNumberFormat="1" applyFont="1" applyAlignment="1">
      <alignment horizontal="center"/>
    </xf>
    <xf numFmtId="0" fontId="17" fillId="0" borderId="0" xfId="0" applyFont="1" applyAlignment="1">
      <alignment horizontal="center"/>
    </xf>
    <xf numFmtId="0" fontId="12" fillId="32" borderId="13" xfId="0" applyFont="1" applyFill="1" applyBorder="1" applyAlignment="1">
      <alignment horizontal="right"/>
    </xf>
    <xf numFmtId="0" fontId="8" fillId="32" borderId="13" xfId="0" applyFont="1" applyFill="1" applyBorder="1"/>
    <xf numFmtId="0" fontId="13" fillId="32" borderId="20" xfId="0" applyFont="1" applyFill="1" applyBorder="1" applyProtection="1">
      <protection locked="0"/>
    </xf>
    <xf numFmtId="0" fontId="13" fillId="32" borderId="11" xfId="0" applyFont="1" applyFill="1" applyBorder="1" applyProtection="1">
      <protection locked="0"/>
    </xf>
    <xf numFmtId="166" fontId="34" fillId="0" borderId="0" xfId="0" applyNumberFormat="1" applyFont="1"/>
    <xf numFmtId="0" fontId="17" fillId="27" borderId="16" xfId="0" applyFont="1" applyFill="1" applyBorder="1"/>
    <xf numFmtId="0" fontId="17" fillId="27" borderId="18" xfId="0" applyFont="1" applyFill="1" applyBorder="1"/>
    <xf numFmtId="0" fontId="34" fillId="27" borderId="18" xfId="0" applyFont="1" applyFill="1" applyBorder="1"/>
    <xf numFmtId="0" fontId="17" fillId="27" borderId="43" xfId="0" applyFont="1" applyFill="1" applyBorder="1"/>
    <xf numFmtId="0" fontId="34" fillId="0" borderId="18" xfId="0" applyFont="1" applyBorder="1"/>
    <xf numFmtId="0" fontId="34" fillId="40" borderId="18" xfId="0" applyFont="1" applyFill="1" applyBorder="1"/>
    <xf numFmtId="2" fontId="12" fillId="1" borderId="69" xfId="0" applyNumberFormat="1" applyFont="1" applyFill="1" applyBorder="1" applyAlignment="1">
      <alignment horizontal="right"/>
    </xf>
    <xf numFmtId="2" fontId="12" fillId="1" borderId="70" xfId="0" applyNumberFormat="1" applyFont="1" applyFill="1" applyBorder="1" applyAlignment="1">
      <alignment horizontal="right"/>
    </xf>
    <xf numFmtId="5" fontId="63" fillId="32" borderId="30" xfId="47" applyNumberFormat="1" applyFont="1" applyFill="1" applyBorder="1" applyAlignment="1"/>
    <xf numFmtId="0" fontId="34" fillId="0" borderId="52" xfId="0" applyFont="1" applyBorder="1" applyAlignment="1">
      <alignment horizontal="center"/>
    </xf>
    <xf numFmtId="0" fontId="34" fillId="39" borderId="53" xfId="0" applyFont="1" applyFill="1" applyBorder="1" applyAlignment="1">
      <alignment horizontal="center"/>
    </xf>
    <xf numFmtId="164" fontId="14" fillId="0" borderId="0" xfId="0" applyNumberFormat="1" applyFont="1"/>
    <xf numFmtId="164" fontId="32" fillId="0" borderId="0" xfId="0" applyNumberFormat="1" applyFont="1"/>
    <xf numFmtId="0" fontId="13" fillId="0" borderId="0" xfId="0" applyFont="1" applyAlignment="1">
      <alignment horizontal="right"/>
    </xf>
    <xf numFmtId="0" fontId="14" fillId="0" borderId="0" xfId="0" applyFont="1"/>
    <xf numFmtId="0" fontId="13" fillId="0" borderId="0" xfId="0" applyFont="1"/>
    <xf numFmtId="6" fontId="13" fillId="0" borderId="0" xfId="0" applyNumberFormat="1" applyFont="1"/>
    <xf numFmtId="0" fontId="29" fillId="32" borderId="13" xfId="0" applyFont="1" applyFill="1" applyBorder="1"/>
    <xf numFmtId="0" fontId="29" fillId="32" borderId="13" xfId="0" applyFont="1" applyFill="1" applyBorder="1" applyAlignment="1">
      <alignment horizontal="left"/>
    </xf>
    <xf numFmtId="0" fontId="29" fillId="32" borderId="19" xfId="0" applyFont="1" applyFill="1" applyBorder="1"/>
    <xf numFmtId="0" fontId="29" fillId="32" borderId="19" xfId="0" applyFont="1" applyFill="1" applyBorder="1" applyAlignment="1">
      <alignment horizontal="left"/>
    </xf>
    <xf numFmtId="0" fontId="74" fillId="32" borderId="0" xfId="0" applyFont="1" applyFill="1"/>
    <xf numFmtId="0" fontId="74" fillId="32" borderId="0" xfId="0" applyFont="1" applyFill="1" applyAlignment="1">
      <alignment horizontal="right"/>
    </xf>
    <xf numFmtId="0" fontId="74" fillId="32" borderId="0" xfId="0" applyFont="1" applyFill="1" applyAlignment="1">
      <alignment horizontal="left"/>
    </xf>
    <xf numFmtId="0" fontId="4" fillId="0" borderId="0" xfId="49" applyAlignment="1">
      <alignment horizontal="center"/>
    </xf>
    <xf numFmtId="0" fontId="4" fillId="0" borderId="0" xfId="49"/>
    <xf numFmtId="173" fontId="4" fillId="0" borderId="0" xfId="49" applyNumberFormat="1" applyAlignment="1">
      <alignment horizontal="center"/>
    </xf>
    <xf numFmtId="0" fontId="4" fillId="0" borderId="43" xfId="49" applyBorder="1" applyAlignment="1">
      <alignment horizontal="right"/>
    </xf>
    <xf numFmtId="0" fontId="4" fillId="0" borderId="0" xfId="49" applyAlignment="1">
      <alignment horizontal="right"/>
    </xf>
    <xf numFmtId="173" fontId="77" fillId="0" borderId="54" xfId="49" applyNumberFormat="1" applyFont="1" applyBorder="1"/>
    <xf numFmtId="173" fontId="75" fillId="0" borderId="0" xfId="49" applyNumberFormat="1" applyFont="1" applyAlignment="1">
      <alignment horizontal="center"/>
    </xf>
    <xf numFmtId="173" fontId="78" fillId="0" borderId="0" xfId="49" applyNumberFormat="1" applyFont="1"/>
    <xf numFmtId="173" fontId="79" fillId="0" borderId="0" xfId="49" applyNumberFormat="1" applyFont="1"/>
    <xf numFmtId="0" fontId="4" fillId="0" borderId="46" xfId="49" applyBorder="1" applyAlignment="1">
      <alignment horizontal="right"/>
    </xf>
    <xf numFmtId="0" fontId="4" fillId="0" borderId="0" xfId="49" applyAlignment="1">
      <alignment vertical="top"/>
    </xf>
    <xf numFmtId="174" fontId="4" fillId="0" borderId="0" xfId="49" applyNumberFormat="1"/>
    <xf numFmtId="0" fontId="75" fillId="0" borderId="21" xfId="49" applyFont="1" applyBorder="1" applyAlignment="1">
      <alignment horizontal="center"/>
    </xf>
    <xf numFmtId="0" fontId="75" fillId="0" borderId="56" xfId="49" applyFont="1" applyBorder="1" applyAlignment="1">
      <alignment horizontal="center"/>
    </xf>
    <xf numFmtId="174" fontId="4" fillId="29" borderId="79" xfId="49" applyNumberFormat="1" applyFill="1" applyBorder="1"/>
    <xf numFmtId="174" fontId="4" fillId="0" borderId="79" xfId="49" applyNumberFormat="1" applyBorder="1"/>
    <xf numFmtId="0" fontId="75" fillId="0" borderId="61" xfId="49" applyFont="1" applyBorder="1" applyAlignment="1">
      <alignment horizontal="right"/>
    </xf>
    <xf numFmtId="173" fontId="77" fillId="0" borderId="30" xfId="49" applyNumberFormat="1" applyFont="1" applyBorder="1" applyAlignment="1">
      <alignment horizontal="center"/>
    </xf>
    <xf numFmtId="174" fontId="75" fillId="0" borderId="22" xfId="49" applyNumberFormat="1" applyFont="1" applyBorder="1" applyAlignment="1">
      <alignment horizontal="right"/>
    </xf>
    <xf numFmtId="174" fontId="75" fillId="0" borderId="66" xfId="49" applyNumberFormat="1" applyFont="1" applyBorder="1" applyAlignment="1">
      <alignment horizontal="right"/>
    </xf>
    <xf numFmtId="174" fontId="4" fillId="0" borderId="80" xfId="49" applyNumberFormat="1" applyBorder="1"/>
    <xf numFmtId="174" fontId="4" fillId="29" borderId="80" xfId="49" applyNumberFormat="1" applyFill="1" applyBorder="1"/>
    <xf numFmtId="0" fontId="75" fillId="29" borderId="61" xfId="49" applyFont="1" applyFill="1" applyBorder="1" applyAlignment="1">
      <alignment horizontal="right"/>
    </xf>
    <xf numFmtId="173" fontId="77" fillId="29" borderId="30" xfId="49" applyNumberFormat="1" applyFont="1" applyFill="1" applyBorder="1" applyAlignment="1">
      <alignment horizontal="center"/>
    </xf>
    <xf numFmtId="174" fontId="75" fillId="29" borderId="22" xfId="49" applyNumberFormat="1" applyFont="1" applyFill="1" applyBorder="1" applyAlignment="1">
      <alignment horizontal="right"/>
    </xf>
    <xf numFmtId="174" fontId="75" fillId="29" borderId="66" xfId="49" applyNumberFormat="1" applyFont="1" applyFill="1" applyBorder="1" applyAlignment="1">
      <alignment horizontal="right"/>
    </xf>
    <xf numFmtId="174" fontId="75" fillId="0" borderId="81" xfId="49" applyNumberFormat="1" applyFont="1" applyBorder="1"/>
    <xf numFmtId="174" fontId="75" fillId="0" borderId="0" xfId="49" applyNumberFormat="1" applyFont="1"/>
    <xf numFmtId="0" fontId="75" fillId="0" borderId="82" xfId="49" applyFont="1" applyBorder="1" applyAlignment="1">
      <alignment horizontal="right"/>
    </xf>
    <xf numFmtId="174" fontId="75" fillId="0" borderId="83" xfId="49" applyNumberFormat="1" applyFont="1" applyBorder="1" applyAlignment="1">
      <alignment horizontal="right"/>
    </xf>
    <xf numFmtId="174" fontId="75" fillId="0" borderId="78" xfId="49" applyNumberFormat="1" applyFont="1" applyBorder="1" applyAlignment="1">
      <alignment horizontal="right"/>
    </xf>
    <xf numFmtId="0" fontId="4" fillId="0" borderId="46" xfId="49" applyBorder="1"/>
    <xf numFmtId="0" fontId="4" fillId="0" borderId="23" xfId="49" applyBorder="1"/>
    <xf numFmtId="0" fontId="4" fillId="0" borderId="55" xfId="49" applyBorder="1"/>
    <xf numFmtId="174" fontId="75" fillId="0" borderId="84" xfId="49" applyNumberFormat="1" applyFont="1" applyBorder="1" applyAlignment="1">
      <alignment horizontal="right"/>
    </xf>
    <xf numFmtId="174" fontId="75" fillId="0" borderId="47" xfId="49" applyNumberFormat="1" applyFont="1" applyBorder="1" applyAlignment="1">
      <alignment horizontal="right"/>
    </xf>
    <xf numFmtId="0" fontId="75" fillId="0" borderId="73" xfId="49" applyFont="1" applyBorder="1" applyAlignment="1">
      <alignment horizontal="center"/>
    </xf>
    <xf numFmtId="0" fontId="76" fillId="0" borderId="43" xfId="49" applyFont="1" applyBorder="1"/>
    <xf numFmtId="166" fontId="76" fillId="0" borderId="0" xfId="49" applyNumberFormat="1" applyFont="1"/>
    <xf numFmtId="166" fontId="76" fillId="0" borderId="54" xfId="49" applyNumberFormat="1" applyFont="1" applyBorder="1"/>
    <xf numFmtId="0" fontId="76" fillId="0" borderId="0" xfId="49" applyFont="1"/>
    <xf numFmtId="0" fontId="76" fillId="0" borderId="46" xfId="49" applyFont="1" applyBorder="1"/>
    <xf numFmtId="0" fontId="76" fillId="0" borderId="23" xfId="49" applyFont="1" applyBorder="1"/>
    <xf numFmtId="166" fontId="76" fillId="0" borderId="23" xfId="49" applyNumberFormat="1" applyFont="1" applyBorder="1"/>
    <xf numFmtId="166" fontId="76" fillId="0" borderId="47" xfId="49" applyNumberFormat="1" applyFont="1" applyBorder="1"/>
    <xf numFmtId="0" fontId="4" fillId="0" borderId="43" xfId="49" applyBorder="1"/>
    <xf numFmtId="166" fontId="4" fillId="0" borderId="0" xfId="49" applyNumberFormat="1"/>
    <xf numFmtId="0" fontId="76" fillId="0" borderId="47" xfId="49" applyFont="1" applyBorder="1" applyAlignment="1">
      <alignment vertical="top" wrapText="1"/>
    </xf>
    <xf numFmtId="9" fontId="77" fillId="0" borderId="54" xfId="49" applyNumberFormat="1" applyFont="1" applyBorder="1"/>
    <xf numFmtId="0" fontId="81" fillId="0" borderId="0" xfId="0" applyFont="1"/>
    <xf numFmtId="9" fontId="81" fillId="0" borderId="0" xfId="0" applyNumberFormat="1" applyFont="1"/>
    <xf numFmtId="166" fontId="81" fillId="0" borderId="0" xfId="0" applyNumberFormat="1" applyFont="1"/>
    <xf numFmtId="166" fontId="12" fillId="1" borderId="0" xfId="0" applyNumberFormat="1" applyFont="1" applyFill="1" applyAlignment="1">
      <alignment vertical="center"/>
    </xf>
    <xf numFmtId="2" fontId="12" fillId="1" borderId="13" xfId="0" applyNumberFormat="1" applyFont="1" applyFill="1" applyBorder="1" applyAlignment="1">
      <alignment horizontal="right"/>
    </xf>
    <xf numFmtId="166" fontId="17" fillId="0" borderId="0" xfId="0" applyNumberFormat="1" applyFont="1" applyAlignment="1">
      <alignment horizontal="center" vertical="center"/>
    </xf>
    <xf numFmtId="166" fontId="17" fillId="0" borderId="0" xfId="0" applyNumberFormat="1" applyFont="1" applyAlignment="1">
      <alignment vertical="center"/>
    </xf>
    <xf numFmtId="166" fontId="16" fillId="0" borderId="0" xfId="0" applyNumberFormat="1" applyFont="1" applyAlignment="1">
      <alignment horizontal="center"/>
    </xf>
    <xf numFmtId="0" fontId="64" fillId="32" borderId="17" xfId="0" applyFont="1" applyFill="1" applyBorder="1"/>
    <xf numFmtId="0" fontId="13" fillId="32" borderId="16" xfId="0" applyFont="1" applyFill="1" applyBorder="1"/>
    <xf numFmtId="0" fontId="13" fillId="32" borderId="20" xfId="0" applyFont="1" applyFill="1" applyBorder="1" applyAlignment="1">
      <alignment horizontal="left"/>
    </xf>
    <xf numFmtId="0" fontId="13" fillId="32" borderId="11" xfId="0" applyFont="1" applyFill="1" applyBorder="1" applyAlignment="1">
      <alignment horizontal="left"/>
    </xf>
    <xf numFmtId="0" fontId="83" fillId="0" borderId="0" xfId="0" applyFont="1"/>
    <xf numFmtId="166" fontId="12" fillId="0" borderId="0" xfId="0" applyNumberFormat="1" applyFont="1" applyAlignment="1">
      <alignment horizontal="center"/>
    </xf>
    <xf numFmtId="165" fontId="14" fillId="32" borderId="12" xfId="0" applyNumberFormat="1" applyFont="1" applyFill="1" applyBorder="1" applyAlignment="1">
      <alignment horizontal="left"/>
    </xf>
    <xf numFmtId="0" fontId="63" fillId="32" borderId="14" xfId="0" applyFont="1" applyFill="1" applyBorder="1"/>
    <xf numFmtId="0" fontId="18" fillId="0" borderId="22" xfId="0" applyFont="1" applyBorder="1" applyAlignment="1">
      <alignment horizontal="center" vertical="center"/>
    </xf>
    <xf numFmtId="0" fontId="6" fillId="29" borderId="0" xfId="0" applyFont="1" applyFill="1"/>
    <xf numFmtId="0" fontId="5" fillId="29" borderId="0" xfId="0" applyFont="1" applyFill="1"/>
    <xf numFmtId="10" fontId="18" fillId="29" borderId="85" xfId="40" applyNumberFormat="1" applyFill="1" applyBorder="1"/>
    <xf numFmtId="10" fontId="18" fillId="29" borderId="86" xfId="40" applyNumberFormat="1" applyFill="1" applyBorder="1"/>
    <xf numFmtId="10" fontId="18" fillId="29" borderId="87" xfId="40" applyNumberFormat="1" applyFill="1" applyBorder="1"/>
    <xf numFmtId="10" fontId="18" fillId="0" borderId="88" xfId="40" applyNumberFormat="1" applyBorder="1"/>
    <xf numFmtId="10" fontId="18" fillId="0" borderId="89" xfId="40" applyNumberFormat="1" applyBorder="1"/>
    <xf numFmtId="10" fontId="18" fillId="0" borderId="90" xfId="40" applyNumberFormat="1" applyBorder="1"/>
    <xf numFmtId="10" fontId="18" fillId="0" borderId="91" xfId="40" applyNumberFormat="1" applyBorder="1"/>
    <xf numFmtId="10" fontId="18" fillId="0" borderId="92" xfId="40" applyNumberFormat="1" applyBorder="1"/>
    <xf numFmtId="10" fontId="18" fillId="0" borderId="85" xfId="40" applyNumberFormat="1" applyBorder="1"/>
    <xf numFmtId="10" fontId="18" fillId="0" borderId="93" xfId="40" applyNumberFormat="1" applyBorder="1"/>
    <xf numFmtId="10" fontId="18" fillId="0" borderId="94" xfId="40" applyNumberFormat="1" applyBorder="1"/>
    <xf numFmtId="10" fontId="18" fillId="29" borderId="95" xfId="40" applyNumberFormat="1" applyFill="1" applyBorder="1"/>
    <xf numFmtId="10" fontId="18" fillId="29" borderId="96" xfId="40" applyNumberFormat="1" applyFill="1" applyBorder="1"/>
    <xf numFmtId="10" fontId="18" fillId="0" borderId="95" xfId="40" applyNumberFormat="1" applyBorder="1"/>
    <xf numFmtId="10" fontId="18" fillId="0" borderId="96" xfId="40" applyNumberFormat="1" applyBorder="1"/>
    <xf numFmtId="10" fontId="0" fillId="29" borderId="0" xfId="0" applyNumberFormat="1" applyFill="1"/>
    <xf numFmtId="166" fontId="12" fillId="0" borderId="0" xfId="0" applyNumberFormat="1" applyFont="1" applyAlignment="1">
      <alignment horizontal="right"/>
    </xf>
    <xf numFmtId="0" fontId="17" fillId="1" borderId="19" xfId="0" applyFont="1" applyFill="1" applyBorder="1"/>
    <xf numFmtId="2" fontId="12" fillId="1" borderId="0" xfId="0" applyNumberFormat="1" applyFont="1" applyFill="1"/>
    <xf numFmtId="0" fontId="14" fillId="0" borderId="12" xfId="0" applyFont="1" applyBorder="1"/>
    <xf numFmtId="10" fontId="33" fillId="0" borderId="0" xfId="0" applyNumberFormat="1" applyFont="1"/>
    <xf numFmtId="10" fontId="12" fillId="1" borderId="69" xfId="0" applyNumberFormat="1" applyFont="1" applyFill="1" applyBorder="1" applyAlignment="1">
      <alignment horizontal="right"/>
    </xf>
    <xf numFmtId="10" fontId="34" fillId="40" borderId="67" xfId="0" applyNumberFormat="1" applyFont="1" applyFill="1" applyBorder="1"/>
    <xf numFmtId="10" fontId="12" fillId="1" borderId="70" xfId="0" applyNumberFormat="1" applyFont="1" applyFill="1" applyBorder="1" applyAlignment="1">
      <alignment horizontal="right"/>
    </xf>
    <xf numFmtId="0" fontId="17" fillId="39" borderId="22" xfId="0" applyFont="1" applyFill="1" applyBorder="1" applyAlignment="1">
      <alignment horizontal="center" vertical="center"/>
    </xf>
    <xf numFmtId="0" fontId="17" fillId="39" borderId="18" xfId="0" applyFont="1" applyFill="1" applyBorder="1" applyAlignment="1">
      <alignment horizontal="center" vertical="center"/>
    </xf>
    <xf numFmtId="0" fontId="23" fillId="32" borderId="19" xfId="0" applyFont="1" applyFill="1" applyBorder="1"/>
    <xf numFmtId="0" fontId="13" fillId="32" borderId="97" xfId="0" applyFont="1" applyFill="1" applyBorder="1" applyAlignment="1">
      <alignment horizontal="right"/>
    </xf>
    <xf numFmtId="0" fontId="14" fillId="32" borderId="19" xfId="0" quotePrefix="1" applyFont="1" applyFill="1" applyBorder="1" applyAlignment="1">
      <alignment horizontal="right"/>
    </xf>
    <xf numFmtId="0" fontId="12" fillId="1" borderId="0" xfId="0" applyFont="1" applyFill="1"/>
    <xf numFmtId="166" fontId="62" fillId="33" borderId="30" xfId="0" applyNumberFormat="1" applyFont="1" applyFill="1" applyBorder="1" applyAlignment="1">
      <alignment horizontal="center"/>
    </xf>
    <xf numFmtId="0" fontId="55" fillId="32" borderId="30" xfId="0" applyFont="1" applyFill="1" applyBorder="1" applyAlignment="1">
      <alignment horizontal="right"/>
    </xf>
    <xf numFmtId="5" fontId="17" fillId="1" borderId="98" xfId="0" applyNumberFormat="1" applyFont="1" applyFill="1" applyBorder="1" applyAlignment="1">
      <alignment horizontal="center"/>
    </xf>
    <xf numFmtId="5" fontId="63" fillId="32" borderId="14" xfId="47" applyNumberFormat="1" applyFont="1" applyFill="1" applyBorder="1" applyAlignment="1"/>
    <xf numFmtId="166" fontId="17" fillId="1" borderId="0" xfId="0" applyNumberFormat="1" applyFont="1" applyFill="1" applyAlignment="1">
      <alignment horizontal="left" vertical="center" indent="3"/>
    </xf>
    <xf numFmtId="166" fontId="17" fillId="1" borderId="55" xfId="0" applyNumberFormat="1" applyFont="1" applyFill="1" applyBorder="1" applyAlignment="1">
      <alignment horizontal="left" vertical="center" indent="3"/>
    </xf>
    <xf numFmtId="0" fontId="14" fillId="32" borderId="14" xfId="0" applyFont="1" applyFill="1" applyBorder="1" applyAlignment="1">
      <alignment horizontal="center" wrapText="1"/>
    </xf>
    <xf numFmtId="0" fontId="14" fillId="32" borderId="0" xfId="0" applyFont="1" applyFill="1" applyAlignment="1">
      <alignment horizontal="center" wrapText="1"/>
    </xf>
    <xf numFmtId="0" fontId="13" fillId="32" borderId="17" xfId="0" applyFont="1" applyFill="1" applyBorder="1" applyAlignment="1">
      <alignment horizontal="left"/>
    </xf>
    <xf numFmtId="168" fontId="65" fillId="0" borderId="0" xfId="0" applyNumberFormat="1" applyFont="1" applyAlignment="1">
      <alignment horizontal="center" vertical="center" wrapText="1"/>
    </xf>
    <xf numFmtId="0" fontId="14" fillId="0" borderId="13" xfId="0" applyFont="1" applyBorder="1" applyAlignment="1">
      <alignment horizontal="center"/>
    </xf>
    <xf numFmtId="0" fontId="14" fillId="0" borderId="13" xfId="0" applyFont="1" applyBorder="1" applyAlignment="1" applyProtection="1">
      <alignment horizontal="center"/>
      <protection locked="0"/>
    </xf>
    <xf numFmtId="166" fontId="17" fillId="0" borderId="0" xfId="0" applyNumberFormat="1" applyFont="1" applyAlignment="1" applyProtection="1">
      <alignment horizontal="left" vertical="center" indent="3"/>
      <protection locked="0"/>
    </xf>
    <xf numFmtId="10" fontId="17" fillId="0" borderId="0" xfId="0" applyNumberFormat="1" applyFont="1" applyAlignment="1">
      <alignment horizontal="left" vertical="center" indent="3"/>
    </xf>
    <xf numFmtId="0" fontId="6" fillId="0" borderId="0" xfId="0" applyFont="1" applyAlignment="1">
      <alignment horizontal="center" vertical="center"/>
    </xf>
    <xf numFmtId="0" fontId="12" fillId="0" borderId="0" xfId="0" applyFont="1" applyAlignment="1">
      <alignment horizontal="center" wrapText="1"/>
    </xf>
    <xf numFmtId="0" fontId="15" fillId="0" borderId="0" xfId="0" applyFont="1" applyAlignment="1">
      <alignment horizontal="center"/>
    </xf>
    <xf numFmtId="5" fontId="17" fillId="0" borderId="0" xfId="0" applyNumberFormat="1" applyFont="1" applyAlignment="1">
      <alignment horizontal="center"/>
    </xf>
    <xf numFmtId="2" fontId="12" fillId="0" borderId="0" xfId="0" applyNumberFormat="1" applyFont="1" applyAlignment="1">
      <alignment vertical="top" wrapText="1"/>
    </xf>
    <xf numFmtId="0" fontId="24" fillId="0" borderId="0" xfId="0" applyFont="1" applyAlignment="1">
      <alignment horizontal="right"/>
    </xf>
    <xf numFmtId="6" fontId="24" fillId="0" borderId="0" xfId="0" applyNumberFormat="1" applyFont="1" applyAlignment="1">
      <alignment wrapText="1"/>
    </xf>
    <xf numFmtId="6" fontId="24" fillId="0" borderId="0" xfId="0" applyNumberFormat="1" applyFont="1" applyAlignment="1">
      <alignment horizontal="left"/>
    </xf>
    <xf numFmtId="42" fontId="17" fillId="0" borderId="60" xfId="0" applyNumberFormat="1" applyFont="1" applyBorder="1"/>
    <xf numFmtId="42" fontId="17" fillId="39" borderId="56" xfId="0" applyNumberFormat="1" applyFont="1" applyFill="1" applyBorder="1"/>
    <xf numFmtId="42" fontId="17" fillId="0" borderId="0" xfId="0" applyNumberFormat="1" applyFont="1"/>
    <xf numFmtId="42" fontId="17" fillId="0" borderId="61" xfId="0" applyNumberFormat="1" applyFont="1" applyBorder="1"/>
    <xf numFmtId="42" fontId="17" fillId="39" borderId="58" xfId="0" applyNumberFormat="1" applyFont="1" applyFill="1" applyBorder="1"/>
    <xf numFmtId="42" fontId="17" fillId="27" borderId="62" xfId="0" applyNumberFormat="1" applyFont="1" applyFill="1" applyBorder="1"/>
    <xf numFmtId="42" fontId="17" fillId="40" borderId="58" xfId="0" applyNumberFormat="1" applyFont="1" applyFill="1" applyBorder="1"/>
    <xf numFmtId="42" fontId="17" fillId="27" borderId="63" xfId="0" applyNumberFormat="1" applyFont="1" applyFill="1" applyBorder="1"/>
    <xf numFmtId="42" fontId="17" fillId="40" borderId="64" xfId="0" applyNumberFormat="1" applyFont="1" applyFill="1" applyBorder="1"/>
    <xf numFmtId="42" fontId="17" fillId="0" borderId="65" xfId="0" applyNumberFormat="1" applyFont="1" applyBorder="1"/>
    <xf numFmtId="42" fontId="17" fillId="39" borderId="57" xfId="0" applyNumberFormat="1" applyFont="1" applyFill="1" applyBorder="1"/>
    <xf numFmtId="42" fontId="17" fillId="0" borderId="62" xfId="0" applyNumberFormat="1" applyFont="1" applyBorder="1"/>
    <xf numFmtId="42" fontId="34" fillId="27" borderId="61" xfId="0" applyNumberFormat="1" applyFont="1" applyFill="1" applyBorder="1"/>
    <xf numFmtId="42" fontId="34" fillId="40" borderId="58" xfId="0" applyNumberFormat="1" applyFont="1" applyFill="1" applyBorder="1"/>
    <xf numFmtId="42" fontId="34" fillId="0" borderId="0" xfId="0" applyNumberFormat="1" applyFont="1"/>
    <xf numFmtId="42" fontId="17" fillId="27" borderId="59" xfId="0" applyNumberFormat="1" applyFont="1" applyFill="1" applyBorder="1"/>
    <xf numFmtId="42" fontId="34" fillId="27" borderId="63" xfId="0" applyNumberFormat="1" applyFont="1" applyFill="1" applyBorder="1"/>
    <xf numFmtId="42" fontId="34" fillId="40" borderId="64" xfId="0" applyNumberFormat="1" applyFont="1" applyFill="1" applyBorder="1"/>
    <xf numFmtId="42" fontId="17" fillId="0" borderId="63" xfId="0" applyNumberFormat="1" applyFont="1" applyBorder="1"/>
    <xf numFmtId="42" fontId="17" fillId="39" borderId="64" xfId="0" applyNumberFormat="1" applyFont="1" applyFill="1" applyBorder="1"/>
    <xf numFmtId="42" fontId="33" fillId="0" borderId="0" xfId="0" applyNumberFormat="1" applyFont="1"/>
    <xf numFmtId="42" fontId="34" fillId="0" borderId="63" xfId="0" applyNumberFormat="1" applyFont="1" applyBorder="1"/>
    <xf numFmtId="42" fontId="34" fillId="39" borderId="64" xfId="0" applyNumberFormat="1" applyFont="1" applyFill="1" applyBorder="1"/>
    <xf numFmtId="42" fontId="34" fillId="40" borderId="57" xfId="0" applyNumberFormat="1" applyFont="1" applyFill="1" applyBorder="1"/>
    <xf numFmtId="42" fontId="12" fillId="1" borderId="69" xfId="0" applyNumberFormat="1" applyFont="1" applyFill="1" applyBorder="1" applyAlignment="1">
      <alignment horizontal="right"/>
    </xf>
    <xf numFmtId="42" fontId="17" fillId="0" borderId="22" xfId="0" applyNumberFormat="1" applyFont="1" applyBorder="1"/>
    <xf numFmtId="42" fontId="17" fillId="0" borderId="18" xfId="0" applyNumberFormat="1" applyFont="1" applyBorder="1"/>
    <xf numFmtId="42" fontId="17" fillId="27" borderId="24" xfId="0" applyNumberFormat="1" applyFont="1" applyFill="1" applyBorder="1"/>
    <xf numFmtId="42" fontId="17" fillId="27" borderId="16" xfId="0" applyNumberFormat="1" applyFont="1" applyFill="1" applyBorder="1"/>
    <xf numFmtId="42" fontId="17" fillId="27" borderId="22" xfId="0" applyNumberFormat="1" applyFont="1" applyFill="1" applyBorder="1"/>
    <xf numFmtId="42" fontId="17" fillId="27" borderId="18" xfId="0" applyNumberFormat="1" applyFont="1" applyFill="1" applyBorder="1"/>
    <xf numFmtId="42" fontId="17" fillId="0" borderId="24" xfId="0" applyNumberFormat="1" applyFont="1" applyBorder="1"/>
    <xf numFmtId="42" fontId="17" fillId="0" borderId="16" xfId="0" applyNumberFormat="1" applyFont="1" applyBorder="1"/>
    <xf numFmtId="42" fontId="34" fillId="27" borderId="22" xfId="0" applyNumberFormat="1" applyFont="1" applyFill="1" applyBorder="1"/>
    <xf numFmtId="42" fontId="34" fillId="27" borderId="18" xfId="0" applyNumberFormat="1" applyFont="1" applyFill="1" applyBorder="1"/>
    <xf numFmtId="42" fontId="17" fillId="27" borderId="10" xfId="0" applyNumberFormat="1" applyFont="1" applyFill="1" applyBorder="1"/>
    <xf numFmtId="42" fontId="17" fillId="27" borderId="12" xfId="0" applyNumberFormat="1" applyFont="1" applyFill="1" applyBorder="1"/>
    <xf numFmtId="42" fontId="34" fillId="28" borderId="22" xfId="0" applyNumberFormat="1" applyFont="1" applyFill="1" applyBorder="1"/>
    <xf numFmtId="42" fontId="17" fillId="0" borderId="19" xfId="0" applyNumberFormat="1" applyFont="1" applyBorder="1"/>
    <xf numFmtId="0" fontId="11" fillId="0" borderId="44" xfId="0" applyFont="1" applyBorder="1" applyAlignment="1">
      <alignment horizontal="center" wrapText="1"/>
    </xf>
    <xf numFmtId="0" fontId="11" fillId="0" borderId="46" xfId="0" applyFont="1" applyBorder="1" applyAlignment="1">
      <alignment horizontal="center" wrapText="1"/>
    </xf>
    <xf numFmtId="0" fontId="11" fillId="0" borderId="68" xfId="0" applyFont="1" applyBorder="1" applyAlignment="1">
      <alignment horizontal="center" wrapText="1"/>
    </xf>
    <xf numFmtId="0" fontId="11" fillId="0" borderId="70" xfId="0" applyFont="1" applyBorder="1" applyAlignment="1">
      <alignment horizontal="center" wrapText="1"/>
    </xf>
    <xf numFmtId="172" fontId="12" fillId="32" borderId="24" xfId="0" applyNumberFormat="1" applyFont="1" applyFill="1" applyBorder="1" applyAlignment="1">
      <alignment horizontal="center"/>
    </xf>
    <xf numFmtId="0" fontId="76" fillId="42" borderId="43" xfId="49" applyFont="1" applyFill="1" applyBorder="1"/>
    <xf numFmtId="0" fontId="76" fillId="42" borderId="75" xfId="49" applyFont="1" applyFill="1" applyBorder="1"/>
    <xf numFmtId="166" fontId="76" fillId="42" borderId="0" xfId="49" applyNumberFormat="1" applyFont="1" applyFill="1"/>
    <xf numFmtId="166" fontId="76" fillId="42" borderId="54" xfId="49" applyNumberFormat="1" applyFont="1" applyFill="1" applyBorder="1"/>
    <xf numFmtId="173" fontId="77" fillId="0" borderId="99" xfId="49" applyNumberFormat="1" applyFont="1" applyBorder="1" applyAlignment="1">
      <alignment horizontal="center"/>
    </xf>
    <xf numFmtId="0" fontId="11" fillId="0" borderId="22" xfId="0" applyFont="1" applyBorder="1" applyAlignment="1">
      <alignment horizontal="center" vertical="center" wrapText="1" shrinkToFit="1"/>
    </xf>
    <xf numFmtId="9" fontId="33" fillId="0" borderId="22" xfId="0" applyNumberFormat="1" applyFont="1" applyBorder="1" applyAlignment="1">
      <alignment horizontal="center" vertical="center"/>
    </xf>
    <xf numFmtId="0" fontId="33" fillId="0" borderId="19" xfId="0" applyFont="1" applyBorder="1" applyAlignment="1">
      <alignment vertical="center"/>
    </xf>
    <xf numFmtId="0" fontId="33" fillId="0" borderId="30" xfId="0" applyFont="1" applyBorder="1" applyAlignment="1">
      <alignment vertical="center"/>
    </xf>
    <xf numFmtId="0" fontId="82" fillId="1" borderId="13" xfId="0" applyFont="1" applyFill="1" applyBorder="1" applyAlignment="1">
      <alignment vertical="top" wrapText="1"/>
    </xf>
    <xf numFmtId="0" fontId="82" fillId="1" borderId="0" xfId="0" applyFont="1" applyFill="1" applyAlignment="1">
      <alignment vertical="top" wrapText="1"/>
    </xf>
    <xf numFmtId="0" fontId="2" fillId="0" borderId="0" xfId="51" applyAlignment="1">
      <alignment vertical="center"/>
    </xf>
    <xf numFmtId="0" fontId="2" fillId="0" borderId="0" xfId="51" applyAlignment="1">
      <alignment vertical="center" wrapText="1"/>
    </xf>
    <xf numFmtId="0" fontId="2" fillId="0" borderId="0" xfId="51" applyAlignment="1">
      <alignment horizontal="center" vertical="center"/>
    </xf>
    <xf numFmtId="0" fontId="91" fillId="0" borderId="0" xfId="51" applyFont="1" applyAlignment="1">
      <alignment vertical="center" wrapText="1"/>
    </xf>
    <xf numFmtId="0" fontId="94" fillId="0" borderId="0" xfId="50" applyFont="1" applyAlignment="1">
      <alignment vertical="center" wrapText="1"/>
    </xf>
    <xf numFmtId="0" fontId="97" fillId="0" borderId="0" xfId="51" applyFont="1" applyAlignment="1">
      <alignment vertical="center"/>
    </xf>
    <xf numFmtId="0" fontId="99" fillId="0" borderId="0" xfId="51" applyFont="1" applyAlignment="1">
      <alignment vertical="center"/>
    </xf>
    <xf numFmtId="0" fontId="94" fillId="0" borderId="0" xfId="51" applyFont="1" applyAlignment="1">
      <alignment vertical="center"/>
    </xf>
    <xf numFmtId="0" fontId="93" fillId="0" borderId="0" xfId="51" applyFont="1" applyAlignment="1">
      <alignment vertical="center" wrapText="1"/>
    </xf>
    <xf numFmtId="0" fontId="98" fillId="0" borderId="0" xfId="51" applyFont="1" applyAlignment="1">
      <alignment vertical="center"/>
    </xf>
    <xf numFmtId="0" fontId="92" fillId="0" borderId="22" xfId="51" applyFont="1" applyBorder="1" applyAlignment="1">
      <alignment vertical="center" wrapText="1"/>
    </xf>
    <xf numFmtId="0" fontId="92" fillId="0" borderId="22" xfId="51" applyFont="1" applyBorder="1" applyAlignment="1">
      <alignment vertical="center"/>
    </xf>
    <xf numFmtId="166" fontId="17" fillId="32" borderId="0" xfId="0" applyNumberFormat="1" applyFont="1" applyFill="1" applyAlignment="1">
      <alignment horizontal="left"/>
    </xf>
    <xf numFmtId="0" fontId="12" fillId="32" borderId="22" xfId="0" applyFont="1" applyFill="1" applyBorder="1" applyAlignment="1">
      <alignment horizontal="center" vertical="center" wrapText="1"/>
    </xf>
    <xf numFmtId="0" fontId="12" fillId="32"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22" xfId="0" applyFont="1" applyBorder="1" applyAlignment="1">
      <alignment horizontal="center" vertical="center" wrapText="1"/>
    </xf>
    <xf numFmtId="0" fontId="75" fillId="0" borderId="71" xfId="49" applyFont="1" applyBorder="1" applyAlignment="1">
      <alignment horizontal="center"/>
    </xf>
    <xf numFmtId="0" fontId="75" fillId="0" borderId="72" xfId="49" applyFont="1" applyBorder="1" applyAlignment="1">
      <alignment horizontal="center"/>
    </xf>
    <xf numFmtId="0" fontId="4" fillId="0" borderId="77" xfId="49" applyBorder="1" applyAlignment="1">
      <alignment horizontal="right"/>
    </xf>
    <xf numFmtId="0" fontId="4" fillId="0" borderId="77" xfId="49" applyBorder="1"/>
    <xf numFmtId="174" fontId="4" fillId="29" borderId="100" xfId="49" applyNumberFormat="1" applyFill="1" applyBorder="1"/>
    <xf numFmtId="174" fontId="4" fillId="0" borderId="101" xfId="49" applyNumberFormat="1" applyBorder="1"/>
    <xf numFmtId="174" fontId="4" fillId="0" borderId="100" xfId="49" applyNumberFormat="1" applyBorder="1"/>
    <xf numFmtId="174" fontId="4" fillId="29" borderId="101" xfId="49" applyNumberFormat="1" applyFill="1" applyBorder="1"/>
    <xf numFmtId="173" fontId="81" fillId="0" borderId="104" xfId="49" applyNumberFormat="1" applyFont="1" applyBorder="1" applyAlignment="1">
      <alignment horizontal="center"/>
    </xf>
    <xf numFmtId="174" fontId="4" fillId="0" borderId="105" xfId="49" applyNumberFormat="1" applyBorder="1"/>
    <xf numFmtId="174" fontId="4" fillId="0" borderId="106" xfId="49" applyNumberFormat="1" applyBorder="1"/>
    <xf numFmtId="0" fontId="75" fillId="0" borderId="114" xfId="49" applyFont="1" applyBorder="1"/>
    <xf numFmtId="0" fontId="1" fillId="0" borderId="14" xfId="49" applyFont="1" applyBorder="1" applyAlignment="1">
      <alignment horizontal="right"/>
    </xf>
    <xf numFmtId="173" fontId="81" fillId="0" borderId="117" xfId="49" applyNumberFormat="1" applyFont="1" applyBorder="1" applyAlignment="1">
      <alignment horizontal="center"/>
    </xf>
    <xf numFmtId="173" fontId="81" fillId="0" borderId="107" xfId="49" applyNumberFormat="1" applyFont="1" applyBorder="1" applyAlignment="1">
      <alignment horizontal="center"/>
    </xf>
    <xf numFmtId="174" fontId="4" fillId="29" borderId="105" xfId="49" applyNumberFormat="1" applyFill="1" applyBorder="1"/>
    <xf numFmtId="174" fontId="4" fillId="29" borderId="106" xfId="49" applyNumberFormat="1" applyFill="1" applyBorder="1"/>
    <xf numFmtId="0" fontId="101" fillId="29" borderId="22" xfId="0" applyFont="1" applyFill="1" applyBorder="1"/>
    <xf numFmtId="0" fontId="101" fillId="0" borderId="22" xfId="0" applyFont="1" applyBorder="1" applyAlignment="1">
      <alignment horizontal="left"/>
    </xf>
    <xf numFmtId="0" fontId="15" fillId="0" borderId="0" xfId="0" applyFont="1"/>
    <xf numFmtId="166" fontId="17" fillId="32" borderId="22" xfId="0" applyNumberFormat="1" applyFont="1" applyFill="1" applyBorder="1" applyAlignment="1">
      <alignment horizontal="center"/>
    </xf>
    <xf numFmtId="42" fontId="17" fillId="40" borderId="56" xfId="0" applyNumberFormat="1" applyFont="1" applyFill="1" applyBorder="1"/>
    <xf numFmtId="0" fontId="17" fillId="27" borderId="21" xfId="0" applyFont="1" applyFill="1" applyBorder="1"/>
    <xf numFmtId="42" fontId="34" fillId="43" borderId="58" xfId="0" applyNumberFormat="1" applyFont="1" applyFill="1" applyBorder="1"/>
    <xf numFmtId="0" fontId="17" fillId="0" borderId="18" xfId="0" applyFont="1" applyBorder="1" applyAlignment="1">
      <alignment horizontal="left"/>
    </xf>
    <xf numFmtId="0" fontId="101" fillId="0" borderId="19" xfId="0" applyFont="1" applyBorder="1"/>
    <xf numFmtId="0" fontId="101" fillId="0" borderId="19" xfId="0" applyFont="1" applyBorder="1" applyAlignment="1">
      <alignment horizontal="left"/>
    </xf>
    <xf numFmtId="166" fontId="15" fillId="0" borderId="19" xfId="0" applyNumberFormat="1" applyFont="1" applyBorder="1" applyAlignment="1" applyProtection="1">
      <alignment horizontal="center" vertical="center"/>
      <protection locked="0"/>
    </xf>
    <xf numFmtId="0" fontId="12" fillId="0" borderId="0" xfId="0" applyFont="1" applyAlignment="1">
      <alignment horizontal="right"/>
    </xf>
    <xf numFmtId="0" fontId="101" fillId="0" borderId="14" xfId="0" applyFont="1" applyBorder="1" applyAlignment="1">
      <alignment horizontal="center"/>
    </xf>
    <xf numFmtId="42" fontId="34" fillId="40" borderId="118" xfId="0" applyNumberFormat="1" applyFont="1" applyFill="1" applyBorder="1"/>
    <xf numFmtId="10" fontId="34" fillId="40" borderId="118" xfId="0" applyNumberFormat="1" applyFont="1" applyFill="1" applyBorder="1"/>
    <xf numFmtId="0" fontId="101" fillId="29" borderId="83" xfId="0" applyFont="1" applyFill="1" applyBorder="1"/>
    <xf numFmtId="0" fontId="101" fillId="0" borderId="83" xfId="0" applyFont="1" applyBorder="1" applyAlignment="1">
      <alignment horizontal="left"/>
    </xf>
    <xf numFmtId="0" fontId="12" fillId="0" borderId="103" xfId="0" applyFont="1" applyBorder="1"/>
    <xf numFmtId="0" fontId="12" fillId="0" borderId="103" xfId="0" applyFont="1" applyBorder="1" applyAlignment="1">
      <alignment horizontal="right"/>
    </xf>
    <xf numFmtId="166" fontId="17" fillId="0" borderId="35" xfId="0" applyNumberFormat="1" applyFont="1" applyBorder="1" applyAlignment="1">
      <alignment horizontal="left" vertical="center" indent="3"/>
    </xf>
    <xf numFmtId="10" fontId="17" fillId="32" borderId="13" xfId="0" applyNumberFormat="1" applyFont="1" applyFill="1" applyBorder="1" applyAlignment="1">
      <alignment horizontal="left"/>
    </xf>
    <xf numFmtId="166" fontId="17" fillId="32" borderId="14" xfId="0" applyNumberFormat="1" applyFont="1" applyFill="1" applyBorder="1" applyAlignment="1">
      <alignment horizontal="left"/>
    </xf>
    <xf numFmtId="0" fontId="24" fillId="0" borderId="0" xfId="0" applyFont="1" applyAlignment="1">
      <alignment wrapText="1"/>
    </xf>
    <xf numFmtId="0" fontId="25" fillId="0" borderId="0" xfId="0" applyFont="1" applyAlignment="1">
      <alignment horizontal="left"/>
    </xf>
    <xf numFmtId="0" fontId="26" fillId="0" borderId="0" xfId="0" applyFont="1" applyAlignment="1">
      <alignment wrapText="1"/>
    </xf>
    <xf numFmtId="0" fontId="25" fillId="0" borderId="0" xfId="0" applyFont="1" applyAlignment="1">
      <alignment wrapText="1"/>
    </xf>
    <xf numFmtId="0" fontId="26" fillId="0" borderId="26" xfId="0" applyFont="1" applyBorder="1"/>
    <xf numFmtId="0" fontId="104" fillId="0" borderId="0" xfId="0" applyFont="1"/>
    <xf numFmtId="44" fontId="24" fillId="0" borderId="0" xfId="52" applyFont="1"/>
    <xf numFmtId="44" fontId="25" fillId="0" borderId="0" xfId="52" applyFont="1"/>
    <xf numFmtId="0" fontId="105" fillId="0" borderId="0" xfId="0" applyFont="1"/>
    <xf numFmtId="0" fontId="52" fillId="0" borderId="0" xfId="39" applyFont="1" applyAlignment="1">
      <alignment horizontal="right"/>
    </xf>
    <xf numFmtId="8" fontId="24" fillId="0" borderId="0" xfId="0" applyNumberFormat="1" applyFont="1" applyAlignment="1">
      <alignment wrapText="1"/>
    </xf>
    <xf numFmtId="0" fontId="104" fillId="0" borderId="23" xfId="0" applyFont="1" applyBorder="1"/>
    <xf numFmtId="44" fontId="24" fillId="0" borderId="0" xfId="52" applyFont="1" applyAlignment="1"/>
    <xf numFmtId="0" fontId="106" fillId="0" borderId="0" xfId="0" applyFont="1"/>
    <xf numFmtId="0" fontId="24" fillId="0" borderId="26" xfId="0" applyFont="1" applyBorder="1"/>
    <xf numFmtId="44" fontId="24" fillId="0" borderId="0" xfId="52" applyFont="1" applyBorder="1" applyAlignment="1">
      <alignment wrapText="1"/>
    </xf>
    <xf numFmtId="0" fontId="108" fillId="0" borderId="0" xfId="53" applyFont="1"/>
    <xf numFmtId="44" fontId="24" fillId="0" borderId="0" xfId="52" applyFont="1" applyBorder="1" applyAlignment="1">
      <alignment horizontal="left"/>
    </xf>
    <xf numFmtId="44" fontId="104" fillId="0" borderId="0" xfId="52" applyFont="1"/>
    <xf numFmtId="44" fontId="24" fillId="0" borderId="23" xfId="52" applyFont="1" applyBorder="1"/>
    <xf numFmtId="44" fontId="104" fillId="0" borderId="23" xfId="52" applyFont="1" applyBorder="1"/>
    <xf numFmtId="44" fontId="24" fillId="0" borderId="0" xfId="52" applyFont="1" applyBorder="1" applyAlignment="1">
      <alignment horizontal="left" vertical="top"/>
    </xf>
    <xf numFmtId="44" fontId="24" fillId="0" borderId="0" xfId="52" applyFont="1" applyBorder="1" applyAlignment="1"/>
    <xf numFmtId="44" fontId="24" fillId="0" borderId="0" xfId="52" applyFont="1" applyAlignment="1">
      <alignment wrapText="1"/>
    </xf>
    <xf numFmtId="0" fontId="24" fillId="0" borderId="0" xfId="0" applyFont="1" applyAlignment="1">
      <alignment horizontal="left" wrapText="1" indent="1"/>
    </xf>
    <xf numFmtId="176" fontId="24" fillId="0" borderId="0" xfId="52" applyNumberFormat="1" applyFont="1"/>
    <xf numFmtId="176" fontId="24" fillId="0" borderId="0" xfId="52" applyNumberFormat="1" applyFont="1" applyBorder="1" applyAlignment="1">
      <alignment horizontal="left" wrapText="1"/>
    </xf>
    <xf numFmtId="176" fontId="24" fillId="0" borderId="0" xfId="52" applyNumberFormat="1" applyFont="1" applyBorder="1" applyAlignment="1">
      <alignment horizontal="left"/>
    </xf>
    <xf numFmtId="176" fontId="24" fillId="0" borderId="0" xfId="52" applyNumberFormat="1" applyFont="1" applyBorder="1" applyAlignment="1">
      <alignment wrapText="1"/>
    </xf>
    <xf numFmtId="0" fontId="25" fillId="0" borderId="0" xfId="0" applyFont="1" applyAlignment="1">
      <alignment horizontal="left" wrapText="1"/>
    </xf>
    <xf numFmtId="6" fontId="104" fillId="0" borderId="0" xfId="0" applyNumberFormat="1" applyFont="1"/>
    <xf numFmtId="0" fontId="26" fillId="0" borderId="13" xfId="0" applyFont="1" applyBorder="1" applyAlignment="1">
      <alignment wrapText="1"/>
    </xf>
    <xf numFmtId="0" fontId="24" fillId="0" borderId="13" xfId="0" applyFont="1" applyBorder="1"/>
    <xf numFmtId="14" fontId="0" fillId="0" borderId="0" xfId="0" applyNumberFormat="1"/>
    <xf numFmtId="0" fontId="109" fillId="0" borderId="0" xfId="0" applyFont="1" applyAlignment="1">
      <alignment horizontal="center"/>
    </xf>
    <xf numFmtId="14" fontId="14" fillId="32" borderId="15" xfId="0" applyNumberFormat="1" applyFont="1" applyFill="1" applyBorder="1"/>
    <xf numFmtId="0" fontId="14" fillId="32" borderId="17" xfId="0" applyFont="1" applyFill="1" applyBorder="1"/>
    <xf numFmtId="14" fontId="110" fillId="32" borderId="14" xfId="0" applyNumberFormat="1" applyFont="1" applyFill="1" applyBorder="1" applyAlignment="1">
      <alignment horizontal="center"/>
    </xf>
    <xf numFmtId="14" fontId="14" fillId="32" borderId="14" xfId="0" applyNumberFormat="1" applyFont="1" applyFill="1" applyBorder="1" applyAlignment="1">
      <alignment horizontal="center"/>
    </xf>
    <xf numFmtId="14" fontId="111" fillId="0" borderId="0" xfId="0" applyNumberFormat="1" applyFont="1"/>
    <xf numFmtId="2" fontId="111" fillId="0" borderId="0" xfId="0" applyNumberFormat="1" applyFont="1"/>
    <xf numFmtId="2" fontId="7" fillId="0" borderId="0" xfId="0" applyNumberFormat="1" applyFont="1"/>
    <xf numFmtId="0" fontId="17" fillId="29" borderId="18" xfId="0" applyFont="1" applyFill="1" applyBorder="1"/>
    <xf numFmtId="0" fontId="34" fillId="29" borderId="18" xfId="0" applyFont="1" applyFill="1" applyBorder="1"/>
    <xf numFmtId="42" fontId="34" fillId="29" borderId="65" xfId="0" applyNumberFormat="1" applyFont="1" applyFill="1" applyBorder="1"/>
    <xf numFmtId="0" fontId="17" fillId="29" borderId="19" xfId="0" applyFont="1" applyFill="1" applyBorder="1"/>
    <xf numFmtId="42" fontId="34" fillId="29" borderId="61" xfId="0" applyNumberFormat="1" applyFont="1" applyFill="1" applyBorder="1"/>
    <xf numFmtId="0" fontId="17" fillId="29" borderId="43" xfId="0" applyFont="1" applyFill="1" applyBorder="1"/>
    <xf numFmtId="42" fontId="17" fillId="29" borderId="59" xfId="0" applyNumberFormat="1" applyFont="1" applyFill="1" applyBorder="1"/>
    <xf numFmtId="42" fontId="17" fillId="29" borderId="61" xfId="0" applyNumberFormat="1" applyFont="1" applyFill="1" applyBorder="1"/>
    <xf numFmtId="42" fontId="34" fillId="29" borderId="63" xfId="0" applyNumberFormat="1" applyFont="1" applyFill="1" applyBorder="1"/>
    <xf numFmtId="42" fontId="34" fillId="29" borderId="118" xfId="0" applyNumberFormat="1" applyFont="1" applyFill="1" applyBorder="1"/>
    <xf numFmtId="6" fontId="24" fillId="0" borderId="0" xfId="0" applyNumberFormat="1" applyFont="1"/>
    <xf numFmtId="0" fontId="24" fillId="0" borderId="14" xfId="0" applyFont="1" applyBorder="1" applyAlignment="1">
      <alignment horizontal="center"/>
    </xf>
    <xf numFmtId="0" fontId="24" fillId="0" borderId="14" xfId="0" applyFont="1" applyBorder="1"/>
    <xf numFmtId="0" fontId="111" fillId="0" borderId="0" xfId="0" applyFont="1"/>
    <xf numFmtId="173" fontId="77" fillId="0" borderId="83" xfId="49" applyNumberFormat="1" applyFont="1" applyBorder="1" applyAlignment="1">
      <alignment horizontal="center"/>
    </xf>
    <xf numFmtId="0" fontId="6" fillId="0" borderId="0" xfId="34" applyFont="1" applyAlignment="1" applyProtection="1">
      <alignment wrapText="1"/>
    </xf>
    <xf numFmtId="0" fontId="6" fillId="0" borderId="12" xfId="34" applyFont="1" applyBorder="1" applyAlignment="1" applyProtection="1"/>
    <xf numFmtId="42" fontId="34" fillId="40" borderId="117" xfId="0" applyNumberFormat="1" applyFont="1" applyFill="1" applyBorder="1"/>
    <xf numFmtId="177" fontId="17" fillId="0" borderId="0" xfId="0" applyNumberFormat="1" applyFont="1"/>
    <xf numFmtId="177" fontId="34" fillId="40" borderId="121" xfId="0" applyNumberFormat="1" applyFont="1" applyFill="1" applyBorder="1" applyAlignment="1">
      <alignment horizontal="center"/>
    </xf>
    <xf numFmtId="42" fontId="12" fillId="1" borderId="68" xfId="0" applyNumberFormat="1" applyFont="1" applyFill="1" applyBorder="1" applyAlignment="1">
      <alignment horizontal="right"/>
    </xf>
    <xf numFmtId="0" fontId="112" fillId="32" borderId="22" xfId="0" applyFont="1" applyFill="1" applyBorder="1" applyAlignment="1">
      <alignment horizontal="center" vertical="center" wrapText="1"/>
    </xf>
    <xf numFmtId="2" fontId="112" fillId="32" borderId="22" xfId="0" applyNumberFormat="1" applyFont="1" applyFill="1" applyBorder="1" applyAlignment="1">
      <alignment horizontal="center" vertical="center" wrapText="1"/>
    </xf>
    <xf numFmtId="0" fontId="55" fillId="32" borderId="22" xfId="0" applyFont="1" applyFill="1" applyBorder="1" applyAlignment="1">
      <alignment horizontal="center" vertical="center" wrapText="1"/>
    </xf>
    <xf numFmtId="2" fontId="55" fillId="32" borderId="22" xfId="0" applyNumberFormat="1" applyFont="1" applyFill="1" applyBorder="1" applyAlignment="1">
      <alignment horizontal="center" vertical="center" wrapText="1"/>
    </xf>
    <xf numFmtId="0" fontId="113" fillId="39" borderId="22" xfId="0" applyFont="1" applyFill="1" applyBorder="1" applyAlignment="1">
      <alignment horizontal="center" vertical="center" wrapText="1"/>
    </xf>
    <xf numFmtId="2" fontId="113" fillId="39" borderId="22" xfId="0" applyNumberFormat="1" applyFont="1" applyFill="1" applyBorder="1" applyAlignment="1">
      <alignment horizontal="center" vertical="center" wrapText="1"/>
    </xf>
    <xf numFmtId="164" fontId="14" fillId="0" borderId="0" xfId="0" applyNumberFormat="1" applyFont="1" applyAlignment="1">
      <alignment horizontal="right"/>
    </xf>
    <xf numFmtId="42" fontId="12" fillId="1" borderId="70" xfId="0" applyNumberFormat="1" applyFont="1" applyFill="1" applyBorder="1" applyAlignment="1">
      <alignment horizontal="right"/>
    </xf>
    <xf numFmtId="0" fontId="34" fillId="39" borderId="18" xfId="0" applyFont="1" applyFill="1" applyBorder="1"/>
    <xf numFmtId="42" fontId="34" fillId="39" borderId="117" xfId="0" applyNumberFormat="1" applyFont="1" applyFill="1" applyBorder="1"/>
    <xf numFmtId="42" fontId="14" fillId="1" borderId="69" xfId="0" applyNumberFormat="1" applyFont="1" applyFill="1" applyBorder="1" applyAlignment="1">
      <alignment horizontal="right"/>
    </xf>
    <xf numFmtId="177" fontId="14" fillId="0" borderId="0" xfId="0" applyNumberFormat="1" applyFont="1"/>
    <xf numFmtId="0" fontId="14" fillId="39" borderId="18" xfId="0" applyFont="1" applyFill="1" applyBorder="1" applyAlignment="1">
      <alignment horizontal="left"/>
    </xf>
    <xf numFmtId="42" fontId="14" fillId="39" borderId="117" xfId="0" applyNumberFormat="1" applyFont="1" applyFill="1" applyBorder="1"/>
    <xf numFmtId="42" fontId="34" fillId="40" borderId="122" xfId="0" applyNumberFormat="1" applyFont="1" applyFill="1" applyBorder="1"/>
    <xf numFmtId="42" fontId="34" fillId="40" borderId="47" xfId="0" applyNumberFormat="1" applyFont="1" applyFill="1" applyBorder="1"/>
    <xf numFmtId="42" fontId="34" fillId="40" borderId="121" xfId="0" applyNumberFormat="1" applyFont="1" applyFill="1" applyBorder="1"/>
    <xf numFmtId="42" fontId="34" fillId="39" borderId="119" xfId="0" applyNumberFormat="1" applyFont="1" applyFill="1" applyBorder="1"/>
    <xf numFmtId="0" fontId="34" fillId="39" borderId="15" xfId="0" applyFont="1" applyFill="1" applyBorder="1"/>
    <xf numFmtId="0" fontId="34" fillId="40" borderId="33" xfId="0" applyFont="1" applyFill="1" applyBorder="1"/>
    <xf numFmtId="42" fontId="14" fillId="1" borderId="70" xfId="0" applyNumberFormat="1" applyFont="1" applyFill="1" applyBorder="1" applyAlignment="1">
      <alignment horizontal="right"/>
    </xf>
    <xf numFmtId="42" fontId="17" fillId="1" borderId="22" xfId="0" applyNumberFormat="1" applyFont="1" applyFill="1" applyBorder="1"/>
    <xf numFmtId="42" fontId="17" fillId="1" borderId="61" xfId="0" applyNumberFormat="1" applyFont="1" applyFill="1" applyBorder="1"/>
    <xf numFmtId="42" fontId="17" fillId="44" borderId="58" xfId="0" applyNumberFormat="1" applyFont="1" applyFill="1" applyBorder="1"/>
    <xf numFmtId="0" fontId="0" fillId="0" borderId="0" xfId="0" applyAlignment="1">
      <alignment horizontal="left"/>
    </xf>
    <xf numFmtId="0" fontId="0" fillId="0" borderId="12" xfId="0" applyBorder="1" applyAlignment="1">
      <alignment horizontal="left"/>
    </xf>
    <xf numFmtId="0" fontId="114" fillId="0" borderId="0" xfId="0" applyFont="1"/>
    <xf numFmtId="0" fontId="114" fillId="0" borderId="12" xfId="0" applyFont="1" applyBorder="1"/>
    <xf numFmtId="0" fontId="115" fillId="0" borderId="0" xfId="0" applyFont="1" applyAlignment="1">
      <alignment horizontal="left"/>
    </xf>
    <xf numFmtId="1" fontId="115" fillId="0" borderId="12" xfId="0" applyNumberFormat="1" applyFont="1" applyBorder="1" applyAlignment="1">
      <alignment horizontal="left"/>
    </xf>
    <xf numFmtId="166" fontId="16" fillId="29" borderId="18" xfId="0" applyNumberFormat="1" applyFont="1" applyFill="1" applyBorder="1" applyAlignment="1">
      <alignment horizontal="center"/>
    </xf>
    <xf numFmtId="166" fontId="17" fillId="1" borderId="22" xfId="0" applyNumberFormat="1" applyFont="1" applyFill="1" applyBorder="1" applyAlignment="1">
      <alignment horizontal="center" vertical="center"/>
    </xf>
    <xf numFmtId="166" fontId="17" fillId="32" borderId="22" xfId="0" applyNumberFormat="1" applyFont="1" applyFill="1" applyBorder="1" applyAlignment="1" applyProtection="1">
      <alignment vertical="center"/>
      <protection locked="0"/>
    </xf>
    <xf numFmtId="0" fontId="111" fillId="0" borderId="0" xfId="0" applyFont="1" applyAlignment="1">
      <alignment horizontal="right" vertical="center"/>
    </xf>
    <xf numFmtId="0" fontId="111" fillId="0" borderId="0" xfId="0" applyFont="1" applyAlignment="1">
      <alignment vertical="center"/>
    </xf>
    <xf numFmtId="166" fontId="17" fillId="32" borderId="18" xfId="0" applyNumberFormat="1" applyFont="1" applyFill="1" applyBorder="1" applyAlignment="1">
      <alignment horizontal="center" vertical="center"/>
    </xf>
    <xf numFmtId="0" fontId="116" fillId="32" borderId="0" xfId="0" applyFont="1" applyFill="1" applyAlignment="1">
      <alignment horizontal="right"/>
    </xf>
    <xf numFmtId="2" fontId="83" fillId="0" borderId="0" xfId="0" applyNumberFormat="1" applyFont="1"/>
    <xf numFmtId="0" fontId="88" fillId="0" borderId="51" xfId="0" applyFont="1" applyBorder="1" applyAlignment="1">
      <alignment horizontal="center" vertical="center"/>
    </xf>
    <xf numFmtId="166" fontId="17" fillId="0" borderId="22" xfId="0" applyNumberFormat="1" applyFont="1" applyBorder="1" applyAlignment="1">
      <alignment horizontal="left" vertical="center"/>
    </xf>
    <xf numFmtId="0" fontId="12" fillId="0" borderId="19" xfId="0" applyFont="1" applyBorder="1" applyAlignment="1">
      <alignment horizontal="left"/>
    </xf>
    <xf numFmtId="165" fontId="14" fillId="32" borderId="18" xfId="0" applyNumberFormat="1" applyFont="1" applyFill="1" applyBorder="1" applyAlignment="1">
      <alignment horizontal="right"/>
    </xf>
    <xf numFmtId="165" fontId="14" fillId="32" borderId="19" xfId="0" applyNumberFormat="1" applyFont="1" applyFill="1" applyBorder="1" applyAlignment="1">
      <alignment horizontal="right"/>
    </xf>
    <xf numFmtId="165" fontId="14" fillId="32" borderId="30" xfId="0" applyNumberFormat="1" applyFont="1" applyFill="1" applyBorder="1" applyAlignment="1">
      <alignment horizontal="right"/>
    </xf>
    <xf numFmtId="166" fontId="17" fillId="0" borderId="18" xfId="0" applyNumberFormat="1" applyFont="1" applyBorder="1" applyAlignment="1" applyProtection="1">
      <alignment horizontal="left" vertical="center" indent="3"/>
      <protection locked="0"/>
    </xf>
    <xf numFmtId="166" fontId="17" fillId="0" borderId="30" xfId="0" applyNumberFormat="1" applyFont="1" applyBorder="1" applyAlignment="1" applyProtection="1">
      <alignment horizontal="left" vertical="center" indent="3"/>
      <protection locked="0"/>
    </xf>
    <xf numFmtId="0" fontId="12" fillId="32" borderId="48" xfId="0" applyFont="1" applyFill="1" applyBorder="1" applyAlignment="1" applyProtection="1">
      <alignment horizontal="center"/>
      <protection locked="0"/>
    </xf>
    <xf numFmtId="0" fontId="12" fillId="32" borderId="49" xfId="0" applyFont="1" applyFill="1" applyBorder="1" applyAlignment="1" applyProtection="1">
      <alignment horizontal="center"/>
      <protection locked="0"/>
    </xf>
    <xf numFmtId="0" fontId="12" fillId="32" borderId="50" xfId="0" applyFont="1" applyFill="1" applyBorder="1" applyAlignment="1" applyProtection="1">
      <alignment horizontal="center"/>
      <protection locked="0"/>
    </xf>
    <xf numFmtId="166" fontId="17" fillId="32" borderId="18" xfId="0" applyNumberFormat="1" applyFont="1" applyFill="1" applyBorder="1" applyAlignment="1" applyProtection="1">
      <alignment horizontal="left" vertical="center" indent="3"/>
      <protection locked="0"/>
    </xf>
    <xf numFmtId="166" fontId="17" fillId="32" borderId="19" xfId="0" applyNumberFormat="1" applyFont="1" applyFill="1" applyBorder="1" applyAlignment="1" applyProtection="1">
      <alignment horizontal="left" vertical="center" indent="3"/>
      <protection locked="0"/>
    </xf>
    <xf numFmtId="166" fontId="17" fillId="0" borderId="18" xfId="0" applyNumberFormat="1" applyFont="1" applyBorder="1" applyAlignment="1">
      <alignment horizontal="left" vertical="center"/>
    </xf>
    <xf numFmtId="166" fontId="17" fillId="0" borderId="30" xfId="0" applyNumberFormat="1" applyFont="1" applyBorder="1" applyAlignment="1">
      <alignment horizontal="left" vertical="center"/>
    </xf>
    <xf numFmtId="0" fontId="12" fillId="32" borderId="0" xfId="0" applyFont="1" applyFill="1" applyAlignment="1">
      <alignment horizontal="right"/>
    </xf>
    <xf numFmtId="0" fontId="14" fillId="32" borderId="12" xfId="0" applyFont="1" applyFill="1" applyBorder="1" applyAlignment="1">
      <alignment horizontal="left"/>
    </xf>
    <xf numFmtId="0" fontId="14" fillId="32" borderId="0" xfId="0" applyFont="1" applyFill="1" applyAlignment="1">
      <alignment horizontal="left"/>
    </xf>
    <xf numFmtId="0" fontId="14" fillId="32" borderId="19" xfId="0" applyFont="1" applyFill="1" applyBorder="1" applyAlignment="1">
      <alignment horizontal="center"/>
    </xf>
    <xf numFmtId="0" fontId="14" fillId="32" borderId="66" xfId="0" applyFont="1" applyFill="1" applyBorder="1" applyAlignment="1">
      <alignment horizontal="center"/>
    </xf>
    <xf numFmtId="0" fontId="14" fillId="32" borderId="19" xfId="0" applyFont="1" applyFill="1" applyBorder="1" applyAlignment="1">
      <alignment horizontal="left"/>
    </xf>
    <xf numFmtId="168" fontId="14" fillId="0" borderId="0" xfId="0" quotePrefix="1" applyNumberFormat="1" applyFont="1" applyAlignment="1">
      <alignment horizontal="left" vertical="top" wrapText="1"/>
    </xf>
    <xf numFmtId="168" fontId="14" fillId="0" borderId="0" xfId="0" applyNumberFormat="1" applyFont="1" applyAlignment="1">
      <alignment horizontal="left" vertical="top" wrapText="1"/>
    </xf>
    <xf numFmtId="168" fontId="14" fillId="0" borderId="12" xfId="0" applyNumberFormat="1" applyFont="1" applyBorder="1" applyAlignment="1">
      <alignment horizontal="left" vertical="top" wrapText="1"/>
    </xf>
    <xf numFmtId="168" fontId="14" fillId="0" borderId="15" xfId="0" applyNumberFormat="1" applyFont="1" applyBorder="1" applyAlignment="1">
      <alignment horizontal="left" vertical="top" wrapText="1"/>
    </xf>
    <xf numFmtId="168" fontId="14" fillId="0" borderId="14" xfId="0" applyNumberFormat="1" applyFont="1" applyBorder="1" applyAlignment="1">
      <alignment horizontal="left" vertical="top" wrapText="1"/>
    </xf>
    <xf numFmtId="0" fontId="12" fillId="32" borderId="16" xfId="0" applyFont="1" applyFill="1" applyBorder="1" applyAlignment="1">
      <alignment horizontal="center" wrapText="1"/>
    </xf>
    <xf numFmtId="0" fontId="12" fillId="32" borderId="20" xfId="0" applyFont="1" applyFill="1" applyBorder="1" applyAlignment="1">
      <alignment horizontal="center" wrapText="1"/>
    </xf>
    <xf numFmtId="0" fontId="12" fillId="32" borderId="15" xfId="0" applyFont="1" applyFill="1" applyBorder="1" applyAlignment="1">
      <alignment horizontal="center" wrapText="1"/>
    </xf>
    <xf numFmtId="0" fontId="12" fillId="32" borderId="17" xfId="0" applyFont="1" applyFill="1" applyBorder="1" applyAlignment="1">
      <alignment horizontal="center" wrapText="1"/>
    </xf>
    <xf numFmtId="0" fontId="14" fillId="0" borderId="14" xfId="0" applyFont="1" applyBorder="1" applyAlignment="1" applyProtection="1">
      <alignment horizontal="center"/>
      <protection locked="0"/>
    </xf>
    <xf numFmtId="10" fontId="12" fillId="34" borderId="18" xfId="0" applyNumberFormat="1" applyFont="1" applyFill="1" applyBorder="1" applyAlignment="1">
      <alignment horizontal="center" wrapText="1"/>
    </xf>
    <xf numFmtId="10" fontId="12" fillId="34" borderId="30" xfId="0" applyNumberFormat="1" applyFont="1" applyFill="1" applyBorder="1" applyAlignment="1">
      <alignment horizont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4" fillId="32" borderId="15" xfId="0" applyFont="1" applyFill="1" applyBorder="1" applyAlignment="1">
      <alignment horizontal="left"/>
    </xf>
    <xf numFmtId="0" fontId="14" fillId="32" borderId="14" xfId="0" applyFont="1" applyFill="1" applyBorder="1" applyAlignment="1">
      <alignment horizontal="left"/>
    </xf>
    <xf numFmtId="0" fontId="14" fillId="32" borderId="15" xfId="0" applyFont="1" applyFill="1" applyBorder="1" applyAlignment="1" applyProtection="1">
      <alignment horizontal="left"/>
      <protection locked="0"/>
    </xf>
    <xf numFmtId="0" fontId="14" fillId="32" borderId="14" xfId="0" applyFont="1" applyFill="1" applyBorder="1" applyAlignment="1" applyProtection="1">
      <alignment horizontal="left"/>
      <protection locked="0"/>
    </xf>
    <xf numFmtId="175" fontId="11" fillId="32" borderId="12" xfId="0" applyNumberFormat="1" applyFont="1" applyFill="1" applyBorder="1" applyAlignment="1">
      <alignment horizontal="center" vertical="center"/>
    </xf>
    <xf numFmtId="175" fontId="11" fillId="32" borderId="0" xfId="0" applyNumberFormat="1" applyFont="1" applyFill="1" applyAlignment="1">
      <alignment horizontal="center" vertical="center"/>
    </xf>
    <xf numFmtId="175" fontId="11" fillId="32" borderId="11" xfId="0" applyNumberFormat="1" applyFont="1" applyFill="1" applyBorder="1" applyAlignment="1">
      <alignment horizontal="center" vertical="center"/>
    </xf>
    <xf numFmtId="0" fontId="11" fillId="0" borderId="16"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6" fillId="29" borderId="16" xfId="0" applyFont="1" applyFill="1" applyBorder="1" applyAlignment="1">
      <alignment horizontal="center" vertical="center" wrapText="1"/>
    </xf>
    <xf numFmtId="0" fontId="16" fillId="29" borderId="20" xfId="0" applyFont="1" applyFill="1" applyBorder="1" applyAlignment="1">
      <alignment horizontal="center" vertical="center" wrapText="1"/>
    </xf>
    <xf numFmtId="168" fontId="16" fillId="29" borderId="15" xfId="0" applyNumberFormat="1" applyFont="1" applyFill="1" applyBorder="1" applyAlignment="1">
      <alignment horizontal="center" vertical="center" wrapText="1"/>
    </xf>
    <xf numFmtId="168" fontId="16" fillId="29" borderId="17" xfId="0" applyNumberFormat="1" applyFont="1" applyFill="1" applyBorder="1" applyAlignment="1">
      <alignment horizontal="center" vertical="center" wrapText="1"/>
    </xf>
    <xf numFmtId="1" fontId="12" fillId="0" borderId="18" xfId="0" applyNumberFormat="1" applyFont="1" applyBorder="1" applyAlignment="1">
      <alignment horizontal="center" vertical="center"/>
    </xf>
    <xf numFmtId="1" fontId="12" fillId="0" borderId="30" xfId="0" applyNumberFormat="1" applyFont="1" applyBorder="1" applyAlignment="1">
      <alignment horizontal="center" vertical="center"/>
    </xf>
    <xf numFmtId="168" fontId="16" fillId="29" borderId="12" xfId="0" applyNumberFormat="1" applyFont="1" applyFill="1" applyBorder="1" applyAlignment="1">
      <alignment horizontal="center" vertical="center" wrapText="1"/>
    </xf>
    <xf numFmtId="168" fontId="16" fillId="29" borderId="11" xfId="0" applyNumberFormat="1" applyFont="1" applyFill="1" applyBorder="1" applyAlignment="1">
      <alignment horizontal="center" vertical="center" wrapText="1"/>
    </xf>
    <xf numFmtId="169" fontId="12" fillId="0" borderId="16" xfId="0" applyNumberFormat="1" applyFont="1" applyBorder="1" applyAlignment="1" applyProtection="1">
      <alignment horizontal="center" vertical="center"/>
      <protection locked="0"/>
    </xf>
    <xf numFmtId="169" fontId="0" fillId="0" borderId="20" xfId="0" applyNumberFormat="1" applyBorder="1" applyAlignment="1" applyProtection="1">
      <alignment horizontal="center" vertical="center"/>
      <protection locked="0"/>
    </xf>
    <xf numFmtId="169" fontId="12" fillId="0" borderId="15" xfId="0" applyNumberFormat="1" applyFont="1" applyBorder="1" applyAlignment="1" applyProtection="1">
      <alignment horizontal="center" vertical="center"/>
      <protection locked="0"/>
    </xf>
    <xf numFmtId="169" fontId="0" fillId="0" borderId="17" xfId="0" applyNumberFormat="1" applyBorder="1" applyAlignment="1" applyProtection="1">
      <alignment horizontal="center" vertical="center"/>
      <protection locked="0"/>
    </xf>
    <xf numFmtId="169" fontId="12" fillId="32" borderId="16" xfId="0" applyNumberFormat="1" applyFont="1" applyFill="1" applyBorder="1" applyAlignment="1">
      <alignment horizontal="center" vertical="center"/>
    </xf>
    <xf numFmtId="0" fontId="0" fillId="32" borderId="20" xfId="0" applyFill="1" applyBorder="1" applyAlignment="1">
      <alignment vertical="center"/>
    </xf>
    <xf numFmtId="0" fontId="0" fillId="32" borderId="15" xfId="0" applyFill="1" applyBorder="1" applyAlignment="1">
      <alignment vertical="center"/>
    </xf>
    <xf numFmtId="0" fontId="0" fillId="32" borderId="17" xfId="0" applyFill="1" applyBorder="1" applyAlignment="1">
      <alignment vertical="center"/>
    </xf>
    <xf numFmtId="0" fontId="12" fillId="32" borderId="13" xfId="0" applyFont="1" applyFill="1" applyBorder="1" applyAlignment="1">
      <alignment horizontal="right" vertical="center"/>
    </xf>
    <xf numFmtId="0" fontId="12" fillId="32" borderId="20" xfId="0" applyFont="1" applyFill="1" applyBorder="1" applyAlignment="1">
      <alignment horizontal="right" vertical="center"/>
    </xf>
    <xf numFmtId="0" fontId="12" fillId="32" borderId="14" xfId="0" applyFont="1" applyFill="1" applyBorder="1" applyAlignment="1">
      <alignment horizontal="right" vertical="center"/>
    </xf>
    <xf numFmtId="0" fontId="12" fillId="32" borderId="17" xfId="0" applyFont="1" applyFill="1" applyBorder="1" applyAlignment="1">
      <alignment horizontal="right" vertical="center"/>
    </xf>
    <xf numFmtId="0" fontId="12" fillId="32" borderId="13" xfId="0" applyFont="1" applyFill="1" applyBorder="1" applyAlignment="1">
      <alignment horizontal="center" wrapText="1"/>
    </xf>
    <xf numFmtId="0" fontId="12" fillId="32" borderId="14" xfId="0" applyFont="1" applyFill="1" applyBorder="1" applyAlignment="1">
      <alignment horizontal="center" wrapText="1"/>
    </xf>
    <xf numFmtId="0" fontId="12" fillId="39" borderId="16" xfId="0" applyFont="1" applyFill="1" applyBorder="1" applyAlignment="1">
      <alignment horizontal="center" vertical="center"/>
    </xf>
    <xf numFmtId="0" fontId="6" fillId="39" borderId="13" xfId="0" applyFont="1" applyFill="1" applyBorder="1" applyAlignment="1">
      <alignment horizontal="center" vertical="center"/>
    </xf>
    <xf numFmtId="0" fontId="6" fillId="39" borderId="15" xfId="0" applyFont="1" applyFill="1" applyBorder="1" applyAlignment="1">
      <alignment horizontal="center" vertical="center"/>
    </xf>
    <xf numFmtId="0" fontId="6" fillId="39" borderId="14" xfId="0" applyFont="1" applyFill="1" applyBorder="1" applyAlignment="1">
      <alignment horizontal="center" vertical="center"/>
    </xf>
    <xf numFmtId="0" fontId="14" fillId="32" borderId="15" xfId="0" applyFont="1" applyFill="1" applyBorder="1" applyAlignment="1">
      <alignment horizontal="center"/>
    </xf>
    <xf numFmtId="0" fontId="14" fillId="32" borderId="14" xfId="0" applyFont="1" applyFill="1" applyBorder="1" applyAlignment="1">
      <alignment horizontal="center"/>
    </xf>
    <xf numFmtId="0" fontId="14" fillId="32" borderId="17" xfId="0" applyFont="1" applyFill="1" applyBorder="1" applyAlignment="1">
      <alignment horizontal="center"/>
    </xf>
    <xf numFmtId="0" fontId="12" fillId="0" borderId="14" xfId="0" applyFont="1" applyBorder="1" applyAlignment="1">
      <alignment horizontal="left"/>
    </xf>
    <xf numFmtId="0" fontId="14" fillId="32" borderId="20" xfId="0" applyFont="1" applyFill="1" applyBorder="1" applyAlignment="1">
      <alignment horizontal="center" vertical="center" wrapText="1"/>
    </xf>
    <xf numFmtId="0" fontId="14" fillId="32" borderId="11" xfId="0" applyFont="1" applyFill="1" applyBorder="1" applyAlignment="1">
      <alignment horizontal="center" vertical="center" wrapText="1"/>
    </xf>
    <xf numFmtId="0" fontId="14" fillId="32" borderId="17" xfId="0" applyFont="1" applyFill="1" applyBorder="1" applyAlignment="1">
      <alignment horizontal="center" vertical="center" wrapText="1"/>
    </xf>
    <xf numFmtId="0" fontId="14" fillId="32" borderId="16" xfId="0" applyFont="1" applyFill="1" applyBorder="1" applyAlignment="1">
      <alignment horizontal="center"/>
    </xf>
    <xf numFmtId="0" fontId="14" fillId="32" borderId="13" xfId="0" applyFont="1" applyFill="1" applyBorder="1" applyAlignment="1">
      <alignment horizontal="center"/>
    </xf>
    <xf numFmtId="0" fontId="14" fillId="32" borderId="20" xfId="0" applyFont="1" applyFill="1" applyBorder="1" applyAlignment="1">
      <alignment horizontal="center"/>
    </xf>
    <xf numFmtId="10" fontId="14" fillId="32" borderId="0" xfId="0" applyNumberFormat="1" applyFont="1" applyFill="1" applyAlignment="1">
      <alignment horizontal="center"/>
    </xf>
    <xf numFmtId="10" fontId="14" fillId="32" borderId="11" xfId="0" applyNumberFormat="1" applyFont="1" applyFill="1" applyBorder="1" applyAlignment="1">
      <alignment horizontal="center"/>
    </xf>
    <xf numFmtId="0" fontId="12" fillId="0" borderId="48" xfId="0" applyFont="1" applyBorder="1" applyAlignment="1" applyProtection="1">
      <alignment horizontal="left"/>
      <protection locked="0"/>
    </xf>
    <xf numFmtId="0" fontId="12" fillId="0" borderId="49" xfId="0" applyFont="1" applyBorder="1" applyAlignment="1" applyProtection="1">
      <alignment horizontal="left"/>
      <protection locked="0"/>
    </xf>
    <xf numFmtId="0" fontId="12" fillId="0" borderId="50" xfId="0" applyFont="1" applyBorder="1" applyAlignment="1" applyProtection="1">
      <alignment horizontal="left"/>
      <protection locked="0"/>
    </xf>
    <xf numFmtId="0" fontId="14" fillId="32" borderId="30" xfId="0" applyFont="1" applyFill="1" applyBorder="1" applyAlignment="1">
      <alignment horizontal="left"/>
    </xf>
    <xf numFmtId="0" fontId="14" fillId="32" borderId="22" xfId="0" applyFont="1" applyFill="1" applyBorder="1" applyAlignment="1">
      <alignment horizontal="left"/>
    </xf>
    <xf numFmtId="0" fontId="29" fillId="32" borderId="19" xfId="0" applyFont="1" applyFill="1" applyBorder="1" applyAlignment="1">
      <alignment horizontal="left"/>
    </xf>
    <xf numFmtId="0" fontId="29" fillId="32" borderId="66" xfId="0" applyFont="1" applyFill="1" applyBorder="1" applyAlignment="1">
      <alignment horizontal="left"/>
    </xf>
    <xf numFmtId="166" fontId="17" fillId="32" borderId="31" xfId="0" applyNumberFormat="1" applyFont="1" applyFill="1" applyBorder="1" applyAlignment="1" applyProtection="1">
      <alignment horizontal="left" vertical="center" indent="3"/>
      <protection locked="0"/>
    </xf>
    <xf numFmtId="166" fontId="17" fillId="32" borderId="32" xfId="0" applyNumberFormat="1" applyFont="1" applyFill="1" applyBorder="1" applyAlignment="1" applyProtection="1">
      <alignment horizontal="left" vertical="center" indent="3"/>
      <protection locked="0"/>
    </xf>
    <xf numFmtId="166" fontId="17" fillId="32" borderId="31" xfId="0" applyNumberFormat="1" applyFont="1" applyFill="1" applyBorder="1" applyAlignment="1">
      <alignment horizontal="left" vertical="center" indent="3"/>
    </xf>
    <xf numFmtId="166" fontId="17" fillId="32" borderId="32" xfId="0" applyNumberFormat="1" applyFont="1" applyFill="1" applyBorder="1" applyAlignment="1">
      <alignment horizontal="left" vertical="center" indent="3"/>
    </xf>
    <xf numFmtId="166" fontId="17" fillId="0" borderId="33" xfId="0" applyNumberFormat="1" applyFont="1" applyBorder="1" applyAlignment="1" applyProtection="1">
      <alignment horizontal="left" vertical="center" indent="3"/>
      <protection locked="0"/>
    </xf>
    <xf numFmtId="166" fontId="17" fillId="0" borderId="34" xfId="0" applyNumberFormat="1" applyFont="1" applyBorder="1" applyAlignment="1" applyProtection="1">
      <alignment horizontal="left" vertical="center" indent="3"/>
      <protection locked="0"/>
    </xf>
    <xf numFmtId="166" fontId="17" fillId="0" borderId="28" xfId="0" applyNumberFormat="1" applyFont="1" applyBorder="1" applyAlignment="1" applyProtection="1">
      <alignment horizontal="left" vertical="center" indent="3"/>
      <protection locked="0"/>
    </xf>
    <xf numFmtId="166" fontId="17" fillId="0" borderId="29" xfId="0" applyNumberFormat="1" applyFont="1" applyBorder="1" applyAlignment="1" applyProtection="1">
      <alignment horizontal="left" vertical="center" indent="3"/>
      <protection locked="0"/>
    </xf>
    <xf numFmtId="166" fontId="17" fillId="32" borderId="30" xfId="0" applyNumberFormat="1" applyFont="1" applyFill="1" applyBorder="1" applyAlignment="1" applyProtection="1">
      <alignment horizontal="left" vertical="center" indent="3"/>
      <protection locked="0"/>
    </xf>
    <xf numFmtId="10" fontId="117" fillId="32" borderId="0" xfId="0" applyNumberFormat="1" applyFont="1" applyFill="1" applyAlignment="1">
      <alignment horizontal="center"/>
    </xf>
    <xf numFmtId="10" fontId="117" fillId="32" borderId="11" xfId="0" applyNumberFormat="1" applyFont="1" applyFill="1" applyBorder="1" applyAlignment="1">
      <alignment horizontal="center"/>
    </xf>
    <xf numFmtId="166" fontId="17" fillId="0" borderId="19" xfId="0" applyNumberFormat="1" applyFont="1" applyBorder="1" applyAlignment="1" applyProtection="1">
      <alignment horizontal="left" vertical="center" indent="3"/>
      <protection locked="0"/>
    </xf>
    <xf numFmtId="166" fontId="17" fillId="32" borderId="18" xfId="0" applyNumberFormat="1" applyFont="1" applyFill="1" applyBorder="1" applyAlignment="1">
      <alignment horizontal="left" vertical="center" indent="3"/>
    </xf>
    <xf numFmtId="166" fontId="17" fillId="32" borderId="30" xfId="0" applyNumberFormat="1" applyFont="1" applyFill="1" applyBorder="1" applyAlignment="1">
      <alignment horizontal="left" vertical="center" indent="3"/>
    </xf>
    <xf numFmtId="166" fontId="17" fillId="39" borderId="46" xfId="0" applyNumberFormat="1" applyFont="1" applyFill="1" applyBorder="1" applyAlignment="1">
      <alignment horizontal="left" vertical="center" indent="3"/>
    </xf>
    <xf numFmtId="166" fontId="17" fillId="39" borderId="47" xfId="0" applyNumberFormat="1" applyFont="1" applyFill="1" applyBorder="1" applyAlignment="1">
      <alignment horizontal="left" vertical="center" indent="3"/>
    </xf>
    <xf numFmtId="166" fontId="17" fillId="39" borderId="31" xfId="0" applyNumberFormat="1" applyFont="1" applyFill="1" applyBorder="1" applyAlignment="1">
      <alignment horizontal="left" vertical="center" indent="3"/>
    </xf>
    <xf numFmtId="166" fontId="17" fillId="39" borderId="32" xfId="0" applyNumberFormat="1" applyFont="1" applyFill="1" applyBorder="1" applyAlignment="1">
      <alignment horizontal="left" vertical="center" indent="3"/>
    </xf>
    <xf numFmtId="10" fontId="85" fillId="34" borderId="43" xfId="0" applyNumberFormat="1" applyFont="1" applyFill="1" applyBorder="1" applyAlignment="1">
      <alignment horizontal="left" vertical="center" indent="3"/>
    </xf>
    <xf numFmtId="10" fontId="85" fillId="34" borderId="0" xfId="0" applyNumberFormat="1" applyFont="1" applyFill="1" applyAlignment="1">
      <alignment horizontal="left" vertical="center" indent="3"/>
    </xf>
    <xf numFmtId="10" fontId="17" fillId="32" borderId="31" xfId="0" applyNumberFormat="1" applyFont="1" applyFill="1" applyBorder="1" applyAlignment="1">
      <alignment horizontal="left" vertical="center" indent="3"/>
    </xf>
    <xf numFmtId="10" fontId="17" fillId="32" borderId="32" xfId="0" applyNumberFormat="1" applyFont="1" applyFill="1" applyBorder="1" applyAlignment="1">
      <alignment horizontal="left" vertical="center" indent="3"/>
    </xf>
    <xf numFmtId="10" fontId="17" fillId="0" borderId="0" xfId="0" applyNumberFormat="1" applyFont="1" applyAlignment="1">
      <alignment horizontal="left" vertical="center" indent="3"/>
    </xf>
    <xf numFmtId="175" fontId="83" fillId="39" borderId="31" xfId="0" applyNumberFormat="1" applyFont="1" applyFill="1" applyBorder="1" applyAlignment="1">
      <alignment horizontal="center"/>
    </xf>
    <xf numFmtId="0" fontId="83" fillId="39" borderId="32" xfId="0" applyFont="1" applyFill="1" applyBorder="1" applyAlignment="1">
      <alignment horizontal="center"/>
    </xf>
    <xf numFmtId="175" fontId="84" fillId="34" borderId="43" xfId="0" applyNumberFormat="1" applyFont="1" applyFill="1" applyBorder="1" applyAlignment="1">
      <alignment horizontal="center"/>
    </xf>
    <xf numFmtId="175" fontId="84" fillId="34" borderId="0" xfId="0" applyNumberFormat="1" applyFont="1" applyFill="1" applyAlignment="1">
      <alignment horizontal="center"/>
    </xf>
    <xf numFmtId="0" fontId="84" fillId="34" borderId="0" xfId="0" applyFont="1" applyFill="1" applyAlignment="1">
      <alignment horizontal="center"/>
    </xf>
    <xf numFmtId="166" fontId="85" fillId="34" borderId="43" xfId="0" applyNumberFormat="1" applyFont="1" applyFill="1" applyBorder="1" applyAlignment="1">
      <alignment horizontal="left" vertical="center" indent="3"/>
    </xf>
    <xf numFmtId="166" fontId="85" fillId="34" borderId="0" xfId="0" applyNumberFormat="1" applyFont="1" applyFill="1" applyAlignment="1">
      <alignment horizontal="left" vertical="center" indent="3"/>
    </xf>
    <xf numFmtId="164" fontId="14" fillId="0" borderId="0" xfId="0" applyNumberFormat="1" applyFont="1" applyAlignment="1">
      <alignment horizontal="right"/>
    </xf>
    <xf numFmtId="5" fontId="14" fillId="0" borderId="0" xfId="0" applyNumberFormat="1" applyFont="1" applyAlignment="1" applyProtection="1">
      <alignment horizontal="right"/>
      <protection locked="0"/>
    </xf>
    <xf numFmtId="0" fontId="14" fillId="0" borderId="0" xfId="0" applyFont="1" applyAlignment="1">
      <alignment horizontal="right"/>
    </xf>
    <xf numFmtId="166" fontId="17" fillId="0" borderId="31" xfId="0" applyNumberFormat="1" applyFont="1" applyBorder="1" applyAlignment="1">
      <alignment horizontal="left" vertical="center" indent="3"/>
    </xf>
    <xf numFmtId="166" fontId="17" fillId="0" borderId="32" xfId="0" applyNumberFormat="1" applyFont="1" applyBorder="1" applyAlignment="1">
      <alignment horizontal="left" vertical="center" indent="3"/>
    </xf>
    <xf numFmtId="166" fontId="16" fillId="29" borderId="22" xfId="0" applyNumberFormat="1" applyFont="1" applyFill="1" applyBorder="1" applyAlignment="1">
      <alignment horizontal="center"/>
    </xf>
    <xf numFmtId="9" fontId="12" fillId="32" borderId="12" xfId="0" applyNumberFormat="1" applyFont="1" applyFill="1" applyBorder="1" applyAlignment="1">
      <alignment horizontal="right"/>
    </xf>
    <xf numFmtId="9" fontId="12" fillId="32" borderId="0" xfId="0" applyNumberFormat="1" applyFont="1" applyFill="1" applyAlignment="1">
      <alignment horizontal="right"/>
    </xf>
    <xf numFmtId="9" fontId="12" fillId="32" borderId="15" xfId="0" applyNumberFormat="1" applyFont="1" applyFill="1" applyBorder="1" applyAlignment="1">
      <alignment horizontal="right"/>
    </xf>
    <xf numFmtId="9" fontId="12" fillId="32" borderId="14" xfId="0" applyNumberFormat="1" applyFont="1" applyFill="1" applyBorder="1" applyAlignment="1">
      <alignment horizontal="right"/>
    </xf>
    <xf numFmtId="0" fontId="14" fillId="32" borderId="14" xfId="0" applyFont="1" applyFill="1" applyBorder="1" applyAlignment="1">
      <alignment horizontal="right"/>
    </xf>
    <xf numFmtId="0" fontId="14" fillId="32" borderId="117" xfId="0" applyFont="1" applyFill="1" applyBorder="1" applyAlignment="1">
      <alignment horizontal="right"/>
    </xf>
    <xf numFmtId="167" fontId="17" fillId="0" borderId="0" xfId="0" applyNumberFormat="1" applyFont="1" applyAlignment="1">
      <alignment horizontal="center"/>
    </xf>
    <xf numFmtId="166" fontId="17" fillId="39" borderId="31" xfId="0" applyNumberFormat="1" applyFont="1" applyFill="1" applyBorder="1" applyAlignment="1" applyProtection="1">
      <alignment horizontal="left" vertical="center" indent="3"/>
      <protection locked="0"/>
    </xf>
    <xf numFmtId="166" fontId="17" fillId="39" borderId="32" xfId="0" applyNumberFormat="1" applyFont="1" applyFill="1" applyBorder="1" applyAlignment="1" applyProtection="1">
      <alignment horizontal="left" vertical="center" indent="3"/>
      <protection locked="0"/>
    </xf>
    <xf numFmtId="166" fontId="17" fillId="39" borderId="35" xfId="0" applyNumberFormat="1" applyFont="1" applyFill="1" applyBorder="1" applyAlignment="1">
      <alignment horizontal="left" vertical="center" indent="3"/>
    </xf>
    <xf numFmtId="166" fontId="16" fillId="29" borderId="18" xfId="0" applyNumberFormat="1" applyFont="1" applyFill="1" applyBorder="1" applyAlignment="1">
      <alignment horizontal="center"/>
    </xf>
    <xf numFmtId="166" fontId="16" fillId="29" borderId="30" xfId="0" applyNumberFormat="1" applyFont="1" applyFill="1" applyBorder="1" applyAlignment="1">
      <alignment horizontal="center"/>
    </xf>
    <xf numFmtId="0" fontId="89" fillId="41" borderId="16" xfId="0" applyFont="1" applyFill="1" applyBorder="1" applyAlignment="1">
      <alignment horizontal="center" vertical="center" wrapText="1"/>
    </xf>
    <xf numFmtId="0" fontId="89" fillId="41" borderId="13" xfId="0" applyFont="1" applyFill="1" applyBorder="1" applyAlignment="1">
      <alignment horizontal="center" vertical="center" wrapText="1"/>
    </xf>
    <xf numFmtId="0" fontId="89" fillId="41" borderId="12" xfId="0" applyFont="1" applyFill="1" applyBorder="1" applyAlignment="1">
      <alignment horizontal="center" vertical="center" wrapText="1"/>
    </xf>
    <xf numFmtId="0" fontId="89" fillId="41" borderId="0" xfId="0" applyFont="1" applyFill="1" applyAlignment="1">
      <alignment horizontal="center" vertical="center" wrapText="1"/>
    </xf>
    <xf numFmtId="168" fontId="90" fillId="41" borderId="12" xfId="0" quotePrefix="1" applyNumberFormat="1" applyFont="1" applyFill="1" applyBorder="1" applyAlignment="1">
      <alignment horizontal="left" vertical="center" wrapText="1"/>
    </xf>
    <xf numFmtId="168" fontId="90" fillId="41" borderId="0" xfId="0" quotePrefix="1" applyNumberFormat="1" applyFont="1" applyFill="1" applyAlignment="1">
      <alignment horizontal="left" vertical="center" wrapText="1"/>
    </xf>
    <xf numFmtId="168" fontId="90" fillId="41" borderId="0" xfId="0" applyNumberFormat="1" applyFont="1" applyFill="1" applyAlignment="1">
      <alignment horizontal="left" vertical="center" wrapText="1"/>
    </xf>
    <xf numFmtId="168" fontId="87" fillId="41" borderId="0" xfId="0" applyNumberFormat="1" applyFont="1" applyFill="1" applyAlignment="1">
      <alignment horizontal="left" vertical="center" wrapText="1"/>
    </xf>
    <xf numFmtId="168" fontId="90" fillId="41" borderId="12" xfId="0" applyNumberFormat="1" applyFont="1" applyFill="1" applyBorder="1" applyAlignment="1">
      <alignment horizontal="left" vertical="center" wrapText="1"/>
    </xf>
    <xf numFmtId="168" fontId="90" fillId="41" borderId="15" xfId="0" applyNumberFormat="1" applyFont="1" applyFill="1" applyBorder="1" applyAlignment="1">
      <alignment horizontal="left" vertical="center" wrapText="1"/>
    </xf>
    <xf numFmtId="168" fontId="90" fillId="41" borderId="14" xfId="0" applyNumberFormat="1" applyFont="1" applyFill="1" applyBorder="1" applyAlignment="1">
      <alignment horizontal="left" vertical="center" wrapText="1"/>
    </xf>
    <xf numFmtId="168" fontId="87" fillId="41" borderId="14" xfId="0" applyNumberFormat="1" applyFont="1" applyFill="1" applyBorder="1" applyAlignment="1">
      <alignment horizontal="left" vertical="center" wrapText="1"/>
    </xf>
    <xf numFmtId="10" fontId="17" fillId="32" borderId="13" xfId="0" applyNumberFormat="1" applyFont="1" applyFill="1" applyBorder="1" applyAlignment="1">
      <alignment horizontal="left"/>
    </xf>
    <xf numFmtId="166" fontId="17" fillId="39" borderId="18" xfId="0" applyNumberFormat="1" applyFont="1" applyFill="1" applyBorder="1" applyAlignment="1">
      <alignment horizontal="left" vertical="center" indent="3"/>
    </xf>
    <xf numFmtId="166" fontId="17" fillId="39" borderId="19" xfId="0" applyNumberFormat="1" applyFont="1" applyFill="1" applyBorder="1" applyAlignment="1">
      <alignment horizontal="left" vertical="center" indent="3"/>
    </xf>
    <xf numFmtId="0" fontId="17" fillId="32" borderId="22" xfId="0" applyFont="1" applyFill="1" applyBorder="1" applyAlignment="1">
      <alignment horizontal="center" vertical="center" wrapText="1"/>
    </xf>
    <xf numFmtId="0" fontId="17" fillId="32" borderId="16" xfId="0" applyFont="1" applyFill="1" applyBorder="1" applyAlignment="1">
      <alignment horizontal="center" vertical="center" wrapText="1"/>
    </xf>
    <xf numFmtId="0" fontId="17" fillId="32" borderId="13" xfId="0" applyFont="1" applyFill="1" applyBorder="1" applyAlignment="1">
      <alignment horizontal="center" vertical="center" wrapText="1"/>
    </xf>
    <xf numFmtId="0" fontId="17" fillId="32" borderId="20" xfId="0" applyFont="1" applyFill="1" applyBorder="1" applyAlignment="1">
      <alignment horizontal="center" vertical="center" wrapText="1"/>
    </xf>
    <xf numFmtId="0" fontId="17" fillId="32" borderId="15" xfId="0" applyFont="1" applyFill="1" applyBorder="1" applyAlignment="1">
      <alignment horizontal="center" vertical="center" wrapText="1"/>
    </xf>
    <xf numFmtId="0" fontId="17" fillId="32" borderId="14" xfId="0" applyFont="1" applyFill="1" applyBorder="1" applyAlignment="1">
      <alignment horizontal="center" vertical="center" wrapText="1"/>
    </xf>
    <xf numFmtId="0" fontId="17" fillId="32" borderId="17" xfId="0" applyFont="1" applyFill="1" applyBorder="1" applyAlignment="1">
      <alignment horizontal="center" vertical="center" wrapText="1"/>
    </xf>
    <xf numFmtId="0" fontId="34" fillId="0" borderId="31" xfId="0" applyFont="1" applyBorder="1" applyAlignment="1">
      <alignment horizontal="center" vertical="top" wrapText="1"/>
    </xf>
    <xf numFmtId="0" fontId="34" fillId="0" borderId="35" xfId="0" applyFont="1" applyBorder="1" applyAlignment="1">
      <alignment horizontal="center" vertical="top" wrapText="1"/>
    </xf>
    <xf numFmtId="0" fontId="34" fillId="0" borderId="32" xfId="0" applyFont="1" applyBorder="1" applyAlignment="1">
      <alignment horizontal="center" vertical="top" wrapText="1"/>
    </xf>
    <xf numFmtId="0" fontId="11" fillId="27" borderId="18" xfId="0" applyFont="1" applyFill="1" applyBorder="1" applyAlignment="1">
      <alignment horizontal="center" vertical="center" wrapText="1"/>
    </xf>
    <xf numFmtId="0" fontId="11" fillId="27" borderId="19" xfId="0" applyFont="1" applyFill="1" applyBorder="1" applyAlignment="1">
      <alignment horizontal="center" vertical="center" wrapText="1"/>
    </xf>
    <xf numFmtId="0" fontId="11" fillId="27" borderId="30" xfId="0" applyFont="1" applyFill="1" applyBorder="1" applyAlignment="1">
      <alignment horizontal="center" vertical="center" wrapText="1"/>
    </xf>
    <xf numFmtId="0" fontId="72" fillId="0" borderId="13" xfId="0" applyFont="1" applyBorder="1" applyAlignment="1">
      <alignment horizontal="center"/>
    </xf>
    <xf numFmtId="0" fontId="11" fillId="32" borderId="22" xfId="0" applyFont="1" applyFill="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30" xfId="0" applyFont="1" applyBorder="1" applyAlignment="1">
      <alignment horizontal="center" vertical="center"/>
    </xf>
    <xf numFmtId="1" fontId="11" fillId="0" borderId="18" xfId="0" applyNumberFormat="1" applyFont="1" applyBorder="1" applyAlignment="1">
      <alignment horizontal="center" vertical="center"/>
    </xf>
    <xf numFmtId="1" fontId="11" fillId="0" borderId="30" xfId="0" applyNumberFormat="1" applyFont="1" applyBorder="1" applyAlignment="1">
      <alignment horizontal="center" vertical="center"/>
    </xf>
    <xf numFmtId="0" fontId="11" fillId="0" borderId="18" xfId="0" applyFont="1" applyBorder="1" applyAlignment="1">
      <alignment horizontal="center" wrapText="1"/>
    </xf>
    <xf numFmtId="0" fontId="11" fillId="0" borderId="30" xfId="0" applyFont="1" applyBorder="1" applyAlignment="1">
      <alignment horizontal="center" wrapText="1"/>
    </xf>
    <xf numFmtId="9" fontId="33" fillId="0" borderId="18" xfId="0" applyNumberFormat="1" applyFont="1" applyBorder="1" applyAlignment="1">
      <alignment horizontal="center" vertical="center"/>
    </xf>
    <xf numFmtId="9" fontId="33" fillId="0" borderId="19" xfId="0" applyNumberFormat="1" applyFont="1" applyBorder="1" applyAlignment="1">
      <alignment horizontal="center" vertical="center"/>
    </xf>
    <xf numFmtId="9" fontId="33" fillId="0" borderId="30" xfId="0" applyNumberFormat="1" applyFont="1" applyBorder="1" applyAlignment="1">
      <alignment horizontal="center" vertical="center"/>
    </xf>
    <xf numFmtId="0" fontId="34" fillId="32" borderId="18" xfId="0" applyFont="1" applyFill="1" applyBorder="1" applyAlignment="1">
      <alignment horizontal="center" vertical="center" wrapText="1"/>
    </xf>
    <xf numFmtId="0" fontId="34" fillId="32" borderId="19" xfId="0" applyFont="1" applyFill="1" applyBorder="1" applyAlignment="1">
      <alignment horizontal="center" vertical="center" wrapText="1"/>
    </xf>
    <xf numFmtId="0" fontId="34" fillId="32" borderId="30" xfId="0" applyFont="1" applyFill="1" applyBorder="1" applyAlignment="1">
      <alignment horizontal="center" vertical="center" wrapText="1"/>
    </xf>
    <xf numFmtId="0" fontId="34" fillId="32" borderId="22" xfId="0" applyFont="1" applyFill="1" applyBorder="1" applyAlignment="1">
      <alignment horizontal="center" vertical="center" wrapText="1"/>
    </xf>
    <xf numFmtId="0" fontId="34" fillId="32" borderId="22" xfId="0" applyFont="1" applyFill="1" applyBorder="1" applyAlignment="1">
      <alignment horizontal="center" vertical="center"/>
    </xf>
    <xf numFmtId="0" fontId="34" fillId="32" borderId="16" xfId="0" applyFont="1" applyFill="1" applyBorder="1" applyAlignment="1">
      <alignment horizontal="center" vertical="center" wrapText="1"/>
    </xf>
    <xf numFmtId="0" fontId="34" fillId="32" borderId="13" xfId="0" applyFont="1" applyFill="1" applyBorder="1" applyAlignment="1">
      <alignment horizontal="center" vertical="center" wrapText="1"/>
    </xf>
    <xf numFmtId="0" fontId="34" fillId="32" borderId="20" xfId="0" applyFont="1" applyFill="1" applyBorder="1" applyAlignment="1">
      <alignment horizontal="center" vertical="center" wrapText="1"/>
    </xf>
    <xf numFmtId="0" fontId="34" fillId="32" borderId="15"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32" borderId="17" xfId="0" applyFont="1" applyFill="1" applyBorder="1" applyAlignment="1">
      <alignment horizontal="center" vertical="center" wrapText="1"/>
    </xf>
    <xf numFmtId="0" fontId="17" fillId="39" borderId="16" xfId="0" applyFont="1" applyFill="1" applyBorder="1" applyAlignment="1">
      <alignment horizontal="center" vertical="center" wrapText="1"/>
    </xf>
    <xf numFmtId="0" fontId="17" fillId="39" borderId="13" xfId="0" applyFont="1" applyFill="1" applyBorder="1" applyAlignment="1">
      <alignment horizontal="center" vertical="center" wrapText="1"/>
    </xf>
    <xf numFmtId="0" fontId="17" fillId="39" borderId="20" xfId="0" applyFont="1" applyFill="1" applyBorder="1" applyAlignment="1">
      <alignment horizontal="center" vertical="center" wrapText="1"/>
    </xf>
    <xf numFmtId="0" fontId="17" fillId="39" borderId="15" xfId="0" applyFont="1" applyFill="1" applyBorder="1" applyAlignment="1">
      <alignment horizontal="center" vertical="center" wrapText="1"/>
    </xf>
    <xf numFmtId="0" fontId="17" fillId="39" borderId="14" xfId="0" applyFont="1" applyFill="1" applyBorder="1" applyAlignment="1">
      <alignment horizontal="center" vertical="center" wrapText="1"/>
    </xf>
    <xf numFmtId="0" fontId="17" fillId="39" borderId="17" xfId="0" applyFont="1" applyFill="1" applyBorder="1" applyAlignment="1">
      <alignment horizontal="center" vertical="center" wrapText="1"/>
    </xf>
    <xf numFmtId="0" fontId="17" fillId="39" borderId="22" xfId="0" applyFont="1" applyFill="1" applyBorder="1" applyAlignment="1">
      <alignment horizontal="center" vertical="center"/>
    </xf>
    <xf numFmtId="0" fontId="17" fillId="39" borderId="22" xfId="0" applyFont="1" applyFill="1" applyBorder="1" applyAlignment="1">
      <alignment horizontal="center" vertical="center" wrapText="1"/>
    </xf>
    <xf numFmtId="0" fontId="11" fillId="39" borderId="31" xfId="0" applyFont="1" applyFill="1" applyBorder="1" applyAlignment="1">
      <alignment horizontal="center" vertical="center"/>
    </xf>
    <xf numFmtId="0" fontId="11" fillId="39" borderId="35" xfId="0" applyFont="1" applyFill="1" applyBorder="1" applyAlignment="1">
      <alignment horizontal="center" vertical="center"/>
    </xf>
    <xf numFmtId="0" fontId="11" fillId="39" borderId="32" xfId="0" applyFont="1" applyFill="1" applyBorder="1" applyAlignment="1">
      <alignment horizontal="center" vertical="center"/>
    </xf>
    <xf numFmtId="0" fontId="33" fillId="39" borderId="22" xfId="0" applyFont="1" applyFill="1" applyBorder="1" applyAlignment="1">
      <alignment horizontal="center" vertical="center"/>
    </xf>
    <xf numFmtId="0" fontId="11" fillId="0" borderId="31" xfId="0" applyFont="1" applyBorder="1" applyAlignment="1">
      <alignment horizontal="center"/>
    </xf>
    <xf numFmtId="0" fontId="11" fillId="0" borderId="32" xfId="0" applyFont="1" applyBorder="1" applyAlignment="1">
      <alignment horizontal="center"/>
    </xf>
    <xf numFmtId="0" fontId="11" fillId="32" borderId="31" xfId="0" applyFont="1" applyFill="1" applyBorder="1" applyAlignment="1">
      <alignment horizontal="center" vertical="center"/>
    </xf>
    <xf numFmtId="0" fontId="11" fillId="32" borderId="35" xfId="0" applyFont="1" applyFill="1" applyBorder="1" applyAlignment="1">
      <alignment horizontal="center" vertical="center"/>
    </xf>
    <xf numFmtId="0" fontId="11" fillId="32" borderId="32" xfId="0" applyFont="1" applyFill="1" applyBorder="1" applyAlignment="1">
      <alignment horizontal="center" vertical="center"/>
    </xf>
    <xf numFmtId="0" fontId="34" fillId="27" borderId="18" xfId="0" applyFont="1" applyFill="1" applyBorder="1" applyAlignment="1">
      <alignment horizontal="center" vertical="center" wrapText="1"/>
    </xf>
    <xf numFmtId="0" fontId="34" fillId="27" borderId="19" xfId="0" applyFont="1" applyFill="1" applyBorder="1" applyAlignment="1">
      <alignment horizontal="center" vertical="center" wrapText="1"/>
    </xf>
    <xf numFmtId="0" fontId="34" fillId="27" borderId="30" xfId="0" applyFont="1" applyFill="1" applyBorder="1" applyAlignment="1">
      <alignment horizontal="center" vertical="center" wrapText="1"/>
    </xf>
    <xf numFmtId="1" fontId="11" fillId="0" borderId="22" xfId="0" applyNumberFormat="1" applyFont="1" applyBorder="1" applyAlignment="1">
      <alignment horizontal="center" vertical="center"/>
    </xf>
    <xf numFmtId="0" fontId="73" fillId="0" borderId="13" xfId="0" applyFont="1" applyBorder="1" applyAlignment="1">
      <alignment horizontal="center"/>
    </xf>
    <xf numFmtId="0" fontId="34" fillId="0" borderId="4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0" xfId="0" applyFont="1" applyAlignment="1">
      <alignment horizontal="center" vertical="center" wrapText="1"/>
    </xf>
    <xf numFmtId="0" fontId="34" fillId="0" borderId="5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47" xfId="0" applyFont="1" applyBorder="1" applyAlignment="1">
      <alignment horizontal="center" vertical="center" wrapText="1"/>
    </xf>
    <xf numFmtId="0" fontId="11" fillId="0" borderId="44" xfId="0" applyFont="1" applyBorder="1" applyAlignment="1">
      <alignment horizontal="center"/>
    </xf>
    <xf numFmtId="0" fontId="11" fillId="0" borderId="45" xfId="0" applyFont="1" applyBorder="1" applyAlignment="1">
      <alignment horizontal="center"/>
    </xf>
    <xf numFmtId="0" fontId="33" fillId="0" borderId="22" xfId="0" applyFont="1" applyBorder="1" applyAlignment="1">
      <alignment horizontal="center" vertical="center"/>
    </xf>
    <xf numFmtId="0" fontId="33" fillId="0" borderId="0" xfId="0" applyFont="1" applyAlignment="1">
      <alignment horizontal="center"/>
    </xf>
    <xf numFmtId="0" fontId="33" fillId="0" borderId="14" xfId="0" applyFont="1" applyBorder="1" applyAlignment="1">
      <alignment horizont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22" xfId="0" applyFont="1" applyBorder="1" applyAlignment="1">
      <alignment horizontal="center" vertical="center" wrapText="1" shrinkToFit="1"/>
    </xf>
    <xf numFmtId="0" fontId="11" fillId="0" borderId="22" xfId="0" applyFont="1" applyBorder="1" applyAlignment="1">
      <alignment horizontal="center" vertical="center" wrapText="1"/>
    </xf>
    <xf numFmtId="166" fontId="17" fillId="0" borderId="24" xfId="0" applyNumberFormat="1" applyFont="1" applyBorder="1" applyAlignment="1">
      <alignment horizontal="left" vertical="center" indent="3"/>
    </xf>
    <xf numFmtId="166" fontId="85" fillId="0" borderId="43" xfId="0" applyNumberFormat="1" applyFont="1" applyBorder="1" applyAlignment="1">
      <alignment horizontal="left" vertical="center" indent="3"/>
    </xf>
    <xf numFmtId="166" fontId="85" fillId="0" borderId="0" xfId="0" applyNumberFormat="1" applyFont="1" applyAlignment="1">
      <alignment horizontal="left" vertical="center" indent="3"/>
    </xf>
    <xf numFmtId="166" fontId="17" fillId="32" borderId="16" xfId="0" applyNumberFormat="1" applyFont="1" applyFill="1" applyBorder="1" applyAlignment="1" applyProtection="1">
      <alignment horizontal="left" vertical="center" indent="3"/>
      <protection locked="0"/>
    </xf>
    <xf numFmtId="166" fontId="17" fillId="32" borderId="20" xfId="0" applyNumberFormat="1" applyFont="1" applyFill="1" applyBorder="1" applyAlignment="1" applyProtection="1">
      <alignment horizontal="left" vertical="center" indent="3"/>
      <protection locked="0"/>
    </xf>
    <xf numFmtId="0" fontId="12" fillId="0" borderId="48"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0" fontId="12" fillId="32" borderId="19" xfId="0" applyFont="1" applyFill="1" applyBorder="1"/>
    <xf numFmtId="0" fontId="6" fillId="32" borderId="19" xfId="0" applyFont="1" applyFill="1" applyBorder="1"/>
    <xf numFmtId="0" fontId="6" fillId="32" borderId="30" xfId="0" applyFont="1" applyFill="1" applyBorder="1"/>
    <xf numFmtId="10" fontId="12" fillId="32" borderId="18" xfId="0" applyNumberFormat="1" applyFont="1" applyFill="1" applyBorder="1" applyAlignment="1">
      <alignment horizontal="center" wrapText="1"/>
    </xf>
    <xf numFmtId="10" fontId="12" fillId="32" borderId="30" xfId="0" applyNumberFormat="1" applyFont="1" applyFill="1" applyBorder="1" applyAlignment="1">
      <alignment horizontal="center" wrapText="1"/>
    </xf>
    <xf numFmtId="166" fontId="17" fillId="0" borderId="18" xfId="0" applyNumberFormat="1" applyFont="1" applyBorder="1" applyAlignment="1">
      <alignment horizontal="left" vertical="center" indent="3"/>
    </xf>
    <xf numFmtId="166" fontId="17" fillId="0" borderId="30" xfId="0" applyNumberFormat="1" applyFont="1" applyBorder="1" applyAlignment="1">
      <alignment horizontal="left" vertical="center" indent="3"/>
    </xf>
    <xf numFmtId="166" fontId="17" fillId="0" borderId="22" xfId="0" applyNumberFormat="1" applyFont="1" applyBorder="1" applyAlignment="1">
      <alignment horizontal="left" vertical="center" indent="3"/>
    </xf>
    <xf numFmtId="166" fontId="17" fillId="39" borderId="30" xfId="0" applyNumberFormat="1" applyFont="1" applyFill="1" applyBorder="1" applyAlignment="1">
      <alignment horizontal="left" vertical="center" indent="3"/>
    </xf>
    <xf numFmtId="166" fontId="17" fillId="0" borderId="16" xfId="0" applyNumberFormat="1" applyFont="1" applyBorder="1" applyAlignment="1" applyProtection="1">
      <alignment horizontal="left" vertical="center" indent="3"/>
      <protection locked="0"/>
    </xf>
    <xf numFmtId="166" fontId="17" fillId="0" borderId="20" xfId="0" applyNumberFormat="1" applyFont="1" applyBorder="1" applyAlignment="1" applyProtection="1">
      <alignment horizontal="left" vertical="center" indent="3"/>
      <protection locked="0"/>
    </xf>
    <xf numFmtId="175" fontId="84" fillId="0" borderId="43" xfId="0" applyNumberFormat="1" applyFont="1" applyBorder="1" applyAlignment="1">
      <alignment horizontal="center"/>
    </xf>
    <xf numFmtId="0" fontId="84" fillId="0" borderId="0" xfId="0" applyFont="1" applyAlignment="1">
      <alignment horizontal="center"/>
    </xf>
    <xf numFmtId="166" fontId="17" fillId="32" borderId="51" xfId="0" applyNumberFormat="1" applyFont="1" applyFill="1" applyBorder="1" applyAlignment="1">
      <alignment horizontal="center" vertical="center"/>
    </xf>
    <xf numFmtId="10" fontId="85" fillId="0" borderId="43" xfId="0" applyNumberFormat="1" applyFont="1" applyBorder="1" applyAlignment="1">
      <alignment horizontal="left" vertical="center" indent="3"/>
    </xf>
    <xf numFmtId="10" fontId="85" fillId="0" borderId="0" xfId="0" applyNumberFormat="1" applyFont="1" applyAlignment="1">
      <alignment horizontal="left" vertical="center" indent="3"/>
    </xf>
    <xf numFmtId="0" fontId="12" fillId="32" borderId="15" xfId="0" applyFont="1" applyFill="1" applyBorder="1" applyAlignment="1">
      <alignment horizontal="center" vertical="center" wrapText="1"/>
    </xf>
    <xf numFmtId="0" fontId="12" fillId="32" borderId="17" xfId="0" applyFont="1" applyFill="1" applyBorder="1" applyAlignment="1">
      <alignment horizontal="center" vertical="center" wrapText="1"/>
    </xf>
    <xf numFmtId="169" fontId="0" fillId="32" borderId="20" xfId="0" applyNumberFormat="1" applyFill="1" applyBorder="1" applyAlignment="1">
      <alignment horizontal="center" vertical="center"/>
    </xf>
    <xf numFmtId="169" fontId="12" fillId="32" borderId="15" xfId="0" applyNumberFormat="1" applyFont="1" applyFill="1" applyBorder="1" applyAlignment="1">
      <alignment horizontal="center" vertical="center"/>
    </xf>
    <xf numFmtId="169" fontId="0" fillId="32" borderId="17" xfId="0" applyNumberFormat="1" applyFill="1" applyBorder="1" applyAlignment="1">
      <alignment horizontal="center" vertical="center"/>
    </xf>
    <xf numFmtId="0" fontId="14" fillId="32" borderId="14" xfId="0" applyFont="1" applyFill="1" applyBorder="1" applyAlignment="1" applyProtection="1">
      <alignment horizontal="center"/>
      <protection locked="0"/>
    </xf>
    <xf numFmtId="166" fontId="17" fillId="32" borderId="22" xfId="0" applyNumberFormat="1" applyFont="1" applyFill="1" applyBorder="1" applyAlignment="1">
      <alignment horizontal="left" vertical="center" indent="3"/>
    </xf>
    <xf numFmtId="168" fontId="65" fillId="0" borderId="0" xfId="0" applyNumberFormat="1" applyFont="1" applyAlignment="1">
      <alignment horizontal="center" vertical="center" wrapText="1"/>
    </xf>
    <xf numFmtId="168" fontId="65" fillId="0" borderId="12" xfId="0" applyNumberFormat="1" applyFont="1" applyBorder="1" applyAlignment="1">
      <alignment horizontal="center" vertical="center" wrapText="1"/>
    </xf>
    <xf numFmtId="168" fontId="65" fillId="0" borderId="15" xfId="0" applyNumberFormat="1" applyFont="1" applyBorder="1" applyAlignment="1">
      <alignment horizontal="center" vertical="center" wrapText="1"/>
    </xf>
    <xf numFmtId="168" fontId="65" fillId="0" borderId="14" xfId="0" applyNumberFormat="1" applyFont="1" applyBorder="1" applyAlignment="1">
      <alignment horizontal="center" vertical="center" wrapText="1"/>
    </xf>
    <xf numFmtId="0" fontId="6" fillId="39" borderId="20" xfId="0" applyFont="1" applyFill="1" applyBorder="1" applyAlignment="1">
      <alignment horizontal="center" vertical="center"/>
    </xf>
    <xf numFmtId="0" fontId="6" fillId="39" borderId="17" xfId="0" applyFont="1" applyFill="1" applyBorder="1" applyAlignment="1">
      <alignment horizontal="center" vertical="center"/>
    </xf>
    <xf numFmtId="1" fontId="12" fillId="32" borderId="18" xfId="0" applyNumberFormat="1" applyFont="1" applyFill="1" applyBorder="1" applyAlignment="1">
      <alignment horizontal="center" vertical="center"/>
    </xf>
    <xf numFmtId="1" fontId="12" fillId="32" borderId="30" xfId="0" applyNumberFormat="1" applyFont="1" applyFill="1" applyBorder="1" applyAlignment="1">
      <alignment horizontal="center" vertical="center"/>
    </xf>
    <xf numFmtId="0" fontId="11" fillId="32" borderId="16" xfId="0" applyFont="1" applyFill="1" applyBorder="1" applyAlignment="1">
      <alignment horizontal="center" vertical="center" wrapText="1"/>
    </xf>
    <xf numFmtId="0" fontId="11" fillId="32" borderId="13" xfId="0" applyFont="1" applyFill="1" applyBorder="1" applyAlignment="1">
      <alignment horizontal="center" vertical="center" wrapText="1"/>
    </xf>
    <xf numFmtId="0" fontId="11" fillId="32" borderId="20" xfId="0" applyFont="1" applyFill="1" applyBorder="1" applyAlignment="1">
      <alignment horizontal="center" vertical="center" wrapText="1"/>
    </xf>
    <xf numFmtId="0" fontId="11" fillId="32" borderId="12" xfId="0" applyFont="1" applyFill="1" applyBorder="1" applyAlignment="1">
      <alignment horizontal="center" vertical="center" wrapText="1"/>
    </xf>
    <xf numFmtId="0" fontId="11" fillId="32" borderId="0" xfId="0" applyFont="1" applyFill="1" applyAlignment="1">
      <alignment horizontal="center" vertical="center" wrapText="1"/>
    </xf>
    <xf numFmtId="0" fontId="11" fillId="32" borderId="11" xfId="0" applyFont="1" applyFill="1" applyBorder="1" applyAlignment="1">
      <alignment horizontal="center" vertical="center" wrapText="1"/>
    </xf>
    <xf numFmtId="0" fontId="12" fillId="32" borderId="15" xfId="0" applyFont="1" applyFill="1" applyBorder="1" applyAlignment="1">
      <alignment horizontal="right"/>
    </xf>
    <xf numFmtId="0" fontId="12" fillId="32" borderId="14" xfId="0" applyFont="1" applyFill="1" applyBorder="1" applyAlignment="1">
      <alignment horizontal="right"/>
    </xf>
    <xf numFmtId="166" fontId="17" fillId="32" borderId="28" xfId="0" applyNumberFormat="1" applyFont="1" applyFill="1" applyBorder="1" applyAlignment="1" applyProtection="1">
      <alignment horizontal="left" vertical="center" indent="3"/>
      <protection locked="0"/>
    </xf>
    <xf numFmtId="166" fontId="17" fillId="32" borderId="29" xfId="0" applyNumberFormat="1" applyFont="1" applyFill="1" applyBorder="1" applyAlignment="1" applyProtection="1">
      <alignment horizontal="left" vertical="center" indent="3"/>
      <protection locked="0"/>
    </xf>
    <xf numFmtId="166" fontId="17" fillId="32" borderId="33" xfId="0" applyNumberFormat="1" applyFont="1" applyFill="1" applyBorder="1" applyAlignment="1" applyProtection="1">
      <alignment horizontal="left" vertical="center" indent="3"/>
      <protection locked="0"/>
    </xf>
    <xf numFmtId="166" fontId="17" fillId="32" borderId="34" xfId="0" applyNumberFormat="1" applyFont="1" applyFill="1" applyBorder="1" applyAlignment="1" applyProtection="1">
      <alignment horizontal="left" vertical="center" indent="3"/>
      <protection locked="0"/>
    </xf>
    <xf numFmtId="0" fontId="11" fillId="32" borderId="12" xfId="0" applyFont="1" applyFill="1" applyBorder="1" applyAlignment="1">
      <alignment horizontal="center" vertical="center"/>
    </xf>
    <xf numFmtId="0" fontId="11" fillId="32" borderId="0" xfId="0" applyFont="1" applyFill="1" applyAlignment="1">
      <alignment horizontal="center" vertical="center"/>
    </xf>
    <xf numFmtId="0" fontId="11" fillId="32" borderId="11" xfId="0" applyFont="1" applyFill="1" applyBorder="1" applyAlignment="1">
      <alignment horizontal="center" vertical="center"/>
    </xf>
    <xf numFmtId="166" fontId="17" fillId="32" borderId="25" xfId="0" applyNumberFormat="1" applyFont="1" applyFill="1" applyBorder="1" applyAlignment="1">
      <alignment horizontal="left" vertical="center" indent="3"/>
    </xf>
    <xf numFmtId="166" fontId="17" fillId="32" borderId="27" xfId="0" applyNumberFormat="1" applyFont="1" applyFill="1" applyBorder="1" applyAlignment="1">
      <alignment horizontal="left" vertical="center" indent="3"/>
    </xf>
    <xf numFmtId="166" fontId="17" fillId="32" borderId="33" xfId="0" applyNumberFormat="1" applyFont="1" applyFill="1" applyBorder="1" applyAlignment="1">
      <alignment horizontal="left" vertical="center" indent="3"/>
    </xf>
    <xf numFmtId="166" fontId="17" fillId="32" borderId="34" xfId="0" applyNumberFormat="1" applyFont="1" applyFill="1" applyBorder="1" applyAlignment="1">
      <alignment horizontal="left" vertical="center" indent="3"/>
    </xf>
    <xf numFmtId="1" fontId="12" fillId="32" borderId="18" xfId="0" applyNumberFormat="1" applyFont="1" applyFill="1" applyBorder="1" applyAlignment="1">
      <alignment horizontal="center" vertical="center" wrapText="1"/>
    </xf>
    <xf numFmtId="0" fontId="12" fillId="32" borderId="30" xfId="0" applyFont="1" applyFill="1" applyBorder="1" applyAlignment="1">
      <alignment horizontal="center" vertical="center" wrapText="1"/>
    </xf>
    <xf numFmtId="0" fontId="0" fillId="0" borderId="0" xfId="0" applyAlignment="1">
      <alignment horizontal="center" vertical="center"/>
    </xf>
    <xf numFmtId="0" fontId="24" fillId="0" borderId="0" xfId="0" applyFont="1" applyAlignment="1">
      <alignment horizontal="left" wrapText="1"/>
    </xf>
    <xf numFmtId="0" fontId="24" fillId="0" borderId="0" xfId="0" applyFont="1" applyAlignment="1">
      <alignment horizontal="center" wrapText="1"/>
    </xf>
    <xf numFmtId="0" fontId="56" fillId="0" borderId="0" xfId="0" applyFont="1" applyAlignment="1">
      <alignment horizontal="left" wrapText="1"/>
    </xf>
    <xf numFmtId="0" fontId="24" fillId="0" borderId="0" xfId="0" applyFont="1" applyAlignment="1">
      <alignment horizontal="left"/>
    </xf>
    <xf numFmtId="0" fontId="66" fillId="0" borderId="31" xfId="0" applyFont="1" applyBorder="1" applyAlignment="1">
      <alignment horizontal="left" vertical="center"/>
    </xf>
    <xf numFmtId="0" fontId="66" fillId="0" borderId="35" xfId="0" applyFont="1" applyBorder="1" applyAlignment="1">
      <alignment horizontal="left" vertical="center"/>
    </xf>
    <xf numFmtId="0" fontId="66" fillId="0" borderId="32" xfId="0" applyFont="1" applyBorder="1" applyAlignment="1">
      <alignment horizontal="left" vertical="center"/>
    </xf>
    <xf numFmtId="0" fontId="66" fillId="0" borderId="44" xfId="0" applyFont="1" applyBorder="1" applyAlignment="1">
      <alignment horizontal="left" vertical="center" wrapText="1"/>
    </xf>
    <xf numFmtId="0" fontId="66" fillId="0" borderId="26" xfId="0" applyFont="1" applyBorder="1" applyAlignment="1">
      <alignment horizontal="left" vertical="center" wrapText="1"/>
    </xf>
    <xf numFmtId="0" fontId="66" fillId="0" borderId="45" xfId="0" applyFont="1" applyBorder="1" applyAlignment="1">
      <alignment horizontal="left" vertical="center" wrapText="1"/>
    </xf>
    <xf numFmtId="0" fontId="66" fillId="0" borderId="43" xfId="0" applyFont="1" applyBorder="1" applyAlignment="1">
      <alignment horizontal="left" vertical="center" wrapText="1"/>
    </xf>
    <xf numFmtId="0" fontId="66" fillId="0" borderId="0" xfId="0" applyFont="1" applyAlignment="1">
      <alignment horizontal="left" vertical="center" wrapText="1"/>
    </xf>
    <xf numFmtId="0" fontId="66" fillId="0" borderId="54" xfId="0" applyFont="1" applyBorder="1" applyAlignment="1">
      <alignment horizontal="left" vertical="center" wrapText="1"/>
    </xf>
    <xf numFmtId="0" fontId="66" fillId="0" borderId="46" xfId="0" applyFont="1" applyBorder="1" applyAlignment="1">
      <alignment horizontal="left" vertical="center" wrapText="1"/>
    </xf>
    <xf numFmtId="0" fontId="66" fillId="0" borderId="23" xfId="0" applyFont="1" applyBorder="1" applyAlignment="1">
      <alignment horizontal="left" vertical="center" wrapText="1"/>
    </xf>
    <xf numFmtId="0" fontId="66" fillId="0" borderId="47" xfId="0" applyFont="1" applyBorder="1" applyAlignment="1">
      <alignment horizontal="left" vertical="center" wrapText="1"/>
    </xf>
    <xf numFmtId="0" fontId="86" fillId="0" borderId="0" xfId="0" applyFont="1" applyAlignment="1">
      <alignment horizontal="center" vertical="center" wrapText="1"/>
    </xf>
    <xf numFmtId="0" fontId="26" fillId="0" borderId="0" xfId="0" applyFont="1" applyAlignment="1">
      <alignment horizontal="center" vertical="center" wrapText="1"/>
    </xf>
    <xf numFmtId="0" fontId="88" fillId="0" borderId="0" xfId="0" applyFont="1" applyAlignment="1">
      <alignment horizontal="center" vertical="center" wrapText="1"/>
    </xf>
    <xf numFmtId="0" fontId="88" fillId="0" borderId="54" xfId="0" applyFont="1" applyBorder="1" applyAlignment="1">
      <alignment horizontal="center" vertical="center" wrapText="1"/>
    </xf>
    <xf numFmtId="0" fontId="16" fillId="0" borderId="0" xfId="0" applyFont="1" applyAlignment="1">
      <alignment horizontal="center"/>
    </xf>
    <xf numFmtId="0" fontId="101" fillId="35" borderId="31" xfId="0" applyFont="1" applyFill="1" applyBorder="1" applyAlignment="1">
      <alignment horizontal="center"/>
    </xf>
    <xf numFmtId="0" fontId="101" fillId="35" borderId="32" xfId="0" applyFont="1" applyFill="1" applyBorder="1" applyAlignment="1">
      <alignment horizontal="center"/>
    </xf>
    <xf numFmtId="166" fontId="15" fillId="29" borderId="18" xfId="0" applyNumberFormat="1" applyFont="1" applyFill="1" applyBorder="1" applyAlignment="1" applyProtection="1">
      <alignment horizontal="center" vertical="center"/>
      <protection locked="0"/>
    </xf>
    <xf numFmtId="166" fontId="15" fillId="29" borderId="30" xfId="0" applyNumberFormat="1" applyFont="1" applyFill="1" applyBorder="1" applyAlignment="1" applyProtection="1">
      <alignment horizontal="center" vertical="center"/>
      <protection locked="0"/>
    </xf>
    <xf numFmtId="166" fontId="101" fillId="29" borderId="120" xfId="0" applyNumberFormat="1" applyFont="1" applyFill="1" applyBorder="1" applyAlignment="1" applyProtection="1">
      <alignment horizontal="center" vertical="center"/>
      <protection locked="0"/>
    </xf>
    <xf numFmtId="166" fontId="101" fillId="29" borderId="99" xfId="0" applyNumberFormat="1" applyFont="1" applyFill="1" applyBorder="1" applyAlignment="1" applyProtection="1">
      <alignment horizontal="center" vertical="center"/>
      <protection locked="0"/>
    </xf>
    <xf numFmtId="166" fontId="15" fillId="29" borderId="15" xfId="0" applyNumberFormat="1" applyFont="1" applyFill="1" applyBorder="1" applyAlignment="1" applyProtection="1">
      <alignment horizontal="center" vertical="center"/>
      <protection locked="0"/>
    </xf>
    <xf numFmtId="166" fontId="15" fillId="29" borderId="17" xfId="0" applyNumberFormat="1" applyFont="1" applyFill="1" applyBorder="1" applyAlignment="1" applyProtection="1">
      <alignment horizontal="center" vertical="center"/>
      <protection locked="0"/>
    </xf>
    <xf numFmtId="166" fontId="15" fillId="35" borderId="18" xfId="0" applyNumberFormat="1" applyFont="1" applyFill="1" applyBorder="1" applyAlignment="1" applyProtection="1">
      <alignment horizontal="center" vertical="center"/>
      <protection locked="0"/>
    </xf>
    <xf numFmtId="166" fontId="15" fillId="35" borderId="30" xfId="0" applyNumberFormat="1" applyFont="1" applyFill="1" applyBorder="1" applyAlignment="1" applyProtection="1">
      <alignment horizontal="center" vertical="center"/>
      <protection locked="0"/>
    </xf>
    <xf numFmtId="166" fontId="15" fillId="35" borderId="15" xfId="0" applyNumberFormat="1" applyFont="1" applyFill="1" applyBorder="1" applyAlignment="1" applyProtection="1">
      <alignment horizontal="center" vertical="center"/>
      <protection locked="0"/>
    </xf>
    <xf numFmtId="166" fontId="15" fillId="35" borderId="17" xfId="0" applyNumberFormat="1" applyFont="1" applyFill="1" applyBorder="1" applyAlignment="1" applyProtection="1">
      <alignment horizontal="center" vertical="center"/>
      <protection locked="0"/>
    </xf>
    <xf numFmtId="166" fontId="101" fillId="35" borderId="120" xfId="0" applyNumberFormat="1" applyFont="1" applyFill="1" applyBorder="1" applyAlignment="1" applyProtection="1">
      <alignment horizontal="center" vertical="center"/>
      <protection locked="0"/>
    </xf>
    <xf numFmtId="166" fontId="101" fillId="35" borderId="99" xfId="0" applyNumberFormat="1" applyFont="1" applyFill="1" applyBorder="1" applyAlignment="1" applyProtection="1">
      <alignment horizontal="center" vertical="center"/>
      <protection locked="0"/>
    </xf>
    <xf numFmtId="0" fontId="101" fillId="29" borderId="31" xfId="0" applyFont="1" applyFill="1" applyBorder="1" applyAlignment="1">
      <alignment horizontal="center"/>
    </xf>
    <xf numFmtId="0" fontId="101" fillId="29" borderId="32" xfId="0" applyFont="1" applyFill="1" applyBorder="1" applyAlignment="1">
      <alignment horizontal="center"/>
    </xf>
    <xf numFmtId="166" fontId="101" fillId="29" borderId="18" xfId="0" applyNumberFormat="1" applyFont="1" applyFill="1" applyBorder="1" applyAlignment="1" applyProtection="1">
      <alignment horizontal="center" vertical="center"/>
      <protection locked="0"/>
    </xf>
    <xf numFmtId="166" fontId="101" fillId="29" borderId="30" xfId="0" applyNumberFormat="1" applyFont="1" applyFill="1" applyBorder="1" applyAlignment="1" applyProtection="1">
      <alignment horizontal="center" vertical="center"/>
      <protection locked="0"/>
    </xf>
    <xf numFmtId="166" fontId="15" fillId="0" borderId="18" xfId="0" applyNumberFormat="1" applyFont="1" applyBorder="1" applyAlignment="1" applyProtection="1">
      <alignment horizontal="center" vertical="center"/>
      <protection locked="0"/>
    </xf>
    <xf numFmtId="166" fontId="15" fillId="0" borderId="30" xfId="0" applyNumberFormat="1" applyFont="1" applyBorder="1" applyAlignment="1" applyProtection="1">
      <alignment horizontal="center" vertical="center"/>
      <protection locked="0"/>
    </xf>
    <xf numFmtId="166" fontId="15" fillId="39" borderId="18" xfId="0" applyNumberFormat="1" applyFont="1" applyFill="1" applyBorder="1" applyAlignment="1" applyProtection="1">
      <alignment horizontal="center" vertical="center"/>
      <protection locked="0"/>
    </xf>
    <xf numFmtId="166" fontId="15" fillId="39" borderId="30" xfId="0" applyNumberFormat="1" applyFont="1" applyFill="1" applyBorder="1" applyAlignment="1" applyProtection="1">
      <alignment horizontal="center" vertical="center"/>
      <protection locked="0"/>
    </xf>
    <xf numFmtId="166" fontId="15" fillId="39" borderId="15" xfId="0" applyNumberFormat="1" applyFont="1" applyFill="1" applyBorder="1" applyAlignment="1" applyProtection="1">
      <alignment horizontal="center" vertical="center"/>
      <protection locked="0"/>
    </xf>
    <xf numFmtId="166" fontId="15" fillId="39" borderId="17" xfId="0" applyNumberFormat="1" applyFont="1" applyFill="1" applyBorder="1" applyAlignment="1" applyProtection="1">
      <alignment horizontal="center" vertical="center"/>
      <protection locked="0"/>
    </xf>
    <xf numFmtId="0" fontId="16" fillId="0" borderId="23" xfId="0" applyFont="1" applyBorder="1" applyAlignment="1">
      <alignment horizontal="center"/>
    </xf>
    <xf numFmtId="166" fontId="101" fillId="35" borderId="18" xfId="0" applyNumberFormat="1" applyFont="1" applyFill="1" applyBorder="1" applyAlignment="1" applyProtection="1">
      <alignment horizontal="center" vertical="center"/>
      <protection locked="0"/>
    </xf>
    <xf numFmtId="166" fontId="101" fillId="35" borderId="30" xfId="0" applyNumberFormat="1" applyFont="1" applyFill="1" applyBorder="1" applyAlignment="1" applyProtection="1">
      <alignment horizontal="center" vertical="center"/>
      <protection locked="0"/>
    </xf>
    <xf numFmtId="0" fontId="101" fillId="29" borderId="22" xfId="0" applyFont="1" applyFill="1" applyBorder="1" applyAlignment="1">
      <alignment horizontal="center" vertical="center"/>
    </xf>
    <xf numFmtId="0" fontId="103" fillId="0" borderId="71" xfId="49" applyFont="1" applyBorder="1" applyAlignment="1">
      <alignment horizontal="center"/>
    </xf>
    <xf numFmtId="0" fontId="103" fillId="0" borderId="72" xfId="49" applyFont="1" applyBorder="1" applyAlignment="1">
      <alignment horizontal="center"/>
    </xf>
    <xf numFmtId="0" fontId="103" fillId="0" borderId="73" xfId="49" applyFont="1" applyBorder="1" applyAlignment="1">
      <alignment horizontal="center"/>
    </xf>
    <xf numFmtId="0" fontId="102" fillId="0" borderId="46" xfId="49" applyFont="1" applyBorder="1" applyAlignment="1">
      <alignment horizontal="left" vertical="top" wrapText="1"/>
    </xf>
    <xf numFmtId="0" fontId="102" fillId="0" borderId="23" xfId="49" applyFont="1" applyBorder="1" applyAlignment="1">
      <alignment horizontal="left" vertical="top" wrapText="1"/>
    </xf>
    <xf numFmtId="0" fontId="102" fillId="0" borderId="47" xfId="49" applyFont="1" applyBorder="1" applyAlignment="1">
      <alignment horizontal="left" vertical="top" wrapText="1"/>
    </xf>
    <xf numFmtId="0" fontId="101" fillId="29" borderId="22" xfId="0" applyFont="1" applyFill="1" applyBorder="1" applyAlignment="1">
      <alignment horizontal="center"/>
    </xf>
    <xf numFmtId="0" fontId="101" fillId="29" borderId="21" xfId="0" applyFont="1" applyFill="1" applyBorder="1" applyAlignment="1">
      <alignment horizontal="center"/>
    </xf>
    <xf numFmtId="0" fontId="75" fillId="0" borderId="71" xfId="49" applyFont="1" applyBorder="1" applyAlignment="1">
      <alignment horizontal="center"/>
    </xf>
    <xf numFmtId="0" fontId="75" fillId="0" borderId="72" xfId="49" applyFont="1" applyBorder="1" applyAlignment="1">
      <alignment horizontal="center"/>
    </xf>
    <xf numFmtId="0" fontId="75" fillId="0" borderId="73" xfId="49" applyFont="1" applyBorder="1" applyAlignment="1">
      <alignment horizontal="center"/>
    </xf>
    <xf numFmtId="0" fontId="75" fillId="0" borderId="31" xfId="49" applyFont="1" applyBorder="1" applyAlignment="1">
      <alignment horizontal="center"/>
    </xf>
    <xf numFmtId="0" fontId="75" fillId="0" borderId="35" xfId="49" applyFont="1" applyBorder="1" applyAlignment="1">
      <alignment horizontal="center"/>
    </xf>
    <xf numFmtId="0" fontId="75" fillId="0" borderId="32" xfId="49" applyFont="1" applyBorder="1" applyAlignment="1">
      <alignment horizontal="center"/>
    </xf>
    <xf numFmtId="0" fontId="4" fillId="0" borderId="74" xfId="49" applyBorder="1" applyAlignment="1">
      <alignment horizontal="left" vertical="top" wrapText="1"/>
    </xf>
    <xf numFmtId="0" fontId="4" fillId="0" borderId="75" xfId="49" applyBorder="1" applyAlignment="1">
      <alignment horizontal="left" vertical="top" wrapText="1"/>
    </xf>
    <xf numFmtId="0" fontId="4" fillId="0" borderId="76" xfId="49" applyBorder="1" applyAlignment="1">
      <alignment horizontal="left" vertical="top" wrapText="1"/>
    </xf>
    <xf numFmtId="0" fontId="4" fillId="0" borderId="43" xfId="49" applyBorder="1" applyAlignment="1">
      <alignment horizontal="left" vertical="top" wrapText="1"/>
    </xf>
    <xf numFmtId="0" fontId="4" fillId="0" borderId="0" xfId="49" applyAlignment="1">
      <alignment horizontal="left" vertical="top" wrapText="1"/>
    </xf>
    <xf numFmtId="0" fontId="4" fillId="0" borderId="54" xfId="49" applyBorder="1" applyAlignment="1">
      <alignment horizontal="left" vertical="top" wrapText="1"/>
    </xf>
    <xf numFmtId="0" fontId="4" fillId="0" borderId="46" xfId="49" applyBorder="1" applyAlignment="1">
      <alignment horizontal="left" vertical="top" wrapText="1"/>
    </xf>
    <xf numFmtId="0" fontId="4" fillId="0" borderId="23" xfId="49" applyBorder="1" applyAlignment="1">
      <alignment horizontal="left" vertical="top" wrapText="1"/>
    </xf>
    <xf numFmtId="0" fontId="4" fillId="0" borderId="47" xfId="49" applyBorder="1" applyAlignment="1">
      <alignment horizontal="left" vertical="top" wrapText="1"/>
    </xf>
    <xf numFmtId="0" fontId="76" fillId="0" borderId="0" xfId="49" applyFont="1" applyAlignment="1">
      <alignment horizontal="left"/>
    </xf>
    <xf numFmtId="0" fontId="75" fillId="0" borderId="68" xfId="49" applyFont="1" applyBorder="1" applyAlignment="1">
      <alignment horizontal="center" vertical="center" textRotation="255"/>
    </xf>
    <xf numFmtId="0" fontId="75" fillId="0" borderId="69" xfId="49" applyFont="1" applyBorder="1" applyAlignment="1">
      <alignment horizontal="center" vertical="center" textRotation="255"/>
    </xf>
    <xf numFmtId="0" fontId="75" fillId="0" borderId="70" xfId="49" applyFont="1" applyBorder="1" applyAlignment="1">
      <alignment horizontal="center" vertical="center" textRotation="255"/>
    </xf>
    <xf numFmtId="173" fontId="75" fillId="0" borderId="71" xfId="49" applyNumberFormat="1" applyFont="1" applyBorder="1" applyAlignment="1">
      <alignment horizontal="center"/>
    </xf>
    <xf numFmtId="173" fontId="75" fillId="0" borderId="72" xfId="49" applyNumberFormat="1" applyFont="1" applyBorder="1" applyAlignment="1">
      <alignment horizontal="center"/>
    </xf>
    <xf numFmtId="173" fontId="75" fillId="0" borderId="73" xfId="49" applyNumberFormat="1" applyFont="1" applyBorder="1" applyAlignment="1">
      <alignment horizontal="center"/>
    </xf>
    <xf numFmtId="0" fontId="3" fillId="0" borderId="44" xfId="49" applyFont="1" applyBorder="1" applyAlignment="1">
      <alignment horizontal="left" vertical="top" wrapText="1"/>
    </xf>
    <xf numFmtId="0" fontId="4" fillId="0" borderId="26" xfId="49" applyBorder="1" applyAlignment="1">
      <alignment horizontal="left" vertical="top" wrapText="1"/>
    </xf>
    <xf numFmtId="0" fontId="4" fillId="0" borderId="45" xfId="49" applyBorder="1" applyAlignment="1">
      <alignment horizontal="left" vertical="top" wrapText="1"/>
    </xf>
    <xf numFmtId="0" fontId="1" fillId="29" borderId="108" xfId="49" applyFont="1" applyFill="1" applyBorder="1" applyAlignment="1">
      <alignment horizontal="left"/>
    </xf>
    <xf numFmtId="0" fontId="1" fillId="29" borderId="109" xfId="49" applyFont="1" applyFill="1" applyBorder="1" applyAlignment="1">
      <alignment horizontal="left"/>
    </xf>
    <xf numFmtId="0" fontId="1" fillId="0" borderId="108" xfId="49" applyFont="1" applyBorder="1" applyAlignment="1">
      <alignment horizontal="left"/>
    </xf>
    <xf numFmtId="0" fontId="1" fillId="0" borderId="109" xfId="49" applyFont="1" applyBorder="1" applyAlignment="1">
      <alignment horizontal="left"/>
    </xf>
    <xf numFmtId="0" fontId="1" fillId="0" borderId="110" xfId="49" applyFont="1" applyBorder="1" applyAlignment="1">
      <alignment horizontal="left"/>
    </xf>
    <xf numFmtId="0" fontId="1" fillId="0" borderId="111" xfId="49" applyFont="1" applyBorder="1" applyAlignment="1">
      <alignment horizontal="left"/>
    </xf>
    <xf numFmtId="0" fontId="4" fillId="29" borderId="110" xfId="49" applyFill="1" applyBorder="1" applyAlignment="1">
      <alignment horizontal="left"/>
    </xf>
    <xf numFmtId="0" fontId="4" fillId="29" borderId="111" xfId="49" applyFill="1" applyBorder="1" applyAlignment="1">
      <alignment horizontal="left"/>
    </xf>
    <xf numFmtId="0" fontId="1" fillId="0" borderId="112" xfId="49" applyFont="1" applyBorder="1" applyAlignment="1">
      <alignment horizontal="left"/>
    </xf>
    <xf numFmtId="0" fontId="4" fillId="0" borderId="113" xfId="49" applyBorder="1" applyAlignment="1">
      <alignment horizontal="left"/>
    </xf>
    <xf numFmtId="0" fontId="75" fillId="0" borderId="115" xfId="49" applyFont="1" applyBorder="1" applyAlignment="1">
      <alignment horizontal="left"/>
    </xf>
    <xf numFmtId="0" fontId="75" fillId="0" borderId="116" xfId="49" applyFont="1" applyBorder="1" applyAlignment="1">
      <alignment horizontal="left"/>
    </xf>
    <xf numFmtId="0" fontId="4" fillId="0" borderId="102" xfId="49" applyBorder="1" applyAlignment="1">
      <alignment horizontal="center"/>
    </xf>
    <xf numFmtId="0" fontId="4" fillId="0" borderId="103" xfId="49" applyBorder="1" applyAlignment="1">
      <alignment horizontal="center"/>
    </xf>
    <xf numFmtId="0" fontId="1" fillId="29" borderId="110" xfId="49" applyFont="1" applyFill="1" applyBorder="1" applyAlignment="1">
      <alignment horizontal="left"/>
    </xf>
    <xf numFmtId="0" fontId="1" fillId="29" borderId="111" xfId="49" applyFont="1" applyFill="1" applyBorder="1" applyAlignment="1">
      <alignment horizontal="left"/>
    </xf>
    <xf numFmtId="0" fontId="1" fillId="29" borderId="112" xfId="49" applyFont="1" applyFill="1" applyBorder="1" applyAlignment="1">
      <alignment horizontal="left"/>
    </xf>
    <xf numFmtId="0" fontId="4" fillId="29" borderId="113" xfId="49" applyFill="1" applyBorder="1" applyAlignment="1">
      <alignment horizontal="left"/>
    </xf>
    <xf numFmtId="0" fontId="4" fillId="0" borderId="110" xfId="49" applyBorder="1" applyAlignment="1">
      <alignment horizontal="left"/>
    </xf>
    <xf numFmtId="0" fontId="4" fillId="0" borderId="111" xfId="49" applyBorder="1" applyAlignment="1">
      <alignment horizontal="left"/>
    </xf>
    <xf numFmtId="0" fontId="80" fillId="0" borderId="43" xfId="50" applyBorder="1" applyAlignment="1">
      <alignment horizontal="left"/>
    </xf>
    <xf numFmtId="0" fontId="80" fillId="0" borderId="0" xfId="50" applyBorder="1" applyAlignment="1">
      <alignment horizontal="left"/>
    </xf>
    <xf numFmtId="0" fontId="80" fillId="0" borderId="54" xfId="50" applyBorder="1" applyAlignment="1">
      <alignment horizontal="left"/>
    </xf>
    <xf numFmtId="0" fontId="4" fillId="0" borderId="44" xfId="49" applyBorder="1" applyAlignment="1">
      <alignment horizontal="left" vertical="top"/>
    </xf>
    <xf numFmtId="0" fontId="4" fillId="0" borderId="26" xfId="49" applyBorder="1" applyAlignment="1">
      <alignment horizontal="left" vertical="top"/>
    </xf>
    <xf numFmtId="0" fontId="4" fillId="0" borderId="45" xfId="49" applyBorder="1" applyAlignment="1">
      <alignment horizontal="left" vertical="top"/>
    </xf>
    <xf numFmtId="0" fontId="4" fillId="0" borderId="43" xfId="49" applyBorder="1" applyAlignment="1">
      <alignment horizontal="left" vertical="top"/>
    </xf>
    <xf numFmtId="0" fontId="4" fillId="0" borderId="0" xfId="49" applyAlignment="1">
      <alignment horizontal="left" vertical="top"/>
    </xf>
    <xf numFmtId="0" fontId="4" fillId="0" borderId="54" xfId="49" applyBorder="1" applyAlignment="1">
      <alignment horizontal="left" vertical="top"/>
    </xf>
    <xf numFmtId="0" fontId="4" fillId="0" borderId="46" xfId="49" applyBorder="1" applyAlignment="1">
      <alignment horizontal="left" vertical="top"/>
    </xf>
    <xf numFmtId="0" fontId="4" fillId="0" borderId="23" xfId="49" applyBorder="1" applyAlignment="1">
      <alignment horizontal="left" vertical="top"/>
    </xf>
    <xf numFmtId="0" fontId="4" fillId="0" borderId="47" xfId="49" applyBorder="1" applyAlignment="1">
      <alignment horizontal="left" vertical="top"/>
    </xf>
    <xf numFmtId="0" fontId="4" fillId="0" borderId="44" xfId="49" applyBorder="1" applyAlignment="1">
      <alignment horizontal="left" vertical="top" wrapText="1"/>
    </xf>
    <xf numFmtId="0" fontId="80" fillId="0" borderId="46" xfId="50" applyBorder="1" applyAlignment="1">
      <alignment horizontal="left"/>
    </xf>
    <xf numFmtId="0" fontId="80" fillId="0" borderId="23" xfId="50" applyBorder="1" applyAlignment="1">
      <alignment horizontal="left"/>
    </xf>
    <xf numFmtId="0" fontId="80" fillId="0" borderId="47" xfId="50" applyBorder="1" applyAlignment="1">
      <alignment horizontal="left"/>
    </xf>
    <xf numFmtId="0" fontId="76" fillId="0" borderId="0" xfId="49" applyFont="1" applyAlignment="1">
      <alignment horizontal="left" vertical="top" wrapText="1"/>
    </xf>
    <xf numFmtId="0" fontId="76" fillId="0" borderId="23" xfId="49" applyFont="1" applyBorder="1" applyAlignment="1">
      <alignment horizontal="left" vertical="top" wrapText="1"/>
    </xf>
    <xf numFmtId="0" fontId="92" fillId="0" borderId="0" xfId="51" applyFont="1" applyAlignment="1">
      <alignment horizontal="left" vertical="center" wrapText="1"/>
    </xf>
    <xf numFmtId="0" fontId="96" fillId="0" borderId="0" xfId="51" applyFont="1" applyAlignment="1">
      <alignment horizontal="center" vertical="center" wrapText="1"/>
    </xf>
    <xf numFmtId="0" fontId="100" fillId="0" borderId="0" xfId="51" applyFont="1" applyAlignment="1">
      <alignment horizontal="left" vertical="center" wrapText="1"/>
    </xf>
    <xf numFmtId="0" fontId="98" fillId="0" borderId="0" xfId="51" applyFont="1" applyAlignment="1">
      <alignment horizontal="left" vertical="center" wrapText="1"/>
    </xf>
    <xf numFmtId="0" fontId="0" fillId="0" borderId="0" xfId="0" applyAlignment="1">
      <alignment horizontal="center"/>
    </xf>
    <xf numFmtId="0" fontId="6"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xf>
    <xf numFmtId="0" fontId="20" fillId="0" borderId="31" xfId="41" applyFont="1" applyBorder="1" applyAlignment="1">
      <alignment horizontal="center"/>
    </xf>
    <xf numFmtId="0" fontId="20" fillId="0" borderId="35" xfId="41" applyFont="1" applyBorder="1" applyAlignment="1">
      <alignment horizontal="center"/>
    </xf>
    <xf numFmtId="0" fontId="20" fillId="0" borderId="32" xfId="41" applyFont="1" applyBorder="1" applyAlignment="1">
      <alignment horizontal="center"/>
    </xf>
    <xf numFmtId="0" fontId="22" fillId="0" borderId="44" xfId="41" applyFont="1" applyBorder="1" applyAlignment="1">
      <alignment horizontal="center" vertical="center"/>
    </xf>
    <xf numFmtId="0" fontId="22" fillId="0" borderId="26" xfId="41" applyFont="1" applyBorder="1" applyAlignment="1">
      <alignment horizontal="center" vertical="center"/>
    </xf>
    <xf numFmtId="0" fontId="22" fillId="0" borderId="45" xfId="41" applyFont="1" applyBorder="1" applyAlignment="1">
      <alignment horizontal="center" vertical="center"/>
    </xf>
    <xf numFmtId="0" fontId="22" fillId="0" borderId="46" xfId="41" applyFont="1" applyBorder="1" applyAlignment="1">
      <alignment horizontal="center" vertical="center"/>
    </xf>
    <xf numFmtId="0" fontId="22" fillId="0" borderId="23" xfId="41" applyFont="1" applyBorder="1" applyAlignment="1">
      <alignment horizontal="center" vertical="center"/>
    </xf>
    <xf numFmtId="0" fontId="22" fillId="0" borderId="47" xfId="41" applyFont="1" applyBorder="1" applyAlignment="1">
      <alignment horizontal="center" vertical="center"/>
    </xf>
    <xf numFmtId="0" fontId="20" fillId="29" borderId="0" xfId="41" applyFont="1" applyFill="1" applyAlignment="1">
      <alignment horizontal="left"/>
    </xf>
    <xf numFmtId="0" fontId="20" fillId="32" borderId="0" xfId="41" applyFont="1" applyFill="1" applyAlignment="1">
      <alignment horizontal="left"/>
    </xf>
    <xf numFmtId="0" fontId="20" fillId="32" borderId="23" xfId="41" applyFont="1" applyFill="1" applyBorder="1" applyAlignment="1">
      <alignment horizontal="left"/>
    </xf>
    <xf numFmtId="0" fontId="24" fillId="0" borderId="0" xfId="0" applyFont="1" applyAlignment="1">
      <alignment horizont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7" builtinId="4"/>
    <cellStyle name="Currency 2" xfId="52"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50" xr:uid="{00000000-0005-0000-0000-000024000000}"/>
    <cellStyle name="Hyperlink 3" xfId="53" xr:uid="{00000000-0005-0000-0000-000025000000}"/>
    <cellStyle name="Input" xfId="35" builtinId="20" customBuiltin="1"/>
    <cellStyle name="Linked Cell" xfId="36" builtinId="24" customBuiltin="1"/>
    <cellStyle name="Neutral" xfId="37" builtinId="28" customBuiltin="1"/>
    <cellStyle name="Normal" xfId="0" builtinId="0"/>
    <cellStyle name="Normal 2" xfId="38" xr:uid="{00000000-0005-0000-0000-00002A000000}"/>
    <cellStyle name="Normal 3" xfId="49" xr:uid="{00000000-0005-0000-0000-00002B000000}"/>
    <cellStyle name="Normal 4" xfId="51" xr:uid="{00000000-0005-0000-0000-00002C000000}"/>
    <cellStyle name="Normal_Appendix C-Facility Rate Tables" xfId="39" xr:uid="{00000000-0005-0000-0000-00002D000000}"/>
    <cellStyle name="Normal_fringe_composite-15" xfId="40" xr:uid="{00000000-0005-0000-0000-00002E000000}"/>
    <cellStyle name="Normal_person_months_conversion_chart-4" xfId="41" xr:uid="{00000000-0005-0000-0000-00002F000000}"/>
    <cellStyle name="Note" xfId="42" builtinId="10" customBuiltin="1"/>
    <cellStyle name="Output" xfId="43" builtinId="21" customBuiltin="1"/>
    <cellStyle name="Percent" xfId="48" builtinId="5"/>
    <cellStyle name="Title" xfId="44" builtinId="15" customBuiltin="1"/>
    <cellStyle name="Total" xfId="45" builtinId="25" customBuiltin="1"/>
    <cellStyle name="Warning Text" xfId="46" builtinId="11" customBuiltin="1"/>
  </cellStyles>
  <dxfs count="34">
    <dxf>
      <font>
        <b/>
        <i val="0"/>
        <strike val="0"/>
        <color rgb="FFFF0000"/>
      </font>
    </dxf>
    <dxf>
      <font>
        <strike val="0"/>
        <color auto="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strike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theme="1"/>
      </font>
    </dxf>
    <dxf>
      <font>
        <color rgb="FFFF0000"/>
      </font>
    </dxf>
    <dxf>
      <numFmt numFmtId="19" formatCode="m/d/yyyy"/>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udget_Template-current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udget_Template_CS_9.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udget_Template-Trav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Budget Periods"/>
      <sheetName val="Cost Share Summary"/>
      <sheetName val="BP1"/>
      <sheetName val="BP2"/>
      <sheetName val="BP3"/>
      <sheetName val="BP4"/>
      <sheetName val="BP5"/>
      <sheetName val="Cumulative Budget"/>
      <sheetName val="Budget Justification"/>
      <sheetName val="Subaward Calculator"/>
      <sheetName val="Travel Calculator"/>
      <sheetName val="Questionnaire - WIP"/>
      <sheetName val="Lists"/>
      <sheetName val="Appendix A-Boilerplate Language"/>
      <sheetName val="Appendix B-Effort Calculator"/>
      <sheetName val="Appendix C-Grants.gov Form Info"/>
      <sheetName val="Appendix D-Facility Rate Tables"/>
      <sheetName val="appendix E - 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StartDateList</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sheetData>
      <sheetData sheetId="13" refreshError="1"/>
      <sheetData sheetId="14" refreshError="1"/>
      <sheetData sheetId="15">
        <row r="1">
          <cell r="D1" t="str">
            <v>NIH or other Sponsors using the NIH Salary Cap</v>
          </cell>
        </row>
        <row r="2">
          <cell r="D2">
            <v>189600</v>
          </cell>
        </row>
        <row r="3">
          <cell r="D3" t="str">
            <v>NIH</v>
          </cell>
        </row>
        <row r="4">
          <cell r="D4" t="str">
            <v>NCI</v>
          </cell>
        </row>
        <row r="5">
          <cell r="D5" t="str">
            <v>NEI</v>
          </cell>
        </row>
        <row r="6">
          <cell r="D6" t="str">
            <v>NHLBI</v>
          </cell>
        </row>
        <row r="7">
          <cell r="D7" t="str">
            <v>NHGRI</v>
          </cell>
        </row>
        <row r="8">
          <cell r="D8" t="str">
            <v>NIA</v>
          </cell>
        </row>
        <row r="9">
          <cell r="D9" t="str">
            <v>NIAAA</v>
          </cell>
        </row>
        <row r="10">
          <cell r="D10" t="str">
            <v>NIAID</v>
          </cell>
        </row>
        <row r="11">
          <cell r="D11" t="str">
            <v>NIAMS</v>
          </cell>
        </row>
        <row r="12">
          <cell r="D12" t="str">
            <v>NIBIB</v>
          </cell>
        </row>
        <row r="13">
          <cell r="D13" t="str">
            <v>NICHD</v>
          </cell>
        </row>
        <row r="14">
          <cell r="D14" t="str">
            <v>NIDCD</v>
          </cell>
        </row>
        <row r="15">
          <cell r="D15" t="str">
            <v>NIDCR</v>
          </cell>
        </row>
        <row r="16">
          <cell r="D16" t="str">
            <v>NIDDK</v>
          </cell>
        </row>
        <row r="17">
          <cell r="D17" t="str">
            <v>NIDA</v>
          </cell>
        </row>
        <row r="18">
          <cell r="D18" t="str">
            <v>NIEHS</v>
          </cell>
        </row>
        <row r="19">
          <cell r="D19" t="str">
            <v>NIGMS</v>
          </cell>
        </row>
        <row r="20">
          <cell r="D20" t="str">
            <v>NIMH</v>
          </cell>
        </row>
        <row r="21">
          <cell r="D21" t="str">
            <v>NIMHD</v>
          </cell>
        </row>
        <row r="22">
          <cell r="D22" t="str">
            <v>NINDS</v>
          </cell>
        </row>
        <row r="23">
          <cell r="D23" t="str">
            <v>NINR</v>
          </cell>
        </row>
        <row r="24">
          <cell r="D24" t="str">
            <v>NLM</v>
          </cell>
        </row>
        <row r="25">
          <cell r="D25" t="str">
            <v>CC</v>
          </cell>
        </row>
        <row r="26">
          <cell r="D26" t="str">
            <v>CIT</v>
          </cell>
        </row>
        <row r="27">
          <cell r="D27" t="str">
            <v>CSR</v>
          </cell>
        </row>
        <row r="28">
          <cell r="D28" t="str">
            <v>FIC</v>
          </cell>
        </row>
        <row r="29">
          <cell r="D29" t="str">
            <v>NCATS</v>
          </cell>
        </row>
        <row r="30">
          <cell r="D30" t="str">
            <v>NCCIH</v>
          </cell>
        </row>
        <row r="31">
          <cell r="D31" t="str">
            <v>OD</v>
          </cell>
        </row>
        <row r="32">
          <cell r="D32" t="str">
            <v>NIH NCI</v>
          </cell>
        </row>
        <row r="33">
          <cell r="D33" t="str">
            <v>NIH NEI</v>
          </cell>
        </row>
        <row r="34">
          <cell r="D34" t="str">
            <v>NIH NHLBI</v>
          </cell>
        </row>
        <row r="35">
          <cell r="D35" t="str">
            <v>NIH NHGRI</v>
          </cell>
        </row>
        <row r="36">
          <cell r="D36" t="str">
            <v>NIH NIA</v>
          </cell>
        </row>
        <row r="37">
          <cell r="D37" t="str">
            <v>NIH NIAAA</v>
          </cell>
        </row>
        <row r="38">
          <cell r="D38" t="str">
            <v>NIH NIAID</v>
          </cell>
        </row>
        <row r="39">
          <cell r="D39" t="str">
            <v>NIH NIAMS</v>
          </cell>
        </row>
        <row r="40">
          <cell r="D40" t="str">
            <v>NIH NIBIB</v>
          </cell>
        </row>
        <row r="41">
          <cell r="D41" t="str">
            <v>NIH NICHD</v>
          </cell>
        </row>
        <row r="42">
          <cell r="D42" t="str">
            <v>NIH NIDCD</v>
          </cell>
        </row>
        <row r="43">
          <cell r="D43" t="str">
            <v>NIH NIDCR</v>
          </cell>
        </row>
        <row r="44">
          <cell r="D44" t="str">
            <v>NIH NIDDK</v>
          </cell>
        </row>
        <row r="45">
          <cell r="D45" t="str">
            <v>NIH NIDA</v>
          </cell>
        </row>
        <row r="46">
          <cell r="D46" t="str">
            <v>NIH NIEHS</v>
          </cell>
        </row>
        <row r="47">
          <cell r="D47" t="str">
            <v>NIH NIGMS</v>
          </cell>
        </row>
        <row r="48">
          <cell r="D48" t="str">
            <v>NIH NIMH</v>
          </cell>
        </row>
        <row r="49">
          <cell r="D49" t="str">
            <v>NIH NIMHD</v>
          </cell>
        </row>
        <row r="50">
          <cell r="D50" t="str">
            <v>NIH NINDS</v>
          </cell>
        </row>
        <row r="51">
          <cell r="D51" t="str">
            <v>NIH NINR</v>
          </cell>
        </row>
        <row r="52">
          <cell r="D52" t="str">
            <v>NIH NLM</v>
          </cell>
        </row>
        <row r="53">
          <cell r="D53" t="str">
            <v>NIH CC</v>
          </cell>
        </row>
        <row r="54">
          <cell r="D54" t="str">
            <v>NIH CIT</v>
          </cell>
        </row>
        <row r="55">
          <cell r="D55" t="str">
            <v>NIH CSR</v>
          </cell>
        </row>
        <row r="56">
          <cell r="D56" t="str">
            <v>NIH FIC</v>
          </cell>
        </row>
        <row r="57">
          <cell r="D57" t="str">
            <v>NIH NCATS</v>
          </cell>
        </row>
        <row r="58">
          <cell r="D58" t="str">
            <v>NIH NCCIH</v>
          </cell>
        </row>
        <row r="59">
          <cell r="D59" t="str">
            <v>NIH OD</v>
          </cell>
        </row>
        <row r="60">
          <cell r="D60" t="str">
            <v>National Cancer Institute</v>
          </cell>
        </row>
        <row r="61">
          <cell r="D61" t="str">
            <v>National Eye Institute</v>
          </cell>
        </row>
        <row r="62">
          <cell r="D62" t="str">
            <v>National Heart, Lung, and Blood Institute</v>
          </cell>
        </row>
        <row r="63">
          <cell r="D63" t="str">
            <v>National Human Genome Research Institute</v>
          </cell>
        </row>
        <row r="64">
          <cell r="D64" t="str">
            <v>National Institute on Aging</v>
          </cell>
        </row>
        <row r="65">
          <cell r="D65" t="str">
            <v>National Institute on Alcohol Abuse and Alcoholism</v>
          </cell>
        </row>
        <row r="66">
          <cell r="D66" t="str">
            <v>National Institute of Allergy and Infectious Diseases</v>
          </cell>
        </row>
        <row r="67">
          <cell r="D67" t="str">
            <v>National Institute of Arthritis and Musculoskeletal and Skin Diseases</v>
          </cell>
        </row>
        <row r="68">
          <cell r="D68" t="str">
            <v>National Institute of Biomedical Imaging and Bioengineering</v>
          </cell>
        </row>
        <row r="69">
          <cell r="D69" t="str">
            <v>Eunice Kennedy Shriver National Institute of Child Health and Human Development</v>
          </cell>
        </row>
        <row r="70">
          <cell r="D70" t="str">
            <v>National Institute on Deafness and Other Communication Disorders</v>
          </cell>
        </row>
        <row r="71">
          <cell r="D71" t="str">
            <v>National Institute of Dental and Craniofacial Research</v>
          </cell>
        </row>
        <row r="72">
          <cell r="D72" t="str">
            <v>National Institute of Diabetes and Digestive and Kidney Diseases</v>
          </cell>
        </row>
        <row r="73">
          <cell r="D73" t="str">
            <v>National Institute on Drug Abuse</v>
          </cell>
        </row>
        <row r="74">
          <cell r="D74" t="str">
            <v>National Institute of Environmental Health Sciences</v>
          </cell>
        </row>
        <row r="75">
          <cell r="D75" t="str">
            <v>National Institute of General Medical Sciences</v>
          </cell>
        </row>
        <row r="76">
          <cell r="D76" t="str">
            <v>The National Institute of General Medical Sciences</v>
          </cell>
        </row>
        <row r="77">
          <cell r="D77" t="str">
            <v>National Institute of General Medical Sciences</v>
          </cell>
        </row>
        <row r="78">
          <cell r="D78" t="str">
            <v>National Institute of Mental Health</v>
          </cell>
        </row>
        <row r="79">
          <cell r="D79" t="str">
            <v>National Institute on Minority Health and Health Disparities</v>
          </cell>
        </row>
        <row r="80">
          <cell r="D80" t="str">
            <v>National Institute of Neurological Disorders and Stroke</v>
          </cell>
        </row>
        <row r="81">
          <cell r="D81" t="str">
            <v>National Institute of Nursing Research</v>
          </cell>
        </row>
        <row r="82">
          <cell r="D82" t="str">
            <v>National Library of Medicine</v>
          </cell>
        </row>
        <row r="83">
          <cell r="D83" t="str">
            <v>NIH Clinical Center</v>
          </cell>
        </row>
        <row r="84">
          <cell r="D84" t="str">
            <v>Center for Information Technology</v>
          </cell>
        </row>
        <row r="85">
          <cell r="D85" t="str">
            <v>Center for Scientific Review</v>
          </cell>
        </row>
        <row r="86">
          <cell r="D86" t="str">
            <v>Fogarty International Center</v>
          </cell>
        </row>
        <row r="87">
          <cell r="D87" t="str">
            <v>National Center for Advancing Translational Sciences</v>
          </cell>
        </row>
        <row r="88">
          <cell r="D88" t="str">
            <v>National Center for Complementary and Integrative Health</v>
          </cell>
        </row>
        <row r="89">
          <cell r="D89" t="str">
            <v>National Institutes of Health</v>
          </cell>
        </row>
        <row r="90">
          <cell r="D90" t="str">
            <v>National Institute of Health</v>
          </cell>
        </row>
        <row r="91">
          <cell r="D91" t="str">
            <v>PHS</v>
          </cell>
        </row>
        <row r="92">
          <cell r="D92" t="str">
            <v>Public Health Service</v>
          </cell>
        </row>
        <row r="93">
          <cell r="D93" t="str">
            <v>Other Sponsors using the NIH salary cap</v>
          </cell>
        </row>
        <row r="94">
          <cell r="D94" t="str">
            <v>JDRF</v>
          </cell>
        </row>
        <row r="95">
          <cell r="D95" t="str">
            <v>Juvenile Diabetes Research Foundation</v>
          </cell>
        </row>
        <row r="96">
          <cell r="D96" t="str">
            <v>AICR</v>
          </cell>
        </row>
        <row r="97">
          <cell r="D97" t="str">
            <v>American Institute for Cancer Research</v>
          </cell>
        </row>
        <row r="98">
          <cell r="D98" t="str">
            <v>Alex's Lemonade Stand</v>
          </cell>
        </row>
        <row r="99">
          <cell r="D99" t="str">
            <v>Alex's Lemonade Stand Foundation</v>
          </cell>
        </row>
        <row r="100">
          <cell r="D100" t="str">
            <v>ALSF</v>
          </cell>
        </row>
        <row r="101">
          <cell r="D101" t="str">
            <v>Greenwall Foundation</v>
          </cell>
        </row>
        <row r="102">
          <cell r="D102" t="str">
            <v>Greenwall</v>
          </cell>
        </row>
        <row r="103">
          <cell r="D103" t="str">
            <v>Ovarian Cancer Research Fund</v>
          </cell>
        </row>
        <row r="104">
          <cell r="D104" t="str">
            <v>OCRF</v>
          </cell>
        </row>
        <row r="105">
          <cell r="D105" t="str">
            <v>Progeria Research Foundation</v>
          </cell>
        </row>
        <row r="106">
          <cell r="D106" t="str">
            <v>Progeria</v>
          </cell>
        </row>
        <row r="107">
          <cell r="D107" t="str">
            <v>Rheumatology Research Foundation</v>
          </cell>
        </row>
        <row r="108">
          <cell r="D108" t="str">
            <v>American Heart Association</v>
          </cell>
        </row>
        <row r="109">
          <cell r="D109" t="str">
            <v>AHA</v>
          </cell>
        </row>
      </sheetData>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Appendix A-Effort Calculator"/>
      <sheetName val="Appendix B-Grants.gov Form Info"/>
      <sheetName val="Appendix C-Facility Rate Tables"/>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Travel Calculator"/>
      <sheetName val="Appendix A-Boilerplate Language"/>
      <sheetName val="Appendix B-Effort Calculator"/>
      <sheetName val="Appendix C-Grants.gov Form Info"/>
      <sheetName val="Appendix D-Facility Rate Tables"/>
      <sheetName val="Lists"/>
    </sheetNames>
    <sheetDataSet>
      <sheetData sheetId="0">
        <row r="1">
          <cell r="A1" t="str">
            <v>Example of Travel Calculator Integration</v>
          </cell>
        </row>
      </sheetData>
      <sheetData sheetId="1">
        <row r="1">
          <cell r="A1" t="str">
            <v>Example of Travel Calculator Integration</v>
          </cell>
        </row>
      </sheetData>
      <sheetData sheetId="2">
        <row r="1">
          <cell r="A1" t="str">
            <v>Example of Travel Calculator Integration</v>
          </cell>
        </row>
      </sheetData>
      <sheetData sheetId="3"/>
      <sheetData sheetId="4"/>
      <sheetData sheetId="5"/>
      <sheetData sheetId="6"/>
      <sheetData sheetId="7"/>
      <sheetData sheetId="8"/>
      <sheetData sheetId="9"/>
      <sheetData sheetId="10"/>
      <sheetData sheetId="11">
        <row r="2">
          <cell r="A2">
            <v>37499</v>
          </cell>
        </row>
      </sheetData>
      <sheetData sheetId="12">
        <row r="2">
          <cell r="A2">
            <v>37499</v>
          </cell>
        </row>
      </sheetData>
      <sheetData sheetId="13" refreshError="1">
        <row r="1">
          <cell r="A1" t="str">
            <v>Example of Travel Calculator Integration</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persons/person.xml><?xml version="1.0" encoding="utf-8"?>
<personList xmlns="http://schemas.microsoft.com/office/spreadsheetml/2018/threadedcomments" xmlns:x="http://schemas.openxmlformats.org/spreadsheetml/2006/main">
  <person displayName="tab804" id="{AB0451E4-235D-4934-A28C-750C4FFC9607}" userId="tab804" providerId="None"/>
  <person displayName="Andrew Mark" id="{402C552D-6CFD-4D9F-A6D7-84EBD06F363F}" userId="Andrew Mark" providerId="None"/>
  <person displayName="Ben P Nelson" id="{9746C5A6-F367-40E6-A1FB-7DDB0150D907}" userId="Ben P Nelson" providerId="None"/>
  <person displayName="Jarrod Routh" id="{474AD4D3-AA83-4633-81CC-E88BA0A41325}" userId="Jarrod Routh" providerId="None"/>
  <person displayName="Setong Mavong" id="{01010E07-EFA3-45C6-BCEE-4BA363E3248A}" userId="Setong Mavong" providerId="None"/>
  <person displayName="Aaron J. DeLee" id="{2D5813AE-A835-4069-8A55-5DE2B3889C6F}" userId="Aaron J. DeLee" providerId="None"/>
  <person displayName="David Wemhaner" id="{A6995CC8-834C-4C7D-A989-EA27472566BF}" userId="David Wemhaner" providerId="None"/>
  <person displayName="W Nathan Youngblood" id="{33F00107-71D0-498E-A865-080DF938E6F6}" userId="W Nathan Youngblood" providerId="None"/>
  <person displayName="Andrew Mark" id="{367297B1-71FF-469C-A22B-D664DEA05040}" userId="S::ajm535@ads.northwestern.edu::8f987785-70b9-4a8c-81a3-d77b58cdb386" providerId="AD"/>
  <person displayName="Setong Mavong" id="{FD8BF0EE-5740-4BD4-9028-E52A2D72A86B}" userId="S::swm451@ads.northwestern.edu::89858e48-49e8-4abd-a99c-3f1bb42019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63" totalsRowShown="0">
  <autoFilter ref="A1:B63" xr:uid="{00000000-0009-0000-0100-000001000000}"/>
  <tableColumns count="2">
    <tableColumn id="1" xr3:uid="{00000000-0010-0000-0000-000001000000}" name="Date" dataDxfId="33"/>
    <tableColumn id="2" xr3:uid="{00000000-0010-0000-0000-000002000000}" name="Descriptio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4" dT="2021-12-08T18:57:03.04" personId="{367297B1-71FF-469C-A22B-D664DEA05040}" id="{A2527ABA-9466-41BE-9F05-D44B4C4383C8}">
    <text>This might need to be manually calculated if cost-sharing 12-month faculty salaries, or otherwise deviating for general expected categories.</text>
  </threadedComment>
  <threadedComment ref="A95" dT="2021-12-08T18:57:03.04" personId="{367297B1-71FF-469C-A22B-D664DEA05040}" id="{0B09678B-A176-4B8D-AFA2-877A2840D6AA}">
    <text>This might need to be manually calculated if cost-sharing 12-month faculty salaries, or otherwise deviating for general expected categories.</text>
  </threadedComment>
  <threadedComment ref="A96" dT="2021-12-08T18:57:56.69" personId="{367297B1-71FF-469C-A22B-D664DEA05040}" id="{EA5851B8-BCE4-4B5C-8670-C55D6E821CC3}">
    <text>This must always be a whole number; you cannot have partial quarters.</text>
  </threadedComment>
</ThreadedComments>
</file>

<file path=xl/threadedComments/threadedComment2.xml><?xml version="1.0" encoding="utf-8"?>
<ThreadedComments xmlns="http://schemas.microsoft.com/office/spreadsheetml/2018/threadedcomments" xmlns:x="http://schemas.openxmlformats.org/spreadsheetml/2006/main">
  <threadedComment ref="K8" personId="{402C552D-6CFD-4D9F-A6D7-84EBD06F363F}" id="{6369CA53-D26D-4B95-A046-21B96843330C}">
    <text>You can change this to any date (i.e., mid-month) by removing the data validation for this cell.</text>
  </threadedComment>
  <threadedComment ref="K10" personId="{AB0451E4-235D-4934-A28C-750C4FFC9607}" id="{8981A012-1D59-411A-9FB0-DB0AE400F7C3}">
    <text xml:space="preserve">If the field says #VALUE!, go to Tools &gt; Add-Ins and click on Analysis Toolpak then reselect Budget Year Start </text>
  </threadedComment>
  <threadedComment ref="M14" personId="{A6995CC8-834C-4C7D-A989-EA27472566BF}" id="{FC1E02BD-51D0-43D4-AAA3-AE2305412672}">
    <text>Cost share effort can only be committed for academic (if 9 month) or calendar (if 10, 11, or 12 month) months.</text>
  </threadedComment>
  <threadedComment ref="B15" personId="{402C552D-6CFD-4D9F-A6D7-84EBD06F363F}" id="{4DFCB001-A623-4D29-B8A5-495473D63A06}">
    <text>Type PI name here.  It will automatically copy to all other budget pages.</text>
  </threadedComment>
  <threadedComment ref="L15" personId="{AB0451E4-235D-4934-A28C-750C4FFC9607}" id="{7527E054-8A64-467E-958C-6E4C9FC70413}">
    <text>Auto calculates fringe by personnel salary entered to left, based on project start date entered above.</text>
  </threadedComment>
  <threadedComment ref="H32" personId="{AB0451E4-235D-4934-A28C-750C4FFC9607}" id="{DBA35FB5-2C01-4580-BCB4-109652B40B42}">
    <text>Enter number person months here, based on a standard 12-month appointment.</text>
  </threadedComment>
  <threadedComment ref="P32" personId="{01010E07-EFA3-45C6-BCEE-4BA363E3248A}" id="{C818A039-517C-4256-B74E-E9C063CB2E94}">
    <text>Northwestern minimum for salary, based on NRSA Postdoc Level 0. Update if higher.</text>
  </threadedComment>
  <threadedComment ref="H33" personId="{AB0451E4-235D-4934-A28C-750C4FFC9607}" id="{6C8C2D62-1CF6-4290-B405-C8F725DB4E20}">
    <text>Enter number person months here, based on a standard 12-month appointment.</text>
  </threadedComment>
  <threadedComment ref="H34" personId="{AB0451E4-235D-4934-A28C-750C4FFC9607}" id="{6C8C2D62-1CF6-4291-B405-C8F725DB4E20}">
    <text>Enter number person months here, based on a standard 12-month appointment.</text>
  </threadedComment>
  <threadedComment ref="H35" personId="{AB0451E4-235D-4934-A28C-750C4FFC9607}" id="{6C8C2D62-1CF6-4292-B405-C8F725DB4E20}">
    <text>Enter number person months here, based on a standard 12-month appointment.</text>
  </threadedComment>
  <threadedComment ref="H36" personId="{AB0451E4-235D-4934-A28C-750C4FFC9607}" id="{6C8C2D62-1CF6-4293-B405-C8F725DB4E20}">
    <text>Enter number person months here, based on a standard 12-month appointment.</text>
  </threadedComment>
  <threadedComment ref="H37" personId="{AB0451E4-235D-4934-A28C-750C4FFC9607}" id="{6C8C2D62-1CF6-4294-B405-C8F725DB4E20}">
    <text>Enter number person months here, based on a standard 12-month appointment.</text>
  </threadedComment>
  <threadedComment ref="B38" personId="{AB0451E4-235D-4934-A28C-750C4FFC9607}" id="{6CF4F895-08BC-48A6-B001-775D240FA0AC}">
    <text>Insert number of graduate students here.
This will drive the tuition cost to grant, in the Other Direct Costs section.</text>
  </threadedComment>
  <threadedComment ref="H38" personId="{AB0451E4-235D-4934-A28C-750C4FFC9607}" id="{6C8C2D62-1CF6-4295-B405-C8F725DB4E20}">
    <text>Enter number person months here, based on a standard 12-month appointment.</text>
  </threadedComment>
  <threadedComment ref="L38" personId="{402C552D-6CFD-4D9F-A6D7-84EBD06F363F}" id="{293FB106-48BE-4B27-A4E4-CA40AC724B19}">
    <text>This field is calculated with graduate student fringe rate.</text>
  </threadedComment>
  <threadedComment ref="P38" dT="2022-01-04T15:53:20.36" personId="{367297B1-71FF-469C-A22B-D664DEA05040}" id="{3D6D8F24-D98F-4C06-BDD9-81C3C3ABF513}">
    <text>Per TGS announcement of rates, $3,979 per month for FY27.</text>
  </threadedComment>
  <threadedComment ref="H39" personId="{AB0451E4-235D-4934-A28C-750C4FFC9607}" id="{6C8C2D62-1CF6-4296-B405-C8F725DB4E20}">
    <text>Enter number person months here, based on a standard 12-month appointment.</text>
  </threadedComment>
  <threadedComment ref="H40" personId="{AB0451E4-235D-4934-A28C-750C4FFC9607}" id="{6C8C2D62-1CF6-4297-B405-C8F725DB4E20}">
    <text>Enter number person months here, based on a standard 12-month appointment.</text>
  </threadedComment>
  <threadedComment ref="L40" personId="{474AD4D3-AA83-4633-81CC-E88BA0A41325}" id="{C8309D82-3090-4E9D-96F9-328DE2236420}">
    <text>This field is calculated with statutory fringe rate.</text>
  </threadedComment>
  <threadedComment ref="C60" personId="{402C552D-6CFD-4D9F-A6D7-84EBD06F363F}" id="{173F25F3-0814-47E6-80EB-005C49D8B573}">
    <text>Example: Laboratory services, human subject fees, animal subject costs</text>
  </threadedComment>
  <threadedComment ref="C61" personId="{402C552D-6CFD-4D9F-A6D7-84EBD06F363F}" id="{81C83F75-A71A-493D-8502-E7A14E5FA519}">
    <text>Example: Participant support costs</text>
  </threadedComment>
  <threadedComment ref="G77" dT="2019-10-23T15:40:19.51" personId="{FD8BF0EE-5740-4BD4-9028-E52A2D72A86B}" id="{EA01ED2B-3194-4675-A59A-426EC969B3E0}">
    <text>Listed rate is for the BP's starting Month, F&amp;A is calculated using a blended rate. Unless manually modified.</text>
  </threadedComment>
</ThreadedComments>
</file>

<file path=xl/threadedComments/threadedComment3.xml><?xml version="1.0" encoding="utf-8"?>
<ThreadedComments xmlns="http://schemas.microsoft.com/office/spreadsheetml/2018/threadedcomments" xmlns:x="http://schemas.openxmlformats.org/spreadsheetml/2006/main">
  <threadedComment ref="N2" personId="{402C552D-6CFD-4D9F-A6D7-84EBD06F363F}" id="{C2574E76-ECC7-4B40-829C-703FD11191FE}">
    <text>Enter # of days here.</text>
  </threadedComment>
  <threadedComment ref="N3" personId="{402C552D-6CFD-4D9F-A6D7-84EBD06F363F}" id="{14AA5514-A76C-4AF1-ACD7-418E35426D6F}">
    <text>Enter # of travelers here.</text>
  </threadedComment>
  <threadedComment ref="N4" personId="{402C552D-6CFD-4D9F-A6D7-84EBD06F363F}" id="{B1CEFA16-FC0F-4D85-94C6-AD7862EB6F84}">
    <text>Enter cost-share percentage here.</text>
  </threadedComment>
  <threadedComment ref="I9" personId="{402C552D-6CFD-4D9F-A6D7-84EBD06F363F}" id="{2DB2304C-B95C-427E-8EA3-337D3D66F91D}">
    <text>Enter the identifier here.</text>
  </threadedComment>
  <threadedComment ref="J9" personId="{402C552D-6CFD-4D9F-A6D7-84EBD06F363F}" id="{2DB2304C-B95C-427F-8EA3-337D3D66F91D}">
    <text>Enter the identifier here.</text>
  </threadedComment>
  <threadedComment ref="K9" personId="{402C552D-6CFD-4D9F-A6D7-84EBD06F363F}" id="{2DB2304C-B95C-4280-8EA3-337D3D66F91D}">
    <text>Enter the identifier here.</text>
  </threadedComment>
  <threadedComment ref="I10" personId="{402C552D-6CFD-4D9F-A6D7-84EBD06F363F}" id="{2DB2304C-B95C-4281-8EA3-337D3D66F91D}">
    <text>Enter the identifier here.</text>
  </threadedComment>
  <threadedComment ref="J10" personId="{402C552D-6CFD-4D9F-A6D7-84EBD06F363F}" id="{2DB2304C-B95C-4282-8EA3-337D3D66F91D}">
    <text>Enter the identifier here.</text>
  </threadedComment>
  <threadedComment ref="K10" personId="{402C552D-6CFD-4D9F-A6D7-84EBD06F363F}" id="{2DB2304C-B95C-4283-8EA3-337D3D66F91D}">
    <text>Enter the identifier here.</text>
  </threadedComment>
  <threadedComment ref="I11" personId="{402C552D-6CFD-4D9F-A6D7-84EBD06F363F}" id="{2DB2304C-B95C-4284-8EA3-337D3D66F91D}">
    <text>Enter the identifier here.</text>
  </threadedComment>
  <threadedComment ref="J11" personId="{402C552D-6CFD-4D9F-A6D7-84EBD06F363F}" id="{2DB2304C-B95C-4285-8EA3-337D3D66F91D}">
    <text>Enter the identifier here.</text>
  </threadedComment>
  <threadedComment ref="K11" personId="{402C552D-6CFD-4D9F-A6D7-84EBD06F363F}" id="{2DB2304C-B95C-4286-8EA3-337D3D66F91D}">
    <text>Enter the identifier here.</text>
  </threadedComment>
  <threadedComment ref="I12" personId="{402C552D-6CFD-4D9F-A6D7-84EBD06F363F}" id="{2DB2304C-B95C-4287-8EA3-337D3D66F91D}">
    <text>Enter the identifier here.</text>
  </threadedComment>
  <threadedComment ref="J12" personId="{402C552D-6CFD-4D9F-A6D7-84EBD06F363F}" id="{2DB2304C-B95C-4288-8EA3-337D3D66F91D}">
    <text>Enter the identifier here.</text>
  </threadedComment>
  <threadedComment ref="K12" personId="{402C552D-6CFD-4D9F-A6D7-84EBD06F363F}" id="{2DB2304C-B95C-4289-8EA3-337D3D66F91D}">
    <text>Enter the identifier here.</text>
  </threadedComment>
  <threadedComment ref="I13" personId="{402C552D-6CFD-4D9F-A6D7-84EBD06F363F}" id="{2DB2304C-B95C-428A-8EA3-337D3D66F91D}">
    <text>Enter the identifier here.</text>
  </threadedComment>
  <threadedComment ref="J13" personId="{402C552D-6CFD-4D9F-A6D7-84EBD06F363F}" id="{2DB2304C-B95C-428B-8EA3-337D3D66F91D}">
    <text>Enter the identifier here.</text>
  </threadedComment>
  <threadedComment ref="K13" personId="{402C552D-6CFD-4D9F-A6D7-84EBD06F363F}" id="{2DB2304C-B95C-428C-8EA3-337D3D66F91D}">
    <text>Enter the identifier here.</text>
  </threadedComment>
  <threadedComment ref="H17" personId="{402C552D-6CFD-4D9F-A6D7-84EBD06F363F}" id="{1AAA62DA-7E97-400D-8517-CDCB601DBAE6}">
    <text xml:space="preserve">If (domestic) destination is unknown, use these rates for Lodging and M&amp;IE.
</text>
  </threadedComment>
</ThreadedComments>
</file>

<file path=xl/threadedComments/threadedComment4.xml><?xml version="1.0" encoding="utf-8"?>
<ThreadedComments xmlns="http://schemas.microsoft.com/office/spreadsheetml/2018/threadedcomments" xmlns:x="http://schemas.openxmlformats.org/spreadsheetml/2006/main">
  <threadedComment ref="J74" personId="{33F00107-71D0-498E-A865-080DF938E6F6}" id="{B0425895-DF47-4AAF-8014-7F94219A5AB3}">
    <text>Rates are actual FY13 benefit rates from 7/30/12 Eugene Sunshine memo.</text>
  </threadedComment>
  <threadedComment ref="L74" personId="{33F00107-71D0-498E-A865-080DF938E6F6}" id="{9912DD39-F228-4D44-B35E-29A065A6FA9B}">
    <text>Quarterly rate per TGS 5/17/12.</text>
  </threadedComment>
  <threadedComment ref="J86" personId="{33F00107-71D0-498E-A865-080DF938E6F6}" id="{4144F7DA-1B19-419C-AC48-129DE91EC6D2}">
    <text>Rates from 7/30/12 Eugene Sunshine memo - projected for FY14-17.</text>
  </threadedComment>
  <threadedComment ref="L86" personId="{2D5813AE-A835-4069-8A55-5DE2B3889C6F}" id="{A02FC428-DB01-4A4F-8FA8-5D1B2511B3DC}">
    <text>Quarterly rate per TGS 4/30/13</text>
  </threadedComment>
  <threadedComment ref="L98" personId="{402C552D-6CFD-4D9F-A6D7-84EBD06F363F}" id="{A23EB8FD-9445-47F3-BFAE-B8A745B02816}">
    <text>Quarterly rates per TGS 05/01/2014</text>
  </threadedComment>
  <threadedComment ref="L110" personId="{402C552D-6CFD-4D9F-A6D7-84EBD06F363F}" id="{357B9499-0C55-42C1-A4AD-6E5FA7308C7F}">
    <text>Quarterly rates per TGS 06/08/2015</text>
  </threadedComment>
  <threadedComment ref="L122" personId="{9746C5A6-F367-40E6-A1FB-7DDB0150D907}" id="{FC5707F5-C204-4E6C-A969-32BC2DAC9D48}">
    <text>Quarterly rates per TGS  5/2/2016</text>
  </threadedComment>
  <threadedComment ref="L134" personId="{A6995CC8-834C-4C7D-A989-EA27472566BF}" id="{20FFDB19-2A8D-4CD1-A853-78D0E90A84C2}">
    <text>Quarterly Rate per TGS 5/24/17</text>
  </threadedComment>
  <threadedComment ref="L146" personId="{402C552D-6CFD-4D9F-A6D7-84EBD06F363F}" id="{70230BEA-0414-40E2-940C-4795E40BC65F}">
    <text>Quarterly Rate per TGS 5/9/18</text>
  </threadedComment>
  <threadedComment ref="L158" personId="{01010E07-EFA3-45C6-BCEE-4BA363E3248A}" id="{45D01AEB-4856-489D-A276-41DC0FF49D19}">
    <text>Quarter PI Rate per TGS (3/12/19)</text>
  </threadedComment>
  <threadedComment ref="L170" personId="{01010E07-EFA3-45C6-BCEE-4BA363E3248A}" id="{45D01AEB-4856-489E-A276-41DC0FF49D19}">
    <text>Quarter PI Rate per TGS (3/12/19)</text>
  </threadedComment>
  <threadedComment ref="L182" dT="2022-01-04T15:54:43.34" personId="{367297B1-71FF-469C-A22B-D664DEA05040}" id="{4804F61B-4433-404E-A0CC-F11D09B237B0}">
    <text>Quarter PI Rate per TGS (1/4/21)</text>
  </threadedComment>
  <threadedComment ref="L194" dT="2022-01-04T15:54:57.47" personId="{367297B1-71FF-469C-A22B-D664DEA05040}" id="{14D0C4D4-BD87-4EC5-AE3D-AE7C134BD7AE}">
    <text>Quarter PI Rate per TGS (1/4/22)</text>
  </threadedComment>
  <threadedComment ref="L206" dT="2022-01-04T15:54:57.47" personId="{367297B1-71FF-469C-A22B-D664DEA05040}" id="{C02219D6-536E-441C-9EDA-FB32E2224A61}">
    <text>Quarter PI Rate per TGS (2/6/23)</text>
  </threadedComment>
  <threadedComment ref="L206" dT="2024-04-10T14:08:49.95" personId="{367297B1-71FF-469C-A22B-D664DEA05040}" id="{6996015C-F9B7-4A5D-A604-8C410EE3E3A8}" parentId="{C02219D6-536E-441C-9EDA-FB32E2224A61}">
    <text>Updated to $2579/quarter mid-year due to Graduate Student Unionization (4/10/24)</text>
  </threadedComment>
  <threadedComment ref="L215" dT="2024-04-16T21:17:14.26" personId="{367297B1-71FF-469C-A22B-D664DEA05040}" id="{F5848549-938D-4D42-85DF-7FB8C9C72C83}">
    <text>Quarter PI Rate per TGS for Summer of 2024 (4/16/24)</text>
  </threadedComment>
  <threadedComment ref="L218" dT="2022-01-04T15:54:57.47" personId="{367297B1-71FF-469C-A22B-D664DEA05040}" id="{B2D85AA3-0A03-4D99-B79B-C496A962D634}">
    <text>Quarter Rate to remain at NIH Postdoctoral Level 0, per SR's website https://sponsoredresearch.northwestern.edu/docs/graduate-student-rates-sponsored-research.xlsx (4/5/24)
Quarter PI Rate per TGS (4/16/24)</text>
    <extLst>
      <x:ext xmlns:xltc2="http://schemas.microsoft.com/office/spreadsheetml/2020/threadedcomments2" uri="{F7C98A9C-CBB3-438F-8F68-D28B6AF4A901}">
        <xltc2:checksum>2104818504</xltc2:checksum>
        <xltc2:hyperlink startIndex="69" length="94" url="https://sponsoredresearch.northwestern.edu/docs/graduate-student-rates-sponsored-research.xlsx"/>
      </x:ext>
    </extLst>
  </threadedComment>
  <threadedComment ref="L230" dT="2022-01-04T15:54:57.47" personId="{367297B1-71FF-469C-A22B-D664DEA05040}" id="{C45CB4AE-537E-41B1-A4A1-A16F2D4390E0}">
    <text>Quarter PI Rate per TGS (5/5/25)</text>
  </threadedComment>
  <threadedComment ref="L242" dT="2022-01-04T15:54:57.47" personId="{367297B1-71FF-469C-A22B-D664DEA05040}" id="{24E2AAE9-85CD-4F29-AF68-D5649067620A}">
    <text>Quarter PI Rate per TGS (4/24/26)</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aoprals.state.gov/web920/per_diem.asp" TargetMode="External"/><Relationship Id="rId7" Type="http://schemas.openxmlformats.org/officeDocument/2006/relationships/hyperlink" Target="https://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ontent/104877" TargetMode="External"/><Relationship Id="rId6" Type="http://schemas.openxmlformats.org/officeDocument/2006/relationships/hyperlink" Target="http://www.defensetravel.dod.mil/site/perdiemCalc.cfm" TargetMode="External"/><Relationship Id="rId11" Type="http://schemas.microsoft.com/office/2017/10/relationships/threadedComment" Target="../threadedComments/threadedComment3.xml"/><Relationship Id="rId5" Type="http://schemas.openxmlformats.org/officeDocument/2006/relationships/hyperlink" Target="http://www.northwestern.edu/uservices/travel/index.html" TargetMode="External"/><Relationship Id="rId10" Type="http://schemas.openxmlformats.org/officeDocument/2006/relationships/comments" Target="../comments3.xml"/><Relationship Id="rId4" Type="http://schemas.openxmlformats.org/officeDocument/2006/relationships/hyperlink" Target="http://www.defensetravel.dod.mil/site/perdiemCalc.cfm" TargetMode="External"/><Relationship Id="rId9"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grants.nih.gov/training/phs2271.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 Id="rId4" Type="http://schemas.microsoft.com/office/2017/10/relationships/threadedComment" Target="../threadedComments/threadedComment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northwestern.edu/asrsp/costing/fa-fringe-benefit-rates-and-space-survey.html" TargetMode="External"/><Relationship Id="rId1" Type="http://schemas.openxmlformats.org/officeDocument/2006/relationships/hyperlink" Target="mailto:SponsoredResearch@northwestern.edu"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nucore.northwestern.edu/facilities" TargetMode="External"/><Relationship Id="rId2" Type="http://schemas.openxmlformats.org/officeDocument/2006/relationships/hyperlink" Target="https://nucore.northwestern.edu/facilities" TargetMode="External"/><Relationship Id="rId1" Type="http://schemas.openxmlformats.org/officeDocument/2006/relationships/hyperlink" Target="https://nucore.northwestern.edu/faciliti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tabColor theme="6" tint="0.59999389629810485"/>
    <pageSetUpPr fitToPage="1"/>
  </sheetPr>
  <dimension ref="A1:AE94"/>
  <sheetViews>
    <sheetView workbookViewId="0">
      <selection activeCell="I1" sqref="I1"/>
    </sheetView>
  </sheetViews>
  <sheetFormatPr defaultColWidth="9.109375" defaultRowHeight="15.6"/>
  <cols>
    <col min="1" max="1" width="47.5546875" style="59" bestFit="1" customWidth="1"/>
    <col min="2" max="7" width="12.5546875" style="59" customWidth="1"/>
    <col min="8" max="8" width="3.88671875" style="59" customWidth="1"/>
    <col min="9" max="9" width="35.6640625" style="59" customWidth="1"/>
    <col min="10" max="10" width="3.88671875" style="59" customWidth="1"/>
    <col min="11" max="13" width="8.88671875" style="59" customWidth="1"/>
    <col min="14" max="31" width="8.33203125" style="59" customWidth="1"/>
    <col min="32" max="16384" width="9.109375" style="59"/>
  </cols>
  <sheetData>
    <row r="1" spans="1:31" ht="31.5" customHeight="1" thickBot="1">
      <c r="A1" s="768" t="str">
        <f>'BP1'!A1:L1</f>
        <v>Title</v>
      </c>
      <c r="B1" s="769"/>
      <c r="C1" s="769"/>
      <c r="D1" s="769"/>
      <c r="E1" s="769"/>
      <c r="F1" s="769"/>
      <c r="G1" s="770"/>
      <c r="I1" s="118" t="s">
        <v>183</v>
      </c>
      <c r="K1" s="765" t="s">
        <v>222</v>
      </c>
      <c r="L1" s="766"/>
      <c r="M1" s="766"/>
      <c r="N1" s="766"/>
      <c r="O1" s="766"/>
      <c r="P1" s="766"/>
      <c r="Q1" s="766"/>
      <c r="R1" s="766"/>
      <c r="S1" s="766"/>
      <c r="T1" s="766"/>
      <c r="U1" s="766"/>
      <c r="V1" s="766"/>
      <c r="W1" s="766"/>
      <c r="X1" s="766"/>
      <c r="Y1" s="766"/>
      <c r="Z1" s="766"/>
      <c r="AA1" s="766"/>
      <c r="AB1" s="766"/>
      <c r="AC1" s="766"/>
      <c r="AD1" s="766"/>
      <c r="AE1" s="767"/>
    </row>
    <row r="2" spans="1:31" ht="31.5" customHeight="1">
      <c r="A2" s="439" t="str">
        <f>"Northwestern PI 
"&amp;'BP1'!A11</f>
        <v>Northwestern PI 
Professor McCormick</v>
      </c>
      <c r="B2" s="778" t="str">
        <f>CONCATENATE("Start Date: 
",TEXT('BP1'!K8,"mmmm d, yyyy"))</f>
        <v>Start Date: 
September 1, 2026</v>
      </c>
      <c r="C2" s="779"/>
      <c r="D2" s="778" t="str">
        <f ca="1">CONCATENATE("End Date: 
",TEXT(INDIRECT("BP"&amp;'BP1'!K5&amp;"!K10"),"mmmm d, yyyy"))</f>
        <v>End Date: 
August 31, 2027</v>
      </c>
      <c r="E2" s="779"/>
      <c r="F2" s="776" t="str">
        <f>CONCATENATE('BP1'!K5," ","Budget Period",IF('BP1'!K5&gt;1,"s",""))</f>
        <v>1 Budget Period</v>
      </c>
      <c r="G2" s="777"/>
      <c r="I2" s="114" t="s">
        <v>215</v>
      </c>
      <c r="K2" s="206"/>
      <c r="L2" s="206"/>
      <c r="M2" s="206"/>
      <c r="N2" s="206"/>
      <c r="O2" s="206"/>
      <c r="P2" s="206"/>
    </row>
    <row r="3" spans="1:31">
      <c r="A3" s="773" t="str">
        <f>IF('BP1'!L2="No F&amp;A","No Indirect Costs",CONCATENATE("Initial Fiscal Year ",'BP1'!K2," ",'BP1'!L2," F&amp;A Rate of ",IF('BP1'!L2="Custom",TEXT('BP1'!I77,"0.00%"),TEXT('BP1'!G77,"0.00%"))))</f>
        <v>Initial Fiscal Year Federal On Campus F&amp;A Rate of 60.00%</v>
      </c>
      <c r="B3" s="774"/>
      <c r="C3" s="775"/>
      <c r="D3" s="440" t="str">
        <f>'BP1'!K3</f>
        <v>MTDC</v>
      </c>
      <c r="E3" s="780" t="str">
        <f>CONCATENATE(TEXT('BP1'!$K$7,"0.00%")," ","Annual Salary Increase")</f>
        <v>3.00% Annual Salary Increase</v>
      </c>
      <c r="F3" s="781"/>
      <c r="G3" s="782"/>
      <c r="I3" s="114" t="s">
        <v>215</v>
      </c>
      <c r="K3" s="206"/>
      <c r="L3" s="206"/>
      <c r="M3" s="206"/>
      <c r="N3" s="206"/>
      <c r="O3" s="206"/>
      <c r="P3" s="206"/>
    </row>
    <row r="4" spans="1:31" ht="16.2" thickBot="1">
      <c r="A4" s="771" t="str">
        <f ca="1">IF('BP1'!N84&gt;0,"WARNING! You have budgeted cost-share funds. Please use the Cost Share Summary!","")</f>
        <v/>
      </c>
      <c r="B4" s="771"/>
      <c r="C4" s="771"/>
      <c r="D4" s="771"/>
      <c r="E4" s="771"/>
      <c r="F4" s="771"/>
      <c r="G4" s="771"/>
      <c r="I4" s="114" t="s">
        <v>215</v>
      </c>
      <c r="K4" s="206"/>
      <c r="L4" s="206"/>
      <c r="M4" s="206"/>
      <c r="N4" s="206"/>
      <c r="O4" s="206"/>
      <c r="P4" s="206"/>
    </row>
    <row r="5" spans="1:31" ht="31.5" customHeight="1">
      <c r="A5" s="60"/>
      <c r="B5" s="429" t="s">
        <v>420</v>
      </c>
      <c r="C5" s="429" t="str">
        <f>IF('BP1'!$K$5&gt;1,"Budget Period 2","")</f>
        <v/>
      </c>
      <c r="D5" s="429" t="str">
        <f>IF('BP1'!$K$5&gt;2,"Budget Period 3","")</f>
        <v/>
      </c>
      <c r="E5" s="429" t="str">
        <f>IF('BP1'!$K$5&gt;3,"Budget Period 4","")</f>
        <v/>
      </c>
      <c r="F5" s="429" t="str">
        <f>IF('BP1'!$K$5&gt;4,"Budget Period 5","")</f>
        <v/>
      </c>
      <c r="G5" s="431" t="s">
        <v>286</v>
      </c>
      <c r="I5" s="114" t="s">
        <v>215</v>
      </c>
    </row>
    <row r="6" spans="1:31" ht="31.5" customHeight="1" thickBot="1">
      <c r="A6" s="60"/>
      <c r="B6" s="430" t="str">
        <f>IF('BP1'!K5&gt;0,CONCATENATE(TEXT('BP1'!K8,"m/d/yy")," - ",TEXT('BP1'!K10,"m/d/yy")),"")</f>
        <v>9/1/26 - 8/31/27</v>
      </c>
      <c r="C6" s="430" t="str">
        <f>IF('BP1'!$K$5&gt;1,CONCATENATE(TEXT('BP2'!$K$8,"m/d/yy")," - ",TEXT('BP2'!$K$10,"m/d/yy")),"")</f>
        <v/>
      </c>
      <c r="D6" s="430" t="str">
        <f>IF('BP1'!$K$5&gt;2,CONCATENATE(TEXT('BP3'!$K$8,"m/d/yy")," - ",TEXT('BP3'!$K$10,"m/d/yy")),"")</f>
        <v/>
      </c>
      <c r="E6" s="430" t="str">
        <f>IF('BP1'!$K$5&gt;3,CONCATENATE(TEXT('BP4'!$K$8,"m/d/yy")," - ",TEXT('BP4'!$K$10,"m/d/yy")),"")</f>
        <v/>
      </c>
      <c r="F6" s="430" t="str">
        <f>IF('BP1'!$K$5&gt;4,CONCATENATE(TEXT('BP5'!$K$8,"m/d/yy")," - ",TEXT('BP5'!$K$10,"m/d/yy")),"")</f>
        <v/>
      </c>
      <c r="G6" s="432" t="str">
        <f ca="1">CONCATENATE(TEXT('BP1'!K8,"m/d/yy")," - ",TEXT(INDIRECT("BP"&amp;'BP1'!K5&amp;"!K10"),"m/d/yy"))</f>
        <v>9/1/26 - 8/31/27</v>
      </c>
      <c r="I6" s="114" t="s">
        <v>215</v>
      </c>
      <c r="K6" s="772" t="s">
        <v>223</v>
      </c>
      <c r="L6" s="772"/>
      <c r="M6" s="772"/>
      <c r="N6" s="783" t="s">
        <v>420</v>
      </c>
      <c r="O6" s="784"/>
      <c r="P6" s="785"/>
      <c r="Q6" s="783" t="s">
        <v>421</v>
      </c>
      <c r="R6" s="784"/>
      <c r="S6" s="785"/>
      <c r="T6" s="783" t="s">
        <v>422</v>
      </c>
      <c r="U6" s="784"/>
      <c r="V6" s="785"/>
      <c r="W6" s="786" t="s">
        <v>423</v>
      </c>
      <c r="X6" s="786"/>
      <c r="Y6" s="786"/>
      <c r="Z6" s="783" t="s">
        <v>424</v>
      </c>
      <c r="AA6" s="784"/>
      <c r="AB6" s="785"/>
      <c r="AC6" s="783" t="s">
        <v>93</v>
      </c>
      <c r="AD6" s="784"/>
      <c r="AE6" s="785"/>
    </row>
    <row r="7" spans="1:31" ht="15.75" customHeight="1">
      <c r="A7" s="62" t="str">
        <f>IF('BP1'!$B$15="Professor McCormick","Senior Personnel 1 Salary",IF(ISBLANK('BP1'!$B$15),"Senior Personnel 1 Salary",""&amp;'BP1'!$B$15&amp;" Salary"))</f>
        <v>Senior Personnel 1 Salary</v>
      </c>
      <c r="B7" s="415">
        <f>'BP1'!$K$15</f>
        <v>0</v>
      </c>
      <c r="C7" s="415">
        <f ca="1">'BP2'!$K$15</f>
        <v>0</v>
      </c>
      <c r="D7" s="415">
        <f ca="1">'BP3'!$K$15</f>
        <v>0</v>
      </c>
      <c r="E7" s="415">
        <f ca="1">'BP4'!$K$15</f>
        <v>0</v>
      </c>
      <c r="F7" s="416">
        <f ca="1">'BP5'!$K$15</f>
        <v>0</v>
      </c>
      <c r="G7" s="415">
        <f ca="1">SUM(B7:F7)</f>
        <v>0</v>
      </c>
      <c r="I7" s="114" t="s">
        <v>215</v>
      </c>
      <c r="K7" s="759" t="str">
        <f>IF('BP1'!$B$15="Professor McCormick","Senior Personnel 1",IF(ISBLANK('BP1'!$B$15),"Senior Personnel 1",'BP1'!$B$15))</f>
        <v>Senior Personnel 1</v>
      </c>
      <c r="L7" s="760"/>
      <c r="M7" s="761"/>
      <c r="N7" s="564" t="s">
        <v>2</v>
      </c>
      <c r="O7" s="566" t="s">
        <v>194</v>
      </c>
      <c r="P7" s="566" t="s">
        <v>195</v>
      </c>
      <c r="Q7" s="564" t="s">
        <v>2</v>
      </c>
      <c r="R7" s="566" t="s">
        <v>194</v>
      </c>
      <c r="S7" s="566" t="s">
        <v>195</v>
      </c>
      <c r="T7" s="564" t="s">
        <v>2</v>
      </c>
      <c r="U7" s="566" t="s">
        <v>194</v>
      </c>
      <c r="V7" s="566" t="s">
        <v>195</v>
      </c>
      <c r="W7" s="564" t="s">
        <v>2</v>
      </c>
      <c r="X7" s="566" t="s">
        <v>194</v>
      </c>
      <c r="Y7" s="566" t="s">
        <v>195</v>
      </c>
      <c r="Z7" s="564" t="s">
        <v>2</v>
      </c>
      <c r="AA7" s="566" t="s">
        <v>194</v>
      </c>
      <c r="AB7" s="566" t="s">
        <v>195</v>
      </c>
      <c r="AC7" s="564" t="s">
        <v>2</v>
      </c>
      <c r="AD7" s="566" t="s">
        <v>194</v>
      </c>
      <c r="AE7" s="566" t="s">
        <v>195</v>
      </c>
    </row>
    <row r="8" spans="1:31" ht="15.75" customHeight="1">
      <c r="A8" s="62" t="str">
        <f>IF('BP1'!$B$15="Professor McCormick","Senior Personnel 1 Fringe",IF(ISBLANK('BP1'!$B$15),"Senior Personnel 1 Fringe",""&amp;'BP1'!$B$15&amp;" Fringe"))</f>
        <v>Senior Personnel 1 Fringe</v>
      </c>
      <c r="B8" s="415">
        <f>'BP1'!$L$15</f>
        <v>0</v>
      </c>
      <c r="C8" s="415">
        <f ca="1">'BP2'!$L$15</f>
        <v>0</v>
      </c>
      <c r="D8" s="415">
        <f ca="1">'BP3'!$L$15</f>
        <v>0</v>
      </c>
      <c r="E8" s="415">
        <f ca="1">'BP4'!$L$15</f>
        <v>0</v>
      </c>
      <c r="F8" s="416">
        <f ca="1">'BP5'!$L$15</f>
        <v>0</v>
      </c>
      <c r="G8" s="415">
        <f t="shared" ref="G8:G79" ca="1" si="0">SUM(B8:F8)</f>
        <v>0</v>
      </c>
      <c r="I8" s="114" t="s">
        <v>215</v>
      </c>
      <c r="K8" s="762"/>
      <c r="L8" s="763"/>
      <c r="M8" s="764"/>
      <c r="N8" s="565">
        <f>'BP1'!H15</f>
        <v>0</v>
      </c>
      <c r="O8" s="567">
        <f>'BP1'!I15</f>
        <v>0</v>
      </c>
      <c r="P8" s="567">
        <f>'BP1'!J15</f>
        <v>0</v>
      </c>
      <c r="Q8" s="565">
        <f>'BP2'!H15</f>
        <v>0</v>
      </c>
      <c r="R8" s="567">
        <f>'BP2'!I15</f>
        <v>0</v>
      </c>
      <c r="S8" s="567">
        <f>'BP2'!J15</f>
        <v>0</v>
      </c>
      <c r="T8" s="565">
        <f>'BP3'!H15</f>
        <v>0</v>
      </c>
      <c r="U8" s="567">
        <f>'BP3'!I15</f>
        <v>0</v>
      </c>
      <c r="V8" s="567">
        <f>'BP3'!J15</f>
        <v>0</v>
      </c>
      <c r="W8" s="565">
        <f>'BP4'!H15</f>
        <v>0</v>
      </c>
      <c r="X8" s="567">
        <f>'BP4'!I15</f>
        <v>0</v>
      </c>
      <c r="Y8" s="567">
        <f>'BP4'!J15</f>
        <v>0</v>
      </c>
      <c r="Z8" s="565">
        <f>'BP5'!H15</f>
        <v>0</v>
      </c>
      <c r="AA8" s="567">
        <f>'BP5'!I15</f>
        <v>0</v>
      </c>
      <c r="AB8" s="567">
        <f>'BP5'!J15</f>
        <v>0</v>
      </c>
      <c r="AC8" s="565">
        <f>N8+Q8+T8+W8+Z8</f>
        <v>0</v>
      </c>
      <c r="AD8" s="567">
        <f>O8+R8+U8+X8+AA8</f>
        <v>0</v>
      </c>
      <c r="AE8" s="567">
        <f>P8+S8+V8+Y8+AB8</f>
        <v>0</v>
      </c>
    </row>
    <row r="9" spans="1:31" ht="15.75" customHeight="1">
      <c r="A9" s="62" t="str">
        <f>CONCATENATE(K9," Salary")</f>
        <v>Senior Personnel 2 Salary</v>
      </c>
      <c r="B9" s="415">
        <f>'BP1'!$K$16</f>
        <v>0</v>
      </c>
      <c r="C9" s="415">
        <f ca="1">'BP2'!$K$16</f>
        <v>0</v>
      </c>
      <c r="D9" s="415">
        <f ca="1">'BP3'!$K$16</f>
        <v>0</v>
      </c>
      <c r="E9" s="415">
        <f ca="1">'BP4'!$K$16</f>
        <v>0</v>
      </c>
      <c r="F9" s="416">
        <f ca="1">'BP5'!$K$16</f>
        <v>0</v>
      </c>
      <c r="G9" s="415">
        <f t="shared" ca="1" si="0"/>
        <v>0</v>
      </c>
      <c r="I9" s="114" t="s">
        <v>215</v>
      </c>
      <c r="K9" s="759" t="str">
        <f>IF(ISBLANK('BP1'!$B$16),"Senior Personnel 2",""&amp;'BP1'!$B$16)</f>
        <v>Senior Personnel 2</v>
      </c>
      <c r="L9" s="760"/>
      <c r="M9" s="761"/>
      <c r="N9" s="564" t="s">
        <v>2</v>
      </c>
      <c r="O9" s="566" t="s">
        <v>194</v>
      </c>
      <c r="P9" s="566" t="s">
        <v>195</v>
      </c>
      <c r="Q9" s="564" t="s">
        <v>2</v>
      </c>
      <c r="R9" s="566" t="s">
        <v>194</v>
      </c>
      <c r="S9" s="566" t="s">
        <v>195</v>
      </c>
      <c r="T9" s="564" t="s">
        <v>2</v>
      </c>
      <c r="U9" s="566" t="s">
        <v>194</v>
      </c>
      <c r="V9" s="566" t="s">
        <v>195</v>
      </c>
      <c r="W9" s="564" t="s">
        <v>2</v>
      </c>
      <c r="X9" s="566" t="s">
        <v>194</v>
      </c>
      <c r="Y9" s="566" t="s">
        <v>195</v>
      </c>
      <c r="Z9" s="564" t="s">
        <v>2</v>
      </c>
      <c r="AA9" s="566" t="s">
        <v>194</v>
      </c>
      <c r="AB9" s="566" t="s">
        <v>195</v>
      </c>
      <c r="AC9" s="564" t="s">
        <v>2</v>
      </c>
      <c r="AD9" s="566" t="s">
        <v>194</v>
      </c>
      <c r="AE9" s="566" t="s">
        <v>195</v>
      </c>
    </row>
    <row r="10" spans="1:31">
      <c r="A10" s="62" t="str">
        <f>CONCATENATE(K9," Fringe")</f>
        <v>Senior Personnel 2 Fringe</v>
      </c>
      <c r="B10" s="415">
        <f>'BP1'!$L$16</f>
        <v>0</v>
      </c>
      <c r="C10" s="415">
        <f ca="1">'BP2'!$L$16</f>
        <v>0</v>
      </c>
      <c r="D10" s="415">
        <f ca="1">'BP3'!$L$16</f>
        <v>0</v>
      </c>
      <c r="E10" s="415">
        <f ca="1">'BP4'!$L$16</f>
        <v>0</v>
      </c>
      <c r="F10" s="416">
        <f ca="1">'BP5'!$L$16</f>
        <v>0</v>
      </c>
      <c r="G10" s="415">
        <f t="shared" ca="1" si="0"/>
        <v>0</v>
      </c>
      <c r="I10" s="114" t="s">
        <v>215</v>
      </c>
      <c r="K10" s="762"/>
      <c r="L10" s="763"/>
      <c r="M10" s="764"/>
      <c r="N10" s="565">
        <f>'BP1'!H16</f>
        <v>0</v>
      </c>
      <c r="O10" s="567">
        <f>'BP1'!I16</f>
        <v>0</v>
      </c>
      <c r="P10" s="567">
        <f>'BP1'!J16</f>
        <v>0</v>
      </c>
      <c r="Q10" s="565">
        <f>'BP2'!H16</f>
        <v>0</v>
      </c>
      <c r="R10" s="567">
        <f>'BP2'!I16</f>
        <v>0</v>
      </c>
      <c r="S10" s="567">
        <f>'BP2'!J16</f>
        <v>0</v>
      </c>
      <c r="T10" s="565">
        <f>'BP3'!H16</f>
        <v>0</v>
      </c>
      <c r="U10" s="567">
        <f>'BP3'!I16</f>
        <v>0</v>
      </c>
      <c r="V10" s="567">
        <f>'BP3'!J16</f>
        <v>0</v>
      </c>
      <c r="W10" s="565">
        <f>'BP4'!H16</f>
        <v>0</v>
      </c>
      <c r="X10" s="567">
        <f>'BP4'!I16</f>
        <v>0</v>
      </c>
      <c r="Y10" s="567">
        <f>'BP4'!J16</f>
        <v>0</v>
      </c>
      <c r="Z10" s="565">
        <f>'BP5'!H16</f>
        <v>0</v>
      </c>
      <c r="AA10" s="567">
        <f>'BP5'!I16</f>
        <v>0</v>
      </c>
      <c r="AB10" s="567">
        <f>'BP5'!J16</f>
        <v>0</v>
      </c>
      <c r="AC10" s="565">
        <f>N10+Q10+T10+W10+Z10</f>
        <v>0</v>
      </c>
      <c r="AD10" s="567">
        <f>O10+R10+U10+X10+AA10</f>
        <v>0</v>
      </c>
      <c r="AE10" s="567">
        <f>P10+S10+V10+Y10+AB10</f>
        <v>0</v>
      </c>
    </row>
    <row r="11" spans="1:31">
      <c r="A11" s="62" t="str">
        <f>CONCATENATE(K11," Salary")</f>
        <v>Senior Personnel 3 Salary</v>
      </c>
      <c r="B11" s="415">
        <f>'BP1'!$K$17</f>
        <v>0</v>
      </c>
      <c r="C11" s="415">
        <f ca="1">'BP2'!$K$17</f>
        <v>0</v>
      </c>
      <c r="D11" s="415">
        <f ca="1">'BP3'!$K$17</f>
        <v>0</v>
      </c>
      <c r="E11" s="415">
        <f ca="1">'BP4'!$K$17</f>
        <v>0</v>
      </c>
      <c r="F11" s="416">
        <f ca="1">'BP5'!$K$17</f>
        <v>0</v>
      </c>
      <c r="G11" s="415">
        <f t="shared" ca="1" si="0"/>
        <v>0</v>
      </c>
      <c r="I11" s="114" t="s">
        <v>215</v>
      </c>
      <c r="K11" s="759" t="str">
        <f>IF(ISBLANK('BP1'!$B$17),"Senior Personnel 3",""&amp;'BP1'!$B$17)</f>
        <v>Senior Personnel 3</v>
      </c>
      <c r="L11" s="760"/>
      <c r="M11" s="761"/>
      <c r="N11" s="564" t="s">
        <v>2</v>
      </c>
      <c r="O11" s="566" t="s">
        <v>194</v>
      </c>
      <c r="P11" s="566" t="s">
        <v>195</v>
      </c>
      <c r="Q11" s="564" t="s">
        <v>2</v>
      </c>
      <c r="R11" s="566" t="s">
        <v>194</v>
      </c>
      <c r="S11" s="566" t="s">
        <v>195</v>
      </c>
      <c r="T11" s="564" t="s">
        <v>2</v>
      </c>
      <c r="U11" s="566" t="s">
        <v>194</v>
      </c>
      <c r="V11" s="566" t="s">
        <v>195</v>
      </c>
      <c r="W11" s="564" t="s">
        <v>2</v>
      </c>
      <c r="X11" s="566" t="s">
        <v>194</v>
      </c>
      <c r="Y11" s="566" t="s">
        <v>195</v>
      </c>
      <c r="Z11" s="564" t="s">
        <v>2</v>
      </c>
      <c r="AA11" s="566" t="s">
        <v>194</v>
      </c>
      <c r="AB11" s="566" t="s">
        <v>195</v>
      </c>
      <c r="AC11" s="564" t="s">
        <v>2</v>
      </c>
      <c r="AD11" s="566" t="s">
        <v>194</v>
      </c>
      <c r="AE11" s="566" t="s">
        <v>195</v>
      </c>
    </row>
    <row r="12" spans="1:31">
      <c r="A12" s="62" t="str">
        <f>CONCATENATE(K11," Fringe")</f>
        <v>Senior Personnel 3 Fringe</v>
      </c>
      <c r="B12" s="415">
        <f>'BP1'!$L$17</f>
        <v>0</v>
      </c>
      <c r="C12" s="415">
        <f ca="1">'BP2'!$L$17</f>
        <v>0</v>
      </c>
      <c r="D12" s="415">
        <f ca="1">'BP3'!$L$17</f>
        <v>0</v>
      </c>
      <c r="E12" s="415">
        <f ca="1">'BP4'!$L$17</f>
        <v>0</v>
      </c>
      <c r="F12" s="416">
        <f ca="1">'BP5'!$L$17</f>
        <v>0</v>
      </c>
      <c r="G12" s="415">
        <f t="shared" ca="1" si="0"/>
        <v>0</v>
      </c>
      <c r="I12" s="114" t="s">
        <v>215</v>
      </c>
      <c r="K12" s="762"/>
      <c r="L12" s="763"/>
      <c r="M12" s="764"/>
      <c r="N12" s="565">
        <f>'BP1'!H17</f>
        <v>0</v>
      </c>
      <c r="O12" s="567">
        <f>'BP1'!I17</f>
        <v>0</v>
      </c>
      <c r="P12" s="567">
        <f>'BP1'!J17</f>
        <v>0</v>
      </c>
      <c r="Q12" s="565">
        <f>'BP2'!H17</f>
        <v>0</v>
      </c>
      <c r="R12" s="567">
        <f>'BP2'!I17</f>
        <v>0</v>
      </c>
      <c r="S12" s="567">
        <f>'BP2'!J17</f>
        <v>0</v>
      </c>
      <c r="T12" s="565">
        <f>'BP3'!H17</f>
        <v>0</v>
      </c>
      <c r="U12" s="567">
        <f>'BP3'!I17</f>
        <v>0</v>
      </c>
      <c r="V12" s="567">
        <f>'BP3'!J17</f>
        <v>0</v>
      </c>
      <c r="W12" s="565">
        <f>'BP4'!H17</f>
        <v>0</v>
      </c>
      <c r="X12" s="567">
        <f>'BP4'!I17</f>
        <v>0</v>
      </c>
      <c r="Y12" s="567">
        <f>'BP4'!J17</f>
        <v>0</v>
      </c>
      <c r="Z12" s="565">
        <f>'BP5'!H17</f>
        <v>0</v>
      </c>
      <c r="AA12" s="567">
        <f>'BP5'!I17</f>
        <v>0</v>
      </c>
      <c r="AB12" s="567">
        <f>'BP5'!J17</f>
        <v>0</v>
      </c>
      <c r="AC12" s="565">
        <f>N12+Q12+T12+W12+Z12</f>
        <v>0</v>
      </c>
      <c r="AD12" s="567">
        <f>O12+R12+U12+X12+AA12</f>
        <v>0</v>
      </c>
      <c r="AE12" s="567">
        <f>P12+S12+V12+Y12+AB12</f>
        <v>0</v>
      </c>
    </row>
    <row r="13" spans="1:31">
      <c r="A13" s="62" t="str">
        <f>CONCATENATE(K13," Salary")</f>
        <v>Senior Personnel 4 Salary</v>
      </c>
      <c r="B13" s="415">
        <f>'BP1'!$K$18</f>
        <v>0</v>
      </c>
      <c r="C13" s="415">
        <f ca="1">'BP2'!$K$18</f>
        <v>0</v>
      </c>
      <c r="D13" s="415">
        <f ca="1">'BP3'!$K$18</f>
        <v>0</v>
      </c>
      <c r="E13" s="415">
        <f ca="1">'BP4'!$K$18</f>
        <v>0</v>
      </c>
      <c r="F13" s="416">
        <f ca="1">'BP5'!$K$18</f>
        <v>0</v>
      </c>
      <c r="G13" s="415">
        <f t="shared" ca="1" si="0"/>
        <v>0</v>
      </c>
      <c r="I13" s="114" t="s">
        <v>215</v>
      </c>
      <c r="K13" s="759" t="str">
        <f>IF(ISBLANK('BP1'!$B$18),"Senior Personnel 4",""&amp;'BP1'!$B$18)</f>
        <v>Senior Personnel 4</v>
      </c>
      <c r="L13" s="760"/>
      <c r="M13" s="761"/>
      <c r="N13" s="564" t="s">
        <v>2</v>
      </c>
      <c r="O13" s="566" t="s">
        <v>194</v>
      </c>
      <c r="P13" s="566" t="s">
        <v>195</v>
      </c>
      <c r="Q13" s="564" t="s">
        <v>2</v>
      </c>
      <c r="R13" s="566" t="s">
        <v>194</v>
      </c>
      <c r="S13" s="566" t="s">
        <v>195</v>
      </c>
      <c r="T13" s="564" t="s">
        <v>2</v>
      </c>
      <c r="U13" s="566" t="s">
        <v>194</v>
      </c>
      <c r="V13" s="566" t="s">
        <v>195</v>
      </c>
      <c r="W13" s="564" t="s">
        <v>2</v>
      </c>
      <c r="X13" s="566" t="s">
        <v>194</v>
      </c>
      <c r="Y13" s="566" t="s">
        <v>195</v>
      </c>
      <c r="Z13" s="564" t="s">
        <v>2</v>
      </c>
      <c r="AA13" s="566" t="s">
        <v>194</v>
      </c>
      <c r="AB13" s="566" t="s">
        <v>195</v>
      </c>
      <c r="AC13" s="564" t="s">
        <v>2</v>
      </c>
      <c r="AD13" s="566" t="s">
        <v>194</v>
      </c>
      <c r="AE13" s="566" t="s">
        <v>195</v>
      </c>
    </row>
    <row r="14" spans="1:31">
      <c r="A14" s="62" t="str">
        <f>CONCATENATE(K13," Fringe")</f>
        <v>Senior Personnel 4 Fringe</v>
      </c>
      <c r="B14" s="415">
        <f>'BP1'!$L$18</f>
        <v>0</v>
      </c>
      <c r="C14" s="415">
        <f ca="1">'BP2'!$L$18</f>
        <v>0</v>
      </c>
      <c r="D14" s="415">
        <f ca="1">'BP3'!$L$18</f>
        <v>0</v>
      </c>
      <c r="E14" s="415">
        <f ca="1">'BP4'!$L$18</f>
        <v>0</v>
      </c>
      <c r="F14" s="416">
        <f ca="1">'BP5'!$L$18</f>
        <v>0</v>
      </c>
      <c r="G14" s="415">
        <f t="shared" ca="1" si="0"/>
        <v>0</v>
      </c>
      <c r="I14" s="114" t="s">
        <v>215</v>
      </c>
      <c r="K14" s="762"/>
      <c r="L14" s="763"/>
      <c r="M14" s="764"/>
      <c r="N14" s="565">
        <f>'BP1'!H18</f>
        <v>0</v>
      </c>
      <c r="O14" s="567">
        <f>'BP1'!I18</f>
        <v>0</v>
      </c>
      <c r="P14" s="567">
        <f>'BP1'!J18</f>
        <v>0</v>
      </c>
      <c r="Q14" s="565">
        <f>'BP2'!H18</f>
        <v>0</v>
      </c>
      <c r="R14" s="567">
        <f>'BP2'!I18</f>
        <v>0</v>
      </c>
      <c r="S14" s="567">
        <f>'BP2'!J18</f>
        <v>0</v>
      </c>
      <c r="T14" s="565">
        <f>'BP3'!H18</f>
        <v>0</v>
      </c>
      <c r="U14" s="567">
        <f>'BP3'!I18</f>
        <v>0</v>
      </c>
      <c r="V14" s="567">
        <f>'BP3'!J18</f>
        <v>0</v>
      </c>
      <c r="W14" s="565">
        <f>'BP4'!H18</f>
        <v>0</v>
      </c>
      <c r="X14" s="567">
        <f>'BP4'!I18</f>
        <v>0</v>
      </c>
      <c r="Y14" s="567">
        <f>'BP4'!J18</f>
        <v>0</v>
      </c>
      <c r="Z14" s="565">
        <f>'BP5'!H18</f>
        <v>0</v>
      </c>
      <c r="AA14" s="567">
        <f>'BP5'!I18</f>
        <v>0</v>
      </c>
      <c r="AB14" s="567">
        <f>'BP5'!J18</f>
        <v>0</v>
      </c>
      <c r="AC14" s="565">
        <f>N14+Q14+T14+W14+Z14</f>
        <v>0</v>
      </c>
      <c r="AD14" s="567">
        <f>O14+R14+U14+X14+AA14</f>
        <v>0</v>
      </c>
      <c r="AE14" s="567">
        <f>P14+S14+V14+Y14+AB14</f>
        <v>0</v>
      </c>
    </row>
    <row r="15" spans="1:31">
      <c r="A15" s="62" t="str">
        <f>CONCATENATE(K15," Salary")</f>
        <v>Senior Personnel 5 Salary</v>
      </c>
      <c r="B15" s="415">
        <f>'BP1'!$K$19</f>
        <v>0</v>
      </c>
      <c r="C15" s="415">
        <f ca="1">'BP2'!$K$19</f>
        <v>0</v>
      </c>
      <c r="D15" s="415">
        <f ca="1">'BP3'!$K$19</f>
        <v>0</v>
      </c>
      <c r="E15" s="415">
        <f ca="1">'BP4'!$K$19</f>
        <v>0</v>
      </c>
      <c r="F15" s="416">
        <f ca="1">'BP5'!$K$19</f>
        <v>0</v>
      </c>
      <c r="G15" s="415">
        <f t="shared" ca="1" si="0"/>
        <v>0</v>
      </c>
      <c r="I15" s="114" t="s">
        <v>215</v>
      </c>
      <c r="K15" s="759" t="str">
        <f>IF(ISBLANK('BP1'!$B$19),"Senior Personnel 5",""&amp;'BP1'!$B$19)</f>
        <v>Senior Personnel 5</v>
      </c>
      <c r="L15" s="760"/>
      <c r="M15" s="761"/>
      <c r="N15" s="564" t="s">
        <v>2</v>
      </c>
      <c r="O15" s="566" t="s">
        <v>194</v>
      </c>
      <c r="P15" s="566" t="s">
        <v>195</v>
      </c>
      <c r="Q15" s="564" t="s">
        <v>2</v>
      </c>
      <c r="R15" s="566" t="s">
        <v>194</v>
      </c>
      <c r="S15" s="566" t="s">
        <v>195</v>
      </c>
      <c r="T15" s="564" t="s">
        <v>2</v>
      </c>
      <c r="U15" s="566" t="s">
        <v>194</v>
      </c>
      <c r="V15" s="566" t="s">
        <v>195</v>
      </c>
      <c r="W15" s="564" t="s">
        <v>2</v>
      </c>
      <c r="X15" s="566" t="s">
        <v>194</v>
      </c>
      <c r="Y15" s="566" t="s">
        <v>195</v>
      </c>
      <c r="Z15" s="564" t="s">
        <v>2</v>
      </c>
      <c r="AA15" s="566" t="s">
        <v>194</v>
      </c>
      <c r="AB15" s="566" t="s">
        <v>195</v>
      </c>
      <c r="AC15" s="564" t="s">
        <v>2</v>
      </c>
      <c r="AD15" s="566" t="s">
        <v>194</v>
      </c>
      <c r="AE15" s="566" t="s">
        <v>195</v>
      </c>
    </row>
    <row r="16" spans="1:31">
      <c r="A16" s="62" t="str">
        <f>CONCATENATE(K15," Fringe")</f>
        <v>Senior Personnel 5 Fringe</v>
      </c>
      <c r="B16" s="415">
        <f>'BP1'!$L$19</f>
        <v>0</v>
      </c>
      <c r="C16" s="415">
        <f ca="1">'BP2'!$L$19</f>
        <v>0</v>
      </c>
      <c r="D16" s="415">
        <f ca="1">'BP3'!$L$19</f>
        <v>0</v>
      </c>
      <c r="E16" s="415">
        <f ca="1">'BP4'!$L$19</f>
        <v>0</v>
      </c>
      <c r="F16" s="416">
        <f ca="1">'BP5'!$L$19</f>
        <v>0</v>
      </c>
      <c r="G16" s="415">
        <f t="shared" ca="1" si="0"/>
        <v>0</v>
      </c>
      <c r="I16" s="114" t="s">
        <v>215</v>
      </c>
      <c r="K16" s="762"/>
      <c r="L16" s="763"/>
      <c r="M16" s="764"/>
      <c r="N16" s="565">
        <f>'BP1'!H19</f>
        <v>0</v>
      </c>
      <c r="O16" s="567">
        <f>'BP1'!I19</f>
        <v>0</v>
      </c>
      <c r="P16" s="567">
        <f>'BP1'!J19</f>
        <v>0</v>
      </c>
      <c r="Q16" s="565">
        <f>'BP2'!H19</f>
        <v>0</v>
      </c>
      <c r="R16" s="567">
        <f>'BP2'!I19</f>
        <v>0</v>
      </c>
      <c r="S16" s="567">
        <f>'BP2'!J19</f>
        <v>0</v>
      </c>
      <c r="T16" s="565">
        <f>'BP3'!H19</f>
        <v>0</v>
      </c>
      <c r="U16" s="567">
        <f>'BP3'!I19</f>
        <v>0</v>
      </c>
      <c r="V16" s="567">
        <f>'BP3'!J19</f>
        <v>0</v>
      </c>
      <c r="W16" s="565">
        <f>'BP4'!H19</f>
        <v>0</v>
      </c>
      <c r="X16" s="567">
        <f>'BP4'!I19</f>
        <v>0</v>
      </c>
      <c r="Y16" s="567">
        <f>'BP4'!J19</f>
        <v>0</v>
      </c>
      <c r="Z16" s="565">
        <f>'BP5'!H19</f>
        <v>0</v>
      </c>
      <c r="AA16" s="567">
        <f>'BP5'!I19</f>
        <v>0</v>
      </c>
      <c r="AB16" s="567">
        <f>'BP5'!J19</f>
        <v>0</v>
      </c>
      <c r="AC16" s="565">
        <f>N16+Q16+T16+W16+Z16</f>
        <v>0</v>
      </c>
      <c r="AD16" s="567">
        <f>O16+R16+U16+X16+AA16</f>
        <v>0</v>
      </c>
      <c r="AE16" s="567">
        <f>P16+S16+V16+Y16+AB16</f>
        <v>0</v>
      </c>
    </row>
    <row r="17" spans="1:31" hidden="1">
      <c r="A17" s="62" t="str">
        <f>CONCATENATE(K17," Salary")</f>
        <v>Senior Personnel 6 Salary</v>
      </c>
      <c r="B17" s="415">
        <f>'BP1'!$K$20</f>
        <v>0</v>
      </c>
      <c r="C17" s="415">
        <f ca="1">'BP2'!$K$20</f>
        <v>0</v>
      </c>
      <c r="D17" s="415">
        <f ca="1">'BP3'!$K$20</f>
        <v>0</v>
      </c>
      <c r="E17" s="415">
        <f ca="1">'BP4'!$K$20</f>
        <v>0</v>
      </c>
      <c r="F17" s="416">
        <f ca="1">'BP5'!$K$20</f>
        <v>0</v>
      </c>
      <c r="G17" s="415">
        <f t="shared" ca="1" si="0"/>
        <v>0</v>
      </c>
      <c r="I17" s="114" t="s">
        <v>481</v>
      </c>
      <c r="K17" s="759" t="str">
        <f>IF(ISBLANK('BP1'!$B$20),"Senior Personnel 6",""&amp;'BP1'!$B$20)</f>
        <v>Senior Personnel 6</v>
      </c>
      <c r="L17" s="760"/>
      <c r="M17" s="761"/>
      <c r="N17" s="564" t="s">
        <v>2</v>
      </c>
      <c r="O17" s="566" t="s">
        <v>194</v>
      </c>
      <c r="P17" s="566" t="s">
        <v>195</v>
      </c>
      <c r="Q17" s="564" t="s">
        <v>2</v>
      </c>
      <c r="R17" s="566" t="s">
        <v>194</v>
      </c>
      <c r="S17" s="566" t="s">
        <v>195</v>
      </c>
      <c r="T17" s="564" t="s">
        <v>2</v>
      </c>
      <c r="U17" s="566" t="s">
        <v>194</v>
      </c>
      <c r="V17" s="566" t="s">
        <v>195</v>
      </c>
      <c r="W17" s="564" t="s">
        <v>2</v>
      </c>
      <c r="X17" s="566" t="s">
        <v>194</v>
      </c>
      <c r="Y17" s="566" t="s">
        <v>195</v>
      </c>
      <c r="Z17" s="564" t="s">
        <v>2</v>
      </c>
      <c r="AA17" s="566" t="s">
        <v>194</v>
      </c>
      <c r="AB17" s="566" t="s">
        <v>195</v>
      </c>
      <c r="AC17" s="564" t="s">
        <v>2</v>
      </c>
      <c r="AD17" s="566" t="s">
        <v>194</v>
      </c>
      <c r="AE17" s="566" t="s">
        <v>195</v>
      </c>
    </row>
    <row r="18" spans="1:31" hidden="1">
      <c r="A18" s="62" t="str">
        <f>CONCATENATE(K17," Fringe")</f>
        <v>Senior Personnel 6 Fringe</v>
      </c>
      <c r="B18" s="421">
        <f>'BP1'!$L$20</f>
        <v>0</v>
      </c>
      <c r="C18" s="421">
        <f ca="1">'BP2'!$L$20</f>
        <v>0</v>
      </c>
      <c r="D18" s="421">
        <f ca="1">'BP3'!$L$20</f>
        <v>0</v>
      </c>
      <c r="E18" s="421">
        <f ca="1">'BP4'!$L$20</f>
        <v>0</v>
      </c>
      <c r="F18" s="422">
        <f ca="1">'BP5'!$L$20</f>
        <v>0</v>
      </c>
      <c r="G18" s="415">
        <f t="shared" ca="1" si="0"/>
        <v>0</v>
      </c>
      <c r="I18" s="114" t="s">
        <v>481</v>
      </c>
      <c r="K18" s="762"/>
      <c r="L18" s="763"/>
      <c r="M18" s="764"/>
      <c r="N18" s="565">
        <f>'BP1'!H20</f>
        <v>0</v>
      </c>
      <c r="O18" s="567">
        <f>'BP1'!I20</f>
        <v>0</v>
      </c>
      <c r="P18" s="567">
        <f>'BP1'!J20</f>
        <v>0</v>
      </c>
      <c r="Q18" s="565">
        <f>'BP2'!H20</f>
        <v>0</v>
      </c>
      <c r="R18" s="567">
        <f>'BP2'!I20</f>
        <v>0</v>
      </c>
      <c r="S18" s="567">
        <f>'BP2'!J20</f>
        <v>0</v>
      </c>
      <c r="T18" s="565">
        <f>'BP3'!H20</f>
        <v>0</v>
      </c>
      <c r="U18" s="567">
        <f>'BP3'!I20</f>
        <v>0</v>
      </c>
      <c r="V18" s="567">
        <f>'BP3'!J20</f>
        <v>0</v>
      </c>
      <c r="W18" s="565">
        <f>'BP4'!H20</f>
        <v>0</v>
      </c>
      <c r="X18" s="567">
        <f>'BP4'!I20</f>
        <v>0</v>
      </c>
      <c r="Y18" s="567">
        <f>'BP4'!J20</f>
        <v>0</v>
      </c>
      <c r="Z18" s="565">
        <f>'BP5'!H20</f>
        <v>0</v>
      </c>
      <c r="AA18" s="567">
        <f>'BP5'!I20</f>
        <v>0</v>
      </c>
      <c r="AB18" s="567">
        <f>'BP5'!J20</f>
        <v>0</v>
      </c>
      <c r="AC18" s="565">
        <f>N18+Q18+T18+W18+Z18</f>
        <v>0</v>
      </c>
      <c r="AD18" s="567">
        <f>O18+R18+U18+X18+AA18</f>
        <v>0</v>
      </c>
      <c r="AE18" s="567">
        <f>P18+S18+V18+Y18+AB18</f>
        <v>0</v>
      </c>
    </row>
    <row r="19" spans="1:31" hidden="1">
      <c r="A19" s="62" t="str">
        <f>CONCATENATE(K19," Salary")</f>
        <v>Senior Personnel 7 Salary</v>
      </c>
      <c r="B19" s="415">
        <f>'BP1'!$K$21</f>
        <v>0</v>
      </c>
      <c r="C19" s="415">
        <f ca="1">'BP2'!$K$21</f>
        <v>0</v>
      </c>
      <c r="D19" s="415">
        <f ca="1">'BP3'!$K$21</f>
        <v>0</v>
      </c>
      <c r="E19" s="415">
        <f ca="1">'BP4'!$K$21</f>
        <v>0</v>
      </c>
      <c r="F19" s="416">
        <f ca="1">'BP5'!$K$21</f>
        <v>0</v>
      </c>
      <c r="G19" s="415">
        <f t="shared" ca="1" si="0"/>
        <v>0</v>
      </c>
      <c r="I19" s="114" t="s">
        <v>481</v>
      </c>
      <c r="K19" s="759" t="str">
        <f>IF(ISBLANK('BP1'!$B$21),"Senior Personnel 7",""&amp;'BP1'!$B$21)</f>
        <v>Senior Personnel 7</v>
      </c>
      <c r="L19" s="760"/>
      <c r="M19" s="761"/>
      <c r="N19" s="564" t="s">
        <v>2</v>
      </c>
      <c r="O19" s="566" t="s">
        <v>194</v>
      </c>
      <c r="P19" s="566" t="s">
        <v>195</v>
      </c>
      <c r="Q19" s="564" t="s">
        <v>2</v>
      </c>
      <c r="R19" s="566" t="s">
        <v>194</v>
      </c>
      <c r="S19" s="566" t="s">
        <v>195</v>
      </c>
      <c r="T19" s="564" t="s">
        <v>2</v>
      </c>
      <c r="U19" s="566" t="s">
        <v>194</v>
      </c>
      <c r="V19" s="566" t="s">
        <v>195</v>
      </c>
      <c r="W19" s="564" t="s">
        <v>2</v>
      </c>
      <c r="X19" s="566" t="s">
        <v>194</v>
      </c>
      <c r="Y19" s="566" t="s">
        <v>195</v>
      </c>
      <c r="Z19" s="564" t="s">
        <v>2</v>
      </c>
      <c r="AA19" s="566" t="s">
        <v>194</v>
      </c>
      <c r="AB19" s="566" t="s">
        <v>195</v>
      </c>
      <c r="AC19" s="564" t="s">
        <v>2</v>
      </c>
      <c r="AD19" s="566" t="s">
        <v>194</v>
      </c>
      <c r="AE19" s="566" t="s">
        <v>195</v>
      </c>
    </row>
    <row r="20" spans="1:31" hidden="1">
      <c r="A20" s="62" t="str">
        <f>CONCATENATE(K19," Fringe")</f>
        <v>Senior Personnel 7 Fringe</v>
      </c>
      <c r="B20" s="415">
        <f>'BP1'!$L$21</f>
        <v>0</v>
      </c>
      <c r="C20" s="415">
        <f ca="1">'BP2'!$L$21</f>
        <v>0</v>
      </c>
      <c r="D20" s="415">
        <f ca="1">'BP3'!$L$21</f>
        <v>0</v>
      </c>
      <c r="E20" s="415">
        <f ca="1">'BP4'!$L$21</f>
        <v>0</v>
      </c>
      <c r="F20" s="416">
        <f ca="1">'BP5'!$L$21</f>
        <v>0</v>
      </c>
      <c r="G20" s="415">
        <f t="shared" ca="1" si="0"/>
        <v>0</v>
      </c>
      <c r="I20" s="114" t="s">
        <v>481</v>
      </c>
      <c r="K20" s="762"/>
      <c r="L20" s="763"/>
      <c r="M20" s="764"/>
      <c r="N20" s="565">
        <f>'BP1'!H21</f>
        <v>0</v>
      </c>
      <c r="O20" s="567">
        <f>'BP1'!I21</f>
        <v>0</v>
      </c>
      <c r="P20" s="567">
        <f>'BP1'!J21</f>
        <v>0</v>
      </c>
      <c r="Q20" s="565">
        <f>'BP2'!H21</f>
        <v>0</v>
      </c>
      <c r="R20" s="567">
        <f>'BP2'!I21</f>
        <v>0</v>
      </c>
      <c r="S20" s="567">
        <f>'BP2'!J21</f>
        <v>0</v>
      </c>
      <c r="T20" s="565">
        <f>'BP3'!H21</f>
        <v>0</v>
      </c>
      <c r="U20" s="567">
        <f>'BP3'!I21</f>
        <v>0</v>
      </c>
      <c r="V20" s="567">
        <f>'BP3'!J21</f>
        <v>0</v>
      </c>
      <c r="W20" s="565">
        <f>'BP4'!H21</f>
        <v>0</v>
      </c>
      <c r="X20" s="567">
        <f>'BP4'!I21</f>
        <v>0</v>
      </c>
      <c r="Y20" s="567">
        <f>'BP4'!J21</f>
        <v>0</v>
      </c>
      <c r="Z20" s="565">
        <f>'BP5'!H21</f>
        <v>0</v>
      </c>
      <c r="AA20" s="567">
        <f>'BP5'!I21</f>
        <v>0</v>
      </c>
      <c r="AB20" s="567">
        <f>'BP5'!J21</f>
        <v>0</v>
      </c>
      <c r="AC20" s="565">
        <f>N20+Q20+T20+W20+Z20</f>
        <v>0</v>
      </c>
      <c r="AD20" s="567">
        <f>O20+R20+U20+X20+AA20</f>
        <v>0</v>
      </c>
      <c r="AE20" s="567">
        <f>P20+S20+V20+Y20+AB20</f>
        <v>0</v>
      </c>
    </row>
    <row r="21" spans="1:31" hidden="1">
      <c r="A21" s="62" t="str">
        <f>CONCATENATE(K21," Salary")</f>
        <v>Senior Personnel 8 Salary</v>
      </c>
      <c r="B21" s="415">
        <f>'BP1'!$K$22</f>
        <v>0</v>
      </c>
      <c r="C21" s="415">
        <f ca="1">'BP2'!$K$22</f>
        <v>0</v>
      </c>
      <c r="D21" s="415">
        <f ca="1">'BP3'!$K$22</f>
        <v>0</v>
      </c>
      <c r="E21" s="415">
        <f ca="1">'BP4'!$K$22</f>
        <v>0</v>
      </c>
      <c r="F21" s="416">
        <f ca="1">'BP5'!$K$22</f>
        <v>0</v>
      </c>
      <c r="G21" s="415">
        <f t="shared" ca="1" si="0"/>
        <v>0</v>
      </c>
      <c r="I21" s="114" t="s">
        <v>481</v>
      </c>
      <c r="K21" s="759" t="str">
        <f>IF(ISBLANK('BP1'!$B$22),"Senior Personnel 8",""&amp;'BP1'!$B$22)</f>
        <v>Senior Personnel 8</v>
      </c>
      <c r="L21" s="760"/>
      <c r="M21" s="761"/>
      <c r="N21" s="564" t="s">
        <v>2</v>
      </c>
      <c r="O21" s="566" t="s">
        <v>194</v>
      </c>
      <c r="P21" s="566" t="s">
        <v>195</v>
      </c>
      <c r="Q21" s="564" t="s">
        <v>2</v>
      </c>
      <c r="R21" s="566" t="s">
        <v>194</v>
      </c>
      <c r="S21" s="566" t="s">
        <v>195</v>
      </c>
      <c r="T21" s="564" t="s">
        <v>2</v>
      </c>
      <c r="U21" s="566" t="s">
        <v>194</v>
      </c>
      <c r="V21" s="566" t="s">
        <v>195</v>
      </c>
      <c r="W21" s="564" t="s">
        <v>2</v>
      </c>
      <c r="X21" s="566" t="s">
        <v>194</v>
      </c>
      <c r="Y21" s="566" t="s">
        <v>195</v>
      </c>
      <c r="Z21" s="564" t="s">
        <v>2</v>
      </c>
      <c r="AA21" s="566" t="s">
        <v>194</v>
      </c>
      <c r="AB21" s="566" t="s">
        <v>195</v>
      </c>
      <c r="AC21" s="564" t="s">
        <v>2</v>
      </c>
      <c r="AD21" s="566" t="s">
        <v>194</v>
      </c>
      <c r="AE21" s="566" t="s">
        <v>195</v>
      </c>
    </row>
    <row r="22" spans="1:31" hidden="1">
      <c r="A22" s="62" t="str">
        <f>CONCATENATE(K21," Fringe")</f>
        <v>Senior Personnel 8 Fringe</v>
      </c>
      <c r="B22" s="415">
        <f>'BP1'!$L$22</f>
        <v>0</v>
      </c>
      <c r="C22" s="415">
        <f ca="1">'BP2'!$L$22</f>
        <v>0</v>
      </c>
      <c r="D22" s="415">
        <f ca="1">'BP3'!$L$22</f>
        <v>0</v>
      </c>
      <c r="E22" s="415">
        <f ca="1">'BP4'!$L$22</f>
        <v>0</v>
      </c>
      <c r="F22" s="416">
        <f ca="1">'BP5'!$L$22</f>
        <v>0</v>
      </c>
      <c r="G22" s="415">
        <f t="shared" ca="1" si="0"/>
        <v>0</v>
      </c>
      <c r="I22" s="114" t="s">
        <v>481</v>
      </c>
      <c r="K22" s="762"/>
      <c r="L22" s="763"/>
      <c r="M22" s="764"/>
      <c r="N22" s="565">
        <f>'BP1'!H22</f>
        <v>0</v>
      </c>
      <c r="O22" s="567">
        <f>'BP1'!I22</f>
        <v>0</v>
      </c>
      <c r="P22" s="567">
        <f>'BP1'!J22</f>
        <v>0</v>
      </c>
      <c r="Q22" s="565">
        <f>'BP2'!H22</f>
        <v>0</v>
      </c>
      <c r="R22" s="567">
        <f>'BP2'!I22</f>
        <v>0</v>
      </c>
      <c r="S22" s="567">
        <f>'BP2'!J22</f>
        <v>0</v>
      </c>
      <c r="T22" s="565">
        <f>'BP3'!H22</f>
        <v>0</v>
      </c>
      <c r="U22" s="567">
        <f>'BP3'!I22</f>
        <v>0</v>
      </c>
      <c r="V22" s="567">
        <f>'BP3'!J22</f>
        <v>0</v>
      </c>
      <c r="W22" s="565">
        <f>'BP4'!H22</f>
        <v>0</v>
      </c>
      <c r="X22" s="567">
        <f>'BP4'!I22</f>
        <v>0</v>
      </c>
      <c r="Y22" s="567">
        <f>'BP4'!J22</f>
        <v>0</v>
      </c>
      <c r="Z22" s="565">
        <f>'BP5'!H22</f>
        <v>0</v>
      </c>
      <c r="AA22" s="567">
        <f>'BP5'!I22</f>
        <v>0</v>
      </c>
      <c r="AB22" s="567">
        <f>'BP5'!J22</f>
        <v>0</v>
      </c>
      <c r="AC22" s="565">
        <f>N22+Q22+T22+W22+Z22</f>
        <v>0</v>
      </c>
      <c r="AD22" s="567">
        <f>O22+R22+U22+X22+AA22</f>
        <v>0</v>
      </c>
      <c r="AE22" s="567">
        <f>P22+S22+V22+Y22+AB22</f>
        <v>0</v>
      </c>
    </row>
    <row r="23" spans="1:31" hidden="1">
      <c r="A23" s="62" t="str">
        <f>CONCATENATE(K23," Salary")</f>
        <v>Senior Personnel 9 Salary</v>
      </c>
      <c r="B23" s="415">
        <f>'BP1'!$K$23</f>
        <v>0</v>
      </c>
      <c r="C23" s="415">
        <f ca="1">'BP2'!$K$23</f>
        <v>0</v>
      </c>
      <c r="D23" s="415">
        <f ca="1">'BP3'!$K$23</f>
        <v>0</v>
      </c>
      <c r="E23" s="415">
        <f ca="1">'BP4'!$K$23</f>
        <v>0</v>
      </c>
      <c r="F23" s="416">
        <f ca="1">'BP5'!$K$23</f>
        <v>0</v>
      </c>
      <c r="G23" s="415">
        <f t="shared" ca="1" si="0"/>
        <v>0</v>
      </c>
      <c r="I23" s="114" t="s">
        <v>481</v>
      </c>
      <c r="K23" s="759" t="str">
        <f>IF(ISBLANK('BP1'!$B$23),"Senior Personnel 9",""&amp;'BP1'!$B$23)</f>
        <v>Senior Personnel 9</v>
      </c>
      <c r="L23" s="760"/>
      <c r="M23" s="761"/>
      <c r="N23" s="564" t="s">
        <v>2</v>
      </c>
      <c r="O23" s="566" t="s">
        <v>194</v>
      </c>
      <c r="P23" s="566" t="s">
        <v>195</v>
      </c>
      <c r="Q23" s="564" t="s">
        <v>2</v>
      </c>
      <c r="R23" s="566" t="s">
        <v>194</v>
      </c>
      <c r="S23" s="566" t="s">
        <v>195</v>
      </c>
      <c r="T23" s="564" t="s">
        <v>2</v>
      </c>
      <c r="U23" s="566" t="s">
        <v>194</v>
      </c>
      <c r="V23" s="566" t="s">
        <v>195</v>
      </c>
      <c r="W23" s="564" t="s">
        <v>2</v>
      </c>
      <c r="X23" s="566" t="s">
        <v>194</v>
      </c>
      <c r="Y23" s="566" t="s">
        <v>195</v>
      </c>
      <c r="Z23" s="564" t="s">
        <v>2</v>
      </c>
      <c r="AA23" s="566" t="s">
        <v>194</v>
      </c>
      <c r="AB23" s="566" t="s">
        <v>195</v>
      </c>
      <c r="AC23" s="564" t="s">
        <v>2</v>
      </c>
      <c r="AD23" s="566" t="s">
        <v>194</v>
      </c>
      <c r="AE23" s="566" t="s">
        <v>195</v>
      </c>
    </row>
    <row r="24" spans="1:31" hidden="1">
      <c r="A24" s="62" t="str">
        <f>CONCATENATE(K23," Fringe")</f>
        <v>Senior Personnel 9 Fringe</v>
      </c>
      <c r="B24" s="415">
        <f>'BP1'!$L$23</f>
        <v>0</v>
      </c>
      <c r="C24" s="415">
        <f ca="1">'BP2'!$L$23</f>
        <v>0</v>
      </c>
      <c r="D24" s="415">
        <f ca="1">'BP3'!$L$23</f>
        <v>0</v>
      </c>
      <c r="E24" s="415">
        <f ca="1">'BP4'!$L$23</f>
        <v>0</v>
      </c>
      <c r="F24" s="416">
        <f ca="1">'BP5'!$L$23</f>
        <v>0</v>
      </c>
      <c r="G24" s="415">
        <f t="shared" ca="1" si="0"/>
        <v>0</v>
      </c>
      <c r="I24" s="114" t="s">
        <v>481</v>
      </c>
      <c r="K24" s="762"/>
      <c r="L24" s="763"/>
      <c r="M24" s="764"/>
      <c r="N24" s="565">
        <f>'BP1'!H23</f>
        <v>0</v>
      </c>
      <c r="O24" s="567">
        <f>'BP1'!I23</f>
        <v>0</v>
      </c>
      <c r="P24" s="567">
        <f>'BP1'!J23</f>
        <v>0</v>
      </c>
      <c r="Q24" s="565">
        <f>'BP2'!H23</f>
        <v>0</v>
      </c>
      <c r="R24" s="567">
        <f>'BP2'!I23</f>
        <v>0</v>
      </c>
      <c r="S24" s="567">
        <f>'BP2'!J23</f>
        <v>0</v>
      </c>
      <c r="T24" s="565">
        <f>'BP3'!H23</f>
        <v>0</v>
      </c>
      <c r="U24" s="567">
        <f>'BP3'!I23</f>
        <v>0</v>
      </c>
      <c r="V24" s="567">
        <f>'BP3'!J23</f>
        <v>0</v>
      </c>
      <c r="W24" s="565">
        <f>'BP4'!H23</f>
        <v>0</v>
      </c>
      <c r="X24" s="567">
        <f>'BP4'!I23</f>
        <v>0</v>
      </c>
      <c r="Y24" s="567">
        <f>'BP4'!J23</f>
        <v>0</v>
      </c>
      <c r="Z24" s="565">
        <f>'BP5'!H23</f>
        <v>0</v>
      </c>
      <c r="AA24" s="567">
        <f>'BP5'!I23</f>
        <v>0</v>
      </c>
      <c r="AB24" s="567">
        <f>'BP5'!J23</f>
        <v>0</v>
      </c>
      <c r="AC24" s="565">
        <f>N24+Q24+T24+W24+Z24</f>
        <v>0</v>
      </c>
      <c r="AD24" s="567">
        <f>O24+R24+U24+X24+AA24</f>
        <v>0</v>
      </c>
      <c r="AE24" s="567">
        <f>P24+S24+V24+Y24+AB24</f>
        <v>0</v>
      </c>
    </row>
    <row r="25" spans="1:31" hidden="1">
      <c r="A25" s="62" t="str">
        <f>CONCATENATE(K25," Salary")</f>
        <v>Senior Personnel 10 Salary</v>
      </c>
      <c r="B25" s="415">
        <f>'BP1'!$K$24</f>
        <v>0</v>
      </c>
      <c r="C25" s="415">
        <f ca="1">'BP2'!$K$24</f>
        <v>0</v>
      </c>
      <c r="D25" s="415">
        <f ca="1">'BP3'!$K$24</f>
        <v>0</v>
      </c>
      <c r="E25" s="415">
        <f ca="1">'BP4'!$K$24</f>
        <v>0</v>
      </c>
      <c r="F25" s="416">
        <f ca="1">'BP5'!$K$24</f>
        <v>0</v>
      </c>
      <c r="G25" s="415">
        <f t="shared" ca="1" si="0"/>
        <v>0</v>
      </c>
      <c r="I25" s="114" t="s">
        <v>481</v>
      </c>
      <c r="K25" s="759" t="str">
        <f>IF(ISBLANK('BP1'!$B$24),"Senior Personnel 10",""&amp;'BP1'!$B$24)</f>
        <v>Senior Personnel 10</v>
      </c>
      <c r="L25" s="760"/>
      <c r="M25" s="761"/>
      <c r="N25" s="564" t="s">
        <v>2</v>
      </c>
      <c r="O25" s="566" t="s">
        <v>194</v>
      </c>
      <c r="P25" s="566" t="s">
        <v>195</v>
      </c>
      <c r="Q25" s="564" t="s">
        <v>2</v>
      </c>
      <c r="R25" s="566" t="s">
        <v>194</v>
      </c>
      <c r="S25" s="566" t="s">
        <v>195</v>
      </c>
      <c r="T25" s="564" t="s">
        <v>2</v>
      </c>
      <c r="U25" s="566" t="s">
        <v>194</v>
      </c>
      <c r="V25" s="566" t="s">
        <v>195</v>
      </c>
      <c r="W25" s="564" t="s">
        <v>2</v>
      </c>
      <c r="X25" s="566" t="s">
        <v>194</v>
      </c>
      <c r="Y25" s="566" t="s">
        <v>195</v>
      </c>
      <c r="Z25" s="564" t="s">
        <v>2</v>
      </c>
      <c r="AA25" s="566" t="s">
        <v>194</v>
      </c>
      <c r="AB25" s="566" t="s">
        <v>195</v>
      </c>
      <c r="AC25" s="564" t="s">
        <v>2</v>
      </c>
      <c r="AD25" s="566" t="s">
        <v>194</v>
      </c>
      <c r="AE25" s="566" t="s">
        <v>195</v>
      </c>
    </row>
    <row r="26" spans="1:31" hidden="1">
      <c r="A26" s="62" t="str">
        <f>CONCATENATE(K25," Fringe")</f>
        <v>Senior Personnel 10 Fringe</v>
      </c>
      <c r="B26" s="415">
        <f>'BP1'!$L$24</f>
        <v>0</v>
      </c>
      <c r="C26" s="415">
        <f ca="1">'BP2'!$L$24</f>
        <v>0</v>
      </c>
      <c r="D26" s="415">
        <f ca="1">'BP3'!$L$24</f>
        <v>0</v>
      </c>
      <c r="E26" s="415">
        <f ca="1">'BP4'!$L$24</f>
        <v>0</v>
      </c>
      <c r="F26" s="416">
        <f ca="1">'BP5'!$L$24</f>
        <v>0</v>
      </c>
      <c r="G26" s="415">
        <f t="shared" ca="1" si="0"/>
        <v>0</v>
      </c>
      <c r="I26" s="114" t="s">
        <v>481</v>
      </c>
      <c r="K26" s="762"/>
      <c r="L26" s="763"/>
      <c r="M26" s="764"/>
      <c r="N26" s="565">
        <f>'BP1'!H24</f>
        <v>0</v>
      </c>
      <c r="O26" s="567">
        <f>'BP1'!I24</f>
        <v>0</v>
      </c>
      <c r="P26" s="567">
        <f>'BP1'!J24</f>
        <v>0</v>
      </c>
      <c r="Q26" s="565">
        <f>'BP2'!H24</f>
        <v>0</v>
      </c>
      <c r="R26" s="567">
        <f>'BP2'!I24</f>
        <v>0</v>
      </c>
      <c r="S26" s="567">
        <f>'BP2'!J24</f>
        <v>0</v>
      </c>
      <c r="T26" s="565">
        <f>'BP3'!H24</f>
        <v>0</v>
      </c>
      <c r="U26" s="567">
        <f>'BP3'!I24</f>
        <v>0</v>
      </c>
      <c r="V26" s="567">
        <f>'BP3'!J24</f>
        <v>0</v>
      </c>
      <c r="W26" s="565">
        <f>'BP4'!H24</f>
        <v>0</v>
      </c>
      <c r="X26" s="567">
        <f>'BP4'!I24</f>
        <v>0</v>
      </c>
      <c r="Y26" s="567">
        <f>'BP4'!J24</f>
        <v>0</v>
      </c>
      <c r="Z26" s="565">
        <f>'BP5'!H24</f>
        <v>0</v>
      </c>
      <c r="AA26" s="567">
        <f>'BP5'!I24</f>
        <v>0</v>
      </c>
      <c r="AB26" s="567">
        <f>'BP5'!J24</f>
        <v>0</v>
      </c>
      <c r="AC26" s="565">
        <f>N26+Q26+T26+W26+Z26</f>
        <v>0</v>
      </c>
      <c r="AD26" s="567">
        <f>O26+R26+U26+X26+AA26</f>
        <v>0</v>
      </c>
      <c r="AE26" s="567">
        <f>P26+S26+V26+Y26+AB26</f>
        <v>0</v>
      </c>
    </row>
    <row r="27" spans="1:31" hidden="1">
      <c r="A27" s="62" t="str">
        <f>CONCATENATE(K27," Salary")</f>
        <v>Senior Personnel 11 Salary</v>
      </c>
      <c r="B27" s="415">
        <f>'BP1'!$K$25</f>
        <v>0</v>
      </c>
      <c r="C27" s="415">
        <f ca="1">'BP2'!$K$25</f>
        <v>0</v>
      </c>
      <c r="D27" s="415">
        <f ca="1">'BP3'!$K$25</f>
        <v>0</v>
      </c>
      <c r="E27" s="415">
        <f ca="1">'BP4'!$K$25</f>
        <v>0</v>
      </c>
      <c r="F27" s="416">
        <f ca="1">'BP5'!$K$25</f>
        <v>0</v>
      </c>
      <c r="G27" s="415">
        <f t="shared" ca="1" si="0"/>
        <v>0</v>
      </c>
      <c r="I27" s="114" t="s">
        <v>482</v>
      </c>
      <c r="K27" s="759" t="str">
        <f>IF(ISBLANK('BP1'!$B$25),"Senior Personnel 11",""&amp;'BP1'!$B$25)</f>
        <v>Senior Personnel 11</v>
      </c>
      <c r="L27" s="760"/>
      <c r="M27" s="761"/>
      <c r="N27" s="564" t="s">
        <v>2</v>
      </c>
      <c r="O27" s="566" t="s">
        <v>194</v>
      </c>
      <c r="P27" s="566" t="s">
        <v>195</v>
      </c>
      <c r="Q27" s="564" t="s">
        <v>2</v>
      </c>
      <c r="R27" s="566" t="s">
        <v>194</v>
      </c>
      <c r="S27" s="566" t="s">
        <v>195</v>
      </c>
      <c r="T27" s="564" t="s">
        <v>2</v>
      </c>
      <c r="U27" s="566" t="s">
        <v>194</v>
      </c>
      <c r="V27" s="566" t="s">
        <v>195</v>
      </c>
      <c r="W27" s="564" t="s">
        <v>2</v>
      </c>
      <c r="X27" s="566" t="s">
        <v>194</v>
      </c>
      <c r="Y27" s="566" t="s">
        <v>195</v>
      </c>
      <c r="Z27" s="564" t="s">
        <v>2</v>
      </c>
      <c r="AA27" s="566" t="s">
        <v>194</v>
      </c>
      <c r="AB27" s="566" t="s">
        <v>195</v>
      </c>
      <c r="AC27" s="564" t="s">
        <v>2</v>
      </c>
      <c r="AD27" s="566" t="s">
        <v>194</v>
      </c>
      <c r="AE27" s="566" t="s">
        <v>195</v>
      </c>
    </row>
    <row r="28" spans="1:31" hidden="1">
      <c r="A28" s="62" t="str">
        <f>CONCATENATE(K27," Fringe")</f>
        <v>Senior Personnel 11 Fringe</v>
      </c>
      <c r="B28" s="415">
        <f>'BP1'!$L$25</f>
        <v>0</v>
      </c>
      <c r="C28" s="415">
        <f ca="1">'BP2'!$L$25</f>
        <v>0</v>
      </c>
      <c r="D28" s="415">
        <f ca="1">'BP3'!$L$25</f>
        <v>0</v>
      </c>
      <c r="E28" s="415">
        <f ca="1">'BP4'!$L$25</f>
        <v>0</v>
      </c>
      <c r="F28" s="416">
        <f ca="1">'BP5'!$L$25</f>
        <v>0</v>
      </c>
      <c r="G28" s="415">
        <f t="shared" ca="1" si="0"/>
        <v>0</v>
      </c>
      <c r="I28" s="114" t="s">
        <v>482</v>
      </c>
      <c r="K28" s="762"/>
      <c r="L28" s="763"/>
      <c r="M28" s="764"/>
      <c r="N28" s="565">
        <f>'BP1'!H25</f>
        <v>0</v>
      </c>
      <c r="O28" s="567">
        <f>'BP1'!I25</f>
        <v>0</v>
      </c>
      <c r="P28" s="567">
        <f>'BP1'!J25</f>
        <v>0</v>
      </c>
      <c r="Q28" s="565">
        <f>'BP2'!H25</f>
        <v>0</v>
      </c>
      <c r="R28" s="567">
        <f>'BP2'!I25</f>
        <v>0</v>
      </c>
      <c r="S28" s="567">
        <f>'BP2'!J25</f>
        <v>0</v>
      </c>
      <c r="T28" s="565">
        <f>'BP3'!H25</f>
        <v>0</v>
      </c>
      <c r="U28" s="567">
        <f>'BP3'!I25</f>
        <v>0</v>
      </c>
      <c r="V28" s="567">
        <f>'BP3'!J25</f>
        <v>0</v>
      </c>
      <c r="W28" s="565">
        <f>'BP4'!H25</f>
        <v>0</v>
      </c>
      <c r="X28" s="567">
        <f>'BP4'!I25</f>
        <v>0</v>
      </c>
      <c r="Y28" s="567">
        <f>'BP4'!J25</f>
        <v>0</v>
      </c>
      <c r="Z28" s="565">
        <f>'BP5'!H25</f>
        <v>0</v>
      </c>
      <c r="AA28" s="567">
        <f>'BP5'!I25</f>
        <v>0</v>
      </c>
      <c r="AB28" s="567">
        <f>'BP5'!J25</f>
        <v>0</v>
      </c>
      <c r="AC28" s="565">
        <f>N28+Q28+T28+W28+Z28</f>
        <v>0</v>
      </c>
      <c r="AD28" s="567">
        <f>O28+R28+U28+X28+AA28</f>
        <v>0</v>
      </c>
      <c r="AE28" s="567">
        <f>P28+S28+V28+Y28+AB28</f>
        <v>0</v>
      </c>
    </row>
    <row r="29" spans="1:31" hidden="1">
      <c r="A29" s="62" t="str">
        <f>CONCATENATE(K29," Salary")</f>
        <v>Senior Personnel 12 Salary</v>
      </c>
      <c r="B29" s="415">
        <f>'BP1'!$K$26</f>
        <v>0</v>
      </c>
      <c r="C29" s="415">
        <f ca="1">'BP2'!$K$26</f>
        <v>0</v>
      </c>
      <c r="D29" s="415">
        <f ca="1">'BP3'!$K$26</f>
        <v>0</v>
      </c>
      <c r="E29" s="415">
        <f ca="1">'BP4'!$K$26</f>
        <v>0</v>
      </c>
      <c r="F29" s="416">
        <f ca="1">'BP5'!$K$26</f>
        <v>0</v>
      </c>
      <c r="G29" s="415">
        <f t="shared" ca="1" si="0"/>
        <v>0</v>
      </c>
      <c r="I29" s="114" t="s">
        <v>482</v>
      </c>
      <c r="K29" s="759" t="str">
        <f>IF(ISBLANK('BP1'!$B$26),"Senior Personnel 12",""&amp;'BP1'!$B$26)</f>
        <v>Senior Personnel 12</v>
      </c>
      <c r="L29" s="760"/>
      <c r="M29" s="761"/>
      <c r="N29" s="564" t="s">
        <v>2</v>
      </c>
      <c r="O29" s="566" t="s">
        <v>194</v>
      </c>
      <c r="P29" s="566" t="s">
        <v>195</v>
      </c>
      <c r="Q29" s="564" t="s">
        <v>2</v>
      </c>
      <c r="R29" s="566" t="s">
        <v>194</v>
      </c>
      <c r="S29" s="566" t="s">
        <v>195</v>
      </c>
      <c r="T29" s="564" t="s">
        <v>2</v>
      </c>
      <c r="U29" s="566" t="s">
        <v>194</v>
      </c>
      <c r="V29" s="566" t="s">
        <v>195</v>
      </c>
      <c r="W29" s="564" t="s">
        <v>2</v>
      </c>
      <c r="X29" s="566" t="s">
        <v>194</v>
      </c>
      <c r="Y29" s="566" t="s">
        <v>195</v>
      </c>
      <c r="Z29" s="564" t="s">
        <v>2</v>
      </c>
      <c r="AA29" s="566" t="s">
        <v>194</v>
      </c>
      <c r="AB29" s="566" t="s">
        <v>195</v>
      </c>
      <c r="AC29" s="564" t="s">
        <v>2</v>
      </c>
      <c r="AD29" s="566" t="s">
        <v>194</v>
      </c>
      <c r="AE29" s="566" t="s">
        <v>195</v>
      </c>
    </row>
    <row r="30" spans="1:31" hidden="1">
      <c r="A30" s="62" t="str">
        <f>CONCATENATE(K29," Fringe")</f>
        <v>Senior Personnel 12 Fringe</v>
      </c>
      <c r="B30" s="415">
        <f>'BP1'!$L$26</f>
        <v>0</v>
      </c>
      <c r="C30" s="415">
        <f ca="1">'BP2'!$L$26</f>
        <v>0</v>
      </c>
      <c r="D30" s="415">
        <f ca="1">'BP3'!$L$26</f>
        <v>0</v>
      </c>
      <c r="E30" s="415">
        <f ca="1">'BP4'!$L$26</f>
        <v>0</v>
      </c>
      <c r="F30" s="416">
        <f ca="1">'BP5'!$L$26</f>
        <v>0</v>
      </c>
      <c r="G30" s="415">
        <f t="shared" ca="1" si="0"/>
        <v>0</v>
      </c>
      <c r="I30" s="114" t="s">
        <v>482</v>
      </c>
      <c r="K30" s="762"/>
      <c r="L30" s="763"/>
      <c r="M30" s="764"/>
      <c r="N30" s="565">
        <f>'BP1'!H26</f>
        <v>0</v>
      </c>
      <c r="O30" s="567">
        <f>'BP1'!I26</f>
        <v>0</v>
      </c>
      <c r="P30" s="567">
        <f>'BP1'!J26</f>
        <v>0</v>
      </c>
      <c r="Q30" s="565">
        <f>'BP2'!H26</f>
        <v>0</v>
      </c>
      <c r="R30" s="567">
        <f>'BP2'!I26</f>
        <v>0</v>
      </c>
      <c r="S30" s="567">
        <f>'BP2'!J26</f>
        <v>0</v>
      </c>
      <c r="T30" s="565">
        <f>'BP3'!H26</f>
        <v>0</v>
      </c>
      <c r="U30" s="567">
        <f>'BP3'!I26</f>
        <v>0</v>
      </c>
      <c r="V30" s="567">
        <f>'BP3'!J26</f>
        <v>0</v>
      </c>
      <c r="W30" s="565">
        <f>'BP4'!H26</f>
        <v>0</v>
      </c>
      <c r="X30" s="567">
        <f>'BP4'!I26</f>
        <v>0</v>
      </c>
      <c r="Y30" s="567">
        <f>'BP4'!J26</f>
        <v>0</v>
      </c>
      <c r="Z30" s="565">
        <f>'BP5'!H26</f>
        <v>0</v>
      </c>
      <c r="AA30" s="567">
        <f>'BP5'!I26</f>
        <v>0</v>
      </c>
      <c r="AB30" s="567">
        <f>'BP5'!J26</f>
        <v>0</v>
      </c>
      <c r="AC30" s="565">
        <f>N30+Q30+T30+W30+Z30</f>
        <v>0</v>
      </c>
      <c r="AD30" s="567">
        <f>O30+R30+U30+X30+AA30</f>
        <v>0</v>
      </c>
      <c r="AE30" s="567">
        <f>P30+S30+V30+Y30+AB30</f>
        <v>0</v>
      </c>
    </row>
    <row r="31" spans="1:31" hidden="1">
      <c r="A31" s="62" t="str">
        <f>CONCATENATE(K31," Salary")</f>
        <v>Senior Personnel 13 Salary</v>
      </c>
      <c r="B31" s="415">
        <f>'BP1'!$K$27</f>
        <v>0</v>
      </c>
      <c r="C31" s="415">
        <f ca="1">'BP2'!$K$27</f>
        <v>0</v>
      </c>
      <c r="D31" s="415">
        <f ca="1">'BP3'!$K$27</f>
        <v>0</v>
      </c>
      <c r="E31" s="415">
        <f ca="1">'BP4'!$K$27</f>
        <v>0</v>
      </c>
      <c r="F31" s="416">
        <f ca="1">'BP5'!$K$27</f>
        <v>0</v>
      </c>
      <c r="G31" s="415">
        <f t="shared" ca="1" si="0"/>
        <v>0</v>
      </c>
      <c r="I31" s="114" t="s">
        <v>482</v>
      </c>
      <c r="K31" s="759" t="str">
        <f>IF(ISBLANK('BP1'!$B$27),"Senior Personnel 13",""&amp;'BP1'!$B$27)</f>
        <v>Senior Personnel 13</v>
      </c>
      <c r="L31" s="760"/>
      <c r="M31" s="761"/>
      <c r="N31" s="564" t="s">
        <v>2</v>
      </c>
      <c r="O31" s="566" t="s">
        <v>194</v>
      </c>
      <c r="P31" s="566" t="s">
        <v>195</v>
      </c>
      <c r="Q31" s="564" t="s">
        <v>2</v>
      </c>
      <c r="R31" s="566" t="s">
        <v>194</v>
      </c>
      <c r="S31" s="566" t="s">
        <v>195</v>
      </c>
      <c r="T31" s="564" t="s">
        <v>2</v>
      </c>
      <c r="U31" s="566" t="s">
        <v>194</v>
      </c>
      <c r="V31" s="566" t="s">
        <v>195</v>
      </c>
      <c r="W31" s="564" t="s">
        <v>2</v>
      </c>
      <c r="X31" s="566" t="s">
        <v>194</v>
      </c>
      <c r="Y31" s="566" t="s">
        <v>195</v>
      </c>
      <c r="Z31" s="564" t="s">
        <v>2</v>
      </c>
      <c r="AA31" s="566" t="s">
        <v>194</v>
      </c>
      <c r="AB31" s="566" t="s">
        <v>195</v>
      </c>
      <c r="AC31" s="564" t="s">
        <v>2</v>
      </c>
      <c r="AD31" s="566" t="s">
        <v>194</v>
      </c>
      <c r="AE31" s="566" t="s">
        <v>195</v>
      </c>
    </row>
    <row r="32" spans="1:31" hidden="1">
      <c r="A32" s="62" t="str">
        <f>CONCATENATE(K31," Fringe")</f>
        <v>Senior Personnel 13 Fringe</v>
      </c>
      <c r="B32" s="415">
        <f>'BP1'!$L$27</f>
        <v>0</v>
      </c>
      <c r="C32" s="415">
        <f ca="1">'BP2'!$L$27</f>
        <v>0</v>
      </c>
      <c r="D32" s="415">
        <f ca="1">'BP3'!$L$27</f>
        <v>0</v>
      </c>
      <c r="E32" s="415">
        <f ca="1">'BP4'!$L$27</f>
        <v>0</v>
      </c>
      <c r="F32" s="416">
        <f ca="1">'BP5'!$L$27</f>
        <v>0</v>
      </c>
      <c r="G32" s="415">
        <f t="shared" ca="1" si="0"/>
        <v>0</v>
      </c>
      <c r="I32" s="114" t="s">
        <v>482</v>
      </c>
      <c r="K32" s="762"/>
      <c r="L32" s="763"/>
      <c r="M32" s="764"/>
      <c r="N32" s="565">
        <f>'BP1'!H27</f>
        <v>0</v>
      </c>
      <c r="O32" s="567">
        <f>'BP1'!I27</f>
        <v>0</v>
      </c>
      <c r="P32" s="567">
        <f>'BP1'!J27</f>
        <v>0</v>
      </c>
      <c r="Q32" s="565">
        <f>'BP2'!H27</f>
        <v>0</v>
      </c>
      <c r="R32" s="567">
        <f>'BP2'!I27</f>
        <v>0</v>
      </c>
      <c r="S32" s="567">
        <f>'BP2'!J27</f>
        <v>0</v>
      </c>
      <c r="T32" s="565">
        <f>'BP3'!H27</f>
        <v>0</v>
      </c>
      <c r="U32" s="567">
        <f>'BP3'!I27</f>
        <v>0</v>
      </c>
      <c r="V32" s="567">
        <f>'BP3'!J27</f>
        <v>0</v>
      </c>
      <c r="W32" s="565">
        <f>'BP4'!H27</f>
        <v>0</v>
      </c>
      <c r="X32" s="567">
        <f>'BP4'!I27</f>
        <v>0</v>
      </c>
      <c r="Y32" s="567">
        <f>'BP4'!J27</f>
        <v>0</v>
      </c>
      <c r="Z32" s="565">
        <f>'BP5'!H27</f>
        <v>0</v>
      </c>
      <c r="AA32" s="567">
        <f>'BP5'!I27</f>
        <v>0</v>
      </c>
      <c r="AB32" s="567">
        <f>'BP5'!J27</f>
        <v>0</v>
      </c>
      <c r="AC32" s="565">
        <f>N32+Q32+T32+W32+Z32</f>
        <v>0</v>
      </c>
      <c r="AD32" s="567">
        <f>O32+R32+U32+X32+AA32</f>
        <v>0</v>
      </c>
      <c r="AE32" s="567">
        <f>P32+S32+V32+Y32+AB32</f>
        <v>0</v>
      </c>
    </row>
    <row r="33" spans="1:31" hidden="1">
      <c r="A33" s="62" t="str">
        <f>CONCATENATE(K33," Salary")</f>
        <v>Senior Personnel 14 Salary</v>
      </c>
      <c r="B33" s="415">
        <f>'BP1'!$K$28</f>
        <v>0</v>
      </c>
      <c r="C33" s="415">
        <f ca="1">'BP2'!$K$28</f>
        <v>0</v>
      </c>
      <c r="D33" s="415">
        <f ca="1">'BP3'!$K$28</f>
        <v>0</v>
      </c>
      <c r="E33" s="415">
        <f ca="1">'BP4'!$K$28</f>
        <v>0</v>
      </c>
      <c r="F33" s="416">
        <f ca="1">'BP5'!$K$28</f>
        <v>0</v>
      </c>
      <c r="G33" s="415">
        <f t="shared" ca="1" si="0"/>
        <v>0</v>
      </c>
      <c r="I33" s="114" t="s">
        <v>482</v>
      </c>
      <c r="K33" s="759" t="str">
        <f>IF(ISBLANK('BP1'!$B$28),"Senior Personnel 14",""&amp;'BP1'!$B$28)</f>
        <v>Senior Personnel 14</v>
      </c>
      <c r="L33" s="760"/>
      <c r="M33" s="761"/>
      <c r="N33" s="564" t="s">
        <v>2</v>
      </c>
      <c r="O33" s="566" t="s">
        <v>194</v>
      </c>
      <c r="P33" s="566" t="s">
        <v>195</v>
      </c>
      <c r="Q33" s="564" t="s">
        <v>2</v>
      </c>
      <c r="R33" s="566" t="s">
        <v>194</v>
      </c>
      <c r="S33" s="566" t="s">
        <v>195</v>
      </c>
      <c r="T33" s="564" t="s">
        <v>2</v>
      </c>
      <c r="U33" s="566" t="s">
        <v>194</v>
      </c>
      <c r="V33" s="566" t="s">
        <v>195</v>
      </c>
      <c r="W33" s="564" t="s">
        <v>2</v>
      </c>
      <c r="X33" s="566" t="s">
        <v>194</v>
      </c>
      <c r="Y33" s="566" t="s">
        <v>195</v>
      </c>
      <c r="Z33" s="564" t="s">
        <v>2</v>
      </c>
      <c r="AA33" s="566" t="s">
        <v>194</v>
      </c>
      <c r="AB33" s="566" t="s">
        <v>195</v>
      </c>
      <c r="AC33" s="564" t="s">
        <v>2</v>
      </c>
      <c r="AD33" s="566" t="s">
        <v>194</v>
      </c>
      <c r="AE33" s="566" t="s">
        <v>195</v>
      </c>
    </row>
    <row r="34" spans="1:31" hidden="1">
      <c r="A34" s="62" t="str">
        <f>CONCATENATE(K33," Fringe")</f>
        <v>Senior Personnel 14 Fringe</v>
      </c>
      <c r="B34" s="415">
        <f>'BP1'!$L$28</f>
        <v>0</v>
      </c>
      <c r="C34" s="415">
        <f ca="1">'BP2'!$L$28</f>
        <v>0</v>
      </c>
      <c r="D34" s="415">
        <f ca="1">'BP3'!$L$28</f>
        <v>0</v>
      </c>
      <c r="E34" s="415">
        <f ca="1">'BP4'!$L$28</f>
        <v>0</v>
      </c>
      <c r="F34" s="416">
        <f ca="1">'BP5'!$L$28</f>
        <v>0</v>
      </c>
      <c r="G34" s="415">
        <f t="shared" ca="1" si="0"/>
        <v>0</v>
      </c>
      <c r="I34" s="114" t="s">
        <v>482</v>
      </c>
      <c r="K34" s="762"/>
      <c r="L34" s="763"/>
      <c r="M34" s="764"/>
      <c r="N34" s="565">
        <f>'BP1'!H28</f>
        <v>0</v>
      </c>
      <c r="O34" s="567">
        <f>'BP1'!I28</f>
        <v>0</v>
      </c>
      <c r="P34" s="567">
        <f>'BP1'!J28</f>
        <v>0</v>
      </c>
      <c r="Q34" s="565">
        <f>'BP2'!H28</f>
        <v>0</v>
      </c>
      <c r="R34" s="567">
        <f>'BP2'!I28</f>
        <v>0</v>
      </c>
      <c r="S34" s="567">
        <f>'BP2'!J28</f>
        <v>0</v>
      </c>
      <c r="T34" s="565">
        <f>'BP3'!H28</f>
        <v>0</v>
      </c>
      <c r="U34" s="567">
        <f>'BP3'!I28</f>
        <v>0</v>
      </c>
      <c r="V34" s="567">
        <f>'BP3'!J28</f>
        <v>0</v>
      </c>
      <c r="W34" s="565">
        <f>'BP4'!H28</f>
        <v>0</v>
      </c>
      <c r="X34" s="567">
        <f>'BP4'!I28</f>
        <v>0</v>
      </c>
      <c r="Y34" s="567">
        <f>'BP4'!J28</f>
        <v>0</v>
      </c>
      <c r="Z34" s="565">
        <f>'BP5'!H28</f>
        <v>0</v>
      </c>
      <c r="AA34" s="567">
        <f>'BP5'!I28</f>
        <v>0</v>
      </c>
      <c r="AB34" s="567">
        <f>'BP5'!J28</f>
        <v>0</v>
      </c>
      <c r="AC34" s="565">
        <f>N34+Q34+T34+W34+Z34</f>
        <v>0</v>
      </c>
      <c r="AD34" s="567">
        <f>O34+R34+U34+X34+AA34</f>
        <v>0</v>
      </c>
      <c r="AE34" s="567">
        <f>P34+S34+V34+Y34+AB34</f>
        <v>0</v>
      </c>
    </row>
    <row r="35" spans="1:31" hidden="1">
      <c r="A35" s="62" t="str">
        <f>CONCATENATE(K35," Salary")</f>
        <v>Senior Personnel 15 Salary</v>
      </c>
      <c r="B35" s="415">
        <f>'BP1'!$K$29</f>
        <v>0</v>
      </c>
      <c r="C35" s="415">
        <f ca="1">'BP2'!$K$29</f>
        <v>0</v>
      </c>
      <c r="D35" s="415">
        <f ca="1">'BP3'!$K$29</f>
        <v>0</v>
      </c>
      <c r="E35" s="415">
        <f ca="1">'BP4'!$K$29</f>
        <v>0</v>
      </c>
      <c r="F35" s="416">
        <f ca="1">'BP5'!$K$29</f>
        <v>0</v>
      </c>
      <c r="G35" s="415">
        <f t="shared" ca="1" si="0"/>
        <v>0</v>
      </c>
      <c r="I35" s="114" t="s">
        <v>482</v>
      </c>
      <c r="K35" s="759" t="str">
        <f>IF(ISBLANK('BP1'!$B$29),"Senior Personnel 15",""&amp;'BP1'!$B$29)</f>
        <v>Senior Personnel 15</v>
      </c>
      <c r="L35" s="760"/>
      <c r="M35" s="761"/>
      <c r="N35" s="564" t="s">
        <v>2</v>
      </c>
      <c r="O35" s="566" t="s">
        <v>194</v>
      </c>
      <c r="P35" s="566" t="s">
        <v>195</v>
      </c>
      <c r="Q35" s="564" t="s">
        <v>2</v>
      </c>
      <c r="R35" s="566" t="s">
        <v>194</v>
      </c>
      <c r="S35" s="566" t="s">
        <v>195</v>
      </c>
      <c r="T35" s="564" t="s">
        <v>2</v>
      </c>
      <c r="U35" s="566" t="s">
        <v>194</v>
      </c>
      <c r="V35" s="566" t="s">
        <v>195</v>
      </c>
      <c r="W35" s="564" t="s">
        <v>2</v>
      </c>
      <c r="X35" s="566" t="s">
        <v>194</v>
      </c>
      <c r="Y35" s="566" t="s">
        <v>195</v>
      </c>
      <c r="Z35" s="564" t="s">
        <v>2</v>
      </c>
      <c r="AA35" s="566" t="s">
        <v>194</v>
      </c>
      <c r="AB35" s="566" t="s">
        <v>195</v>
      </c>
      <c r="AC35" s="564" t="s">
        <v>2</v>
      </c>
      <c r="AD35" s="566" t="s">
        <v>194</v>
      </c>
      <c r="AE35" s="566" t="s">
        <v>195</v>
      </c>
    </row>
    <row r="36" spans="1:31" hidden="1">
      <c r="A36" s="62" t="str">
        <f>CONCATENATE(K35," Fringe")</f>
        <v>Senior Personnel 15 Fringe</v>
      </c>
      <c r="B36" s="421">
        <f>'BP1'!$L$29</f>
        <v>0</v>
      </c>
      <c r="C36" s="421">
        <f ca="1">'BP2'!$L$29</f>
        <v>0</v>
      </c>
      <c r="D36" s="421">
        <f ca="1">'BP3'!$L$29</f>
        <v>0</v>
      </c>
      <c r="E36" s="421">
        <f ca="1">'BP4'!$L$29</f>
        <v>0</v>
      </c>
      <c r="F36" s="422">
        <f ca="1">'BP5'!$L$29</f>
        <v>0</v>
      </c>
      <c r="G36" s="415">
        <f t="shared" ca="1" si="0"/>
        <v>0</v>
      </c>
      <c r="I36" s="114" t="s">
        <v>482</v>
      </c>
      <c r="K36" s="762"/>
      <c r="L36" s="763"/>
      <c r="M36" s="764"/>
      <c r="N36" s="565">
        <f>'BP1'!H29</f>
        <v>0</v>
      </c>
      <c r="O36" s="567">
        <f>'BP1'!I29</f>
        <v>0</v>
      </c>
      <c r="P36" s="567">
        <f>'BP1'!J29</f>
        <v>0</v>
      </c>
      <c r="Q36" s="565">
        <f>'BP2'!H29</f>
        <v>0</v>
      </c>
      <c r="R36" s="567">
        <f>'BP2'!I29</f>
        <v>0</v>
      </c>
      <c r="S36" s="567">
        <f>'BP2'!J29</f>
        <v>0</v>
      </c>
      <c r="T36" s="565">
        <f>'BP3'!H29</f>
        <v>0</v>
      </c>
      <c r="U36" s="567">
        <f>'BP3'!I29</f>
        <v>0</v>
      </c>
      <c r="V36" s="567">
        <f>'BP3'!J29</f>
        <v>0</v>
      </c>
      <c r="W36" s="565">
        <f>'BP4'!H29</f>
        <v>0</v>
      </c>
      <c r="X36" s="567">
        <f>'BP4'!I29</f>
        <v>0</v>
      </c>
      <c r="Y36" s="567">
        <f>'BP4'!J29</f>
        <v>0</v>
      </c>
      <c r="Z36" s="565">
        <f>'BP5'!H29</f>
        <v>0</v>
      </c>
      <c r="AA36" s="567">
        <f>'BP5'!I29</f>
        <v>0</v>
      </c>
      <c r="AB36" s="567">
        <f>'BP5'!J29</f>
        <v>0</v>
      </c>
      <c r="AC36" s="565">
        <f>N36+Q36+T36+W36+Z36</f>
        <v>0</v>
      </c>
      <c r="AD36" s="567">
        <f>O36+R36+U36+X36+AA36</f>
        <v>0</v>
      </c>
      <c r="AE36" s="567">
        <f>P36+S36+V36+Y36+AB36</f>
        <v>0</v>
      </c>
    </row>
    <row r="37" spans="1:31">
      <c r="A37" s="67" t="s">
        <v>84</v>
      </c>
      <c r="B37" s="417">
        <f>'BP1'!$K30</f>
        <v>0</v>
      </c>
      <c r="C37" s="417">
        <f ca="1">'BP2'!$K30</f>
        <v>0</v>
      </c>
      <c r="D37" s="417">
        <f ca="1">'BP3'!$K30</f>
        <v>0</v>
      </c>
      <c r="E37" s="417">
        <f ca="1">'BP4'!$K30</f>
        <v>0</v>
      </c>
      <c r="F37" s="418">
        <f ca="1">'BP5'!$K30</f>
        <v>0</v>
      </c>
      <c r="G37" s="417">
        <f t="shared" ca="1" si="0"/>
        <v>0</v>
      </c>
      <c r="I37" s="114" t="s">
        <v>215</v>
      </c>
    </row>
    <row r="38" spans="1:31" ht="15.6" customHeight="1">
      <c r="A38" s="61" t="s">
        <v>85</v>
      </c>
      <c r="B38" s="419">
        <f>'BP1'!$L30</f>
        <v>0</v>
      </c>
      <c r="C38" s="419">
        <f ca="1">'BP2'!$L30</f>
        <v>0</v>
      </c>
      <c r="D38" s="419">
        <f ca="1">'BP3'!$L30</f>
        <v>0</v>
      </c>
      <c r="E38" s="419">
        <f ca="1">'BP4'!$L30</f>
        <v>0</v>
      </c>
      <c r="F38" s="420">
        <f ca="1">'BP5'!$L30</f>
        <v>0</v>
      </c>
      <c r="G38" s="419">
        <f t="shared" ca="1" si="0"/>
        <v>0</v>
      </c>
      <c r="I38" s="114" t="s">
        <v>215</v>
      </c>
      <c r="K38" s="772" t="s">
        <v>223</v>
      </c>
      <c r="L38" s="772"/>
      <c r="M38" s="772"/>
      <c r="N38" s="788" t="s">
        <v>420</v>
      </c>
      <c r="O38" s="789"/>
      <c r="P38" s="790"/>
      <c r="Q38" s="788" t="s">
        <v>421</v>
      </c>
      <c r="R38" s="789"/>
      <c r="S38" s="790"/>
      <c r="T38" s="788" t="s">
        <v>422</v>
      </c>
      <c r="U38" s="789"/>
      <c r="V38" s="790"/>
      <c r="W38" s="788" t="s">
        <v>423</v>
      </c>
      <c r="X38" s="789"/>
      <c r="Y38" s="790"/>
      <c r="Z38" s="786" t="s">
        <v>424</v>
      </c>
      <c r="AA38" s="786"/>
      <c r="AB38" s="786"/>
      <c r="AC38" s="787" t="s">
        <v>93</v>
      </c>
      <c r="AD38" s="787"/>
      <c r="AE38" s="787"/>
    </row>
    <row r="39" spans="1:31" ht="15.6" customHeight="1">
      <c r="A39" s="60"/>
      <c r="B39" s="392"/>
      <c r="C39" s="392"/>
      <c r="D39" s="392"/>
      <c r="E39" s="392"/>
      <c r="F39" s="392"/>
      <c r="G39" s="392"/>
      <c r="I39" s="114" t="s">
        <v>215</v>
      </c>
      <c r="K39" s="772"/>
      <c r="L39" s="772"/>
      <c r="M39" s="772"/>
      <c r="N39" s="791"/>
      <c r="O39" s="792"/>
      <c r="P39" s="793"/>
      <c r="Q39" s="791"/>
      <c r="R39" s="792"/>
      <c r="S39" s="793"/>
      <c r="T39" s="791"/>
      <c r="U39" s="792"/>
      <c r="V39" s="793"/>
      <c r="W39" s="791"/>
      <c r="X39" s="792"/>
      <c r="Y39" s="793"/>
      <c r="Z39" s="786"/>
      <c r="AA39" s="786"/>
      <c r="AB39" s="786"/>
      <c r="AC39" s="787"/>
      <c r="AD39" s="787"/>
      <c r="AE39" s="787"/>
    </row>
    <row r="40" spans="1:31">
      <c r="A40" s="62" t="str">
        <f>CONCATENATE('BP1'!$D$32," Salary")</f>
        <v>Postdoctoral Scholar Salary</v>
      </c>
      <c r="B40" s="415">
        <f>'BP1'!$K$32</f>
        <v>0</v>
      </c>
      <c r="C40" s="415">
        <f ca="1">'BP2'!$K$32</f>
        <v>0</v>
      </c>
      <c r="D40" s="415">
        <f ca="1">'BP3'!$K$32</f>
        <v>0</v>
      </c>
      <c r="E40" s="415">
        <f ca="1">'BP4'!$K$32</f>
        <v>0</v>
      </c>
      <c r="F40" s="416">
        <f ca="1">'BP5'!$K$32</f>
        <v>0</v>
      </c>
      <c r="G40" s="415">
        <f t="shared" ca="1" si="0"/>
        <v>0</v>
      </c>
      <c r="I40" s="114" t="s">
        <v>215</v>
      </c>
      <c r="K40" s="758" t="str">
        <f>'BP1'!$D$32</f>
        <v>Postdoctoral Scholar</v>
      </c>
      <c r="L40" s="758"/>
      <c r="M40" s="758"/>
      <c r="N40" s="564" t="s">
        <v>2</v>
      </c>
      <c r="O40" s="566" t="s">
        <v>194</v>
      </c>
      <c r="P40" s="566" t="s">
        <v>195</v>
      </c>
      <c r="Q40" s="564" t="s">
        <v>2</v>
      </c>
      <c r="R40" s="566" t="s">
        <v>194</v>
      </c>
      <c r="S40" s="566" t="s">
        <v>195</v>
      </c>
      <c r="T40" s="564" t="s">
        <v>2</v>
      </c>
      <c r="U40" s="566" t="s">
        <v>194</v>
      </c>
      <c r="V40" s="566" t="s">
        <v>195</v>
      </c>
      <c r="W40" s="564" t="s">
        <v>2</v>
      </c>
      <c r="X40" s="566" t="s">
        <v>194</v>
      </c>
      <c r="Y40" s="566" t="s">
        <v>195</v>
      </c>
      <c r="Z40" s="564" t="s">
        <v>2</v>
      </c>
      <c r="AA40" s="566" t="s">
        <v>194</v>
      </c>
      <c r="AB40" s="566" t="s">
        <v>195</v>
      </c>
      <c r="AC40" s="564" t="s">
        <v>2</v>
      </c>
      <c r="AD40" s="566" t="s">
        <v>194</v>
      </c>
      <c r="AE40" s="566" t="s">
        <v>195</v>
      </c>
    </row>
    <row r="41" spans="1:31">
      <c r="A41" s="62" t="str">
        <f>CONCATENATE('BP1'!$D$32," Fringe")</f>
        <v>Postdoctoral Scholar Fringe</v>
      </c>
      <c r="B41" s="415">
        <f>'BP1'!$L$32</f>
        <v>0</v>
      </c>
      <c r="C41" s="415">
        <f>'BP2'!$L$32</f>
        <v>0</v>
      </c>
      <c r="D41" s="415">
        <f>'BP3'!$L$32</f>
        <v>0</v>
      </c>
      <c r="E41" s="415">
        <f>'BP4'!$L$32</f>
        <v>0</v>
      </c>
      <c r="F41" s="416">
        <f>'BP5'!$L$32</f>
        <v>0</v>
      </c>
      <c r="G41" s="415">
        <f t="shared" si="0"/>
        <v>0</v>
      </c>
      <c r="I41" s="114" t="s">
        <v>215</v>
      </c>
      <c r="K41" s="758"/>
      <c r="L41" s="758"/>
      <c r="M41" s="758"/>
      <c r="N41" s="565">
        <f>'BP1'!H32</f>
        <v>0</v>
      </c>
      <c r="O41" s="567">
        <f>'BP1'!I32</f>
        <v>0</v>
      </c>
      <c r="P41" s="567">
        <f>'BP1'!J32</f>
        <v>0</v>
      </c>
      <c r="Q41" s="565">
        <f>'BP2'!H32</f>
        <v>0</v>
      </c>
      <c r="R41" s="567">
        <f>'BP2'!I32</f>
        <v>0</v>
      </c>
      <c r="S41" s="567">
        <f>'BP2'!J32</f>
        <v>0</v>
      </c>
      <c r="T41" s="565">
        <f>'BP3'!H32</f>
        <v>0</v>
      </c>
      <c r="U41" s="567">
        <f>'BP3'!I32</f>
        <v>0</v>
      </c>
      <c r="V41" s="567">
        <f>'BP3'!J32</f>
        <v>0</v>
      </c>
      <c r="W41" s="565">
        <f>'BP4'!H32</f>
        <v>0</v>
      </c>
      <c r="X41" s="567">
        <f>'BP4'!I32</f>
        <v>0</v>
      </c>
      <c r="Y41" s="567">
        <f>'BP4'!J32</f>
        <v>0</v>
      </c>
      <c r="Z41" s="565">
        <f>'BP5'!H32</f>
        <v>0</v>
      </c>
      <c r="AA41" s="567">
        <f>'BP5'!I32</f>
        <v>0</v>
      </c>
      <c r="AB41" s="567">
        <f>'BP5'!J32</f>
        <v>0</v>
      </c>
      <c r="AC41" s="565">
        <f>N41+Q41+T41+W41+Z41</f>
        <v>0</v>
      </c>
      <c r="AD41" s="567">
        <f>O41+R41+U41+X41+AA41</f>
        <v>0</v>
      </c>
      <c r="AE41" s="567">
        <f>P41+S41+V41+Y41+AB41</f>
        <v>0</v>
      </c>
    </row>
    <row r="42" spans="1:31">
      <c r="A42" s="62" t="str">
        <f>CONCATENATE('BP1'!$D$33," Salary")</f>
        <v>Other Professional Salary</v>
      </c>
      <c r="B42" s="415">
        <f>'BP1'!$K$33</f>
        <v>0</v>
      </c>
      <c r="C42" s="415">
        <f ca="1">'BP2'!$K$33</f>
        <v>0</v>
      </c>
      <c r="D42" s="415">
        <f ca="1">'BP3'!$K$33</f>
        <v>0</v>
      </c>
      <c r="E42" s="415">
        <f ca="1">'BP4'!$K$33</f>
        <v>0</v>
      </c>
      <c r="F42" s="416">
        <f ca="1">'BP5'!$K$33</f>
        <v>0</v>
      </c>
      <c r="G42" s="415">
        <f t="shared" ca="1" si="0"/>
        <v>0</v>
      </c>
      <c r="I42" s="114" t="s">
        <v>215</v>
      </c>
      <c r="K42" s="758" t="str">
        <f>'BP1'!$D$33</f>
        <v>Other Professional</v>
      </c>
      <c r="L42" s="758"/>
      <c r="M42" s="758"/>
      <c r="N42" s="564" t="s">
        <v>2</v>
      </c>
      <c r="O42" s="566" t="s">
        <v>194</v>
      </c>
      <c r="P42" s="566" t="s">
        <v>195</v>
      </c>
      <c r="Q42" s="564" t="s">
        <v>2</v>
      </c>
      <c r="R42" s="566" t="s">
        <v>194</v>
      </c>
      <c r="S42" s="566" t="s">
        <v>195</v>
      </c>
      <c r="T42" s="564" t="s">
        <v>2</v>
      </c>
      <c r="U42" s="566" t="s">
        <v>194</v>
      </c>
      <c r="V42" s="566" t="s">
        <v>195</v>
      </c>
      <c r="W42" s="564" t="s">
        <v>2</v>
      </c>
      <c r="X42" s="566" t="s">
        <v>194</v>
      </c>
      <c r="Y42" s="566" t="s">
        <v>195</v>
      </c>
      <c r="Z42" s="564" t="s">
        <v>2</v>
      </c>
      <c r="AA42" s="566" t="s">
        <v>194</v>
      </c>
      <c r="AB42" s="566" t="s">
        <v>195</v>
      </c>
      <c r="AC42" s="564" t="s">
        <v>2</v>
      </c>
      <c r="AD42" s="566" t="s">
        <v>194</v>
      </c>
      <c r="AE42" s="566" t="s">
        <v>195</v>
      </c>
    </row>
    <row r="43" spans="1:31">
      <c r="A43" s="62" t="str">
        <f>CONCATENATE('BP1'!$D$33," Fringe")</f>
        <v>Other Professional Fringe</v>
      </c>
      <c r="B43" s="415">
        <f>'BP1'!$L$33</f>
        <v>0</v>
      </c>
      <c r="C43" s="415">
        <f>'BP2'!$L$33</f>
        <v>0</v>
      </c>
      <c r="D43" s="415">
        <f>'BP3'!$L$33</f>
        <v>0</v>
      </c>
      <c r="E43" s="415">
        <f>'BP4'!$L$33</f>
        <v>0</v>
      </c>
      <c r="F43" s="416">
        <f>'BP5'!$L$33</f>
        <v>0</v>
      </c>
      <c r="G43" s="415">
        <f t="shared" si="0"/>
        <v>0</v>
      </c>
      <c r="I43" s="114" t="s">
        <v>215</v>
      </c>
      <c r="K43" s="758"/>
      <c r="L43" s="758"/>
      <c r="M43" s="758"/>
      <c r="N43" s="565">
        <f>'BP1'!H33</f>
        <v>0</v>
      </c>
      <c r="O43" s="567">
        <f>'BP1'!I33</f>
        <v>0</v>
      </c>
      <c r="P43" s="567">
        <f>'BP1'!J33</f>
        <v>0</v>
      </c>
      <c r="Q43" s="565">
        <f>'BP2'!H33</f>
        <v>0</v>
      </c>
      <c r="R43" s="567">
        <f>'BP2'!I33</f>
        <v>0</v>
      </c>
      <c r="S43" s="567">
        <f>'BP2'!J33</f>
        <v>0</v>
      </c>
      <c r="T43" s="565">
        <f>'BP3'!H33</f>
        <v>0</v>
      </c>
      <c r="U43" s="567">
        <f>'BP3'!I33</f>
        <v>0</v>
      </c>
      <c r="V43" s="567">
        <f>'BP3'!J33</f>
        <v>0</v>
      </c>
      <c r="W43" s="565">
        <f>'BP4'!H33</f>
        <v>0</v>
      </c>
      <c r="X43" s="567">
        <f>'BP4'!I33</f>
        <v>0</v>
      </c>
      <c r="Y43" s="567">
        <f>'BP4'!J33</f>
        <v>0</v>
      </c>
      <c r="Z43" s="565">
        <f>'BP5'!H33</f>
        <v>0</v>
      </c>
      <c r="AA43" s="567">
        <f>'BP5'!I33</f>
        <v>0</v>
      </c>
      <c r="AB43" s="567">
        <f>'BP5'!J33</f>
        <v>0</v>
      </c>
      <c r="AC43" s="565">
        <f>N43+Q43+T43+W43+Z43</f>
        <v>0</v>
      </c>
      <c r="AD43" s="567">
        <f>O43+R43+U43+X43+AA43</f>
        <v>0</v>
      </c>
      <c r="AE43" s="567">
        <f>P43+S43+V43+Y43+AB43</f>
        <v>0</v>
      </c>
    </row>
    <row r="44" spans="1:31" hidden="1">
      <c r="A44" s="62" t="str">
        <f>CONCATENATE('BP1'!$D$34," Salary")</f>
        <v>Other Professional Salary</v>
      </c>
      <c r="B44" s="415">
        <f>'BP1'!$K$34</f>
        <v>0</v>
      </c>
      <c r="C44" s="415">
        <f ca="1">'BP2'!$K$34</f>
        <v>0</v>
      </c>
      <c r="D44" s="415">
        <f ca="1">'BP3'!$K$34</f>
        <v>0</v>
      </c>
      <c r="E44" s="415">
        <f ca="1">'BP4'!$K$34</f>
        <v>0</v>
      </c>
      <c r="F44" s="416">
        <f ca="1">'BP5'!$K$34</f>
        <v>0</v>
      </c>
      <c r="G44" s="415">
        <f t="shared" ca="1" si="0"/>
        <v>0</v>
      </c>
      <c r="I44" s="114" t="s">
        <v>489</v>
      </c>
      <c r="K44" s="758" t="str">
        <f>'BP1'!$D$34</f>
        <v>Other Professional</v>
      </c>
      <c r="L44" s="758"/>
      <c r="M44" s="758"/>
      <c r="N44" s="564" t="s">
        <v>2</v>
      </c>
      <c r="O44" s="566" t="s">
        <v>194</v>
      </c>
      <c r="P44" s="566" t="s">
        <v>195</v>
      </c>
      <c r="Q44" s="564" t="s">
        <v>2</v>
      </c>
      <c r="R44" s="566" t="s">
        <v>194</v>
      </c>
      <c r="S44" s="566" t="s">
        <v>195</v>
      </c>
      <c r="T44" s="564" t="s">
        <v>2</v>
      </c>
      <c r="U44" s="566" t="s">
        <v>194</v>
      </c>
      <c r="V44" s="566" t="s">
        <v>195</v>
      </c>
      <c r="W44" s="564" t="s">
        <v>2</v>
      </c>
      <c r="X44" s="566" t="s">
        <v>194</v>
      </c>
      <c r="Y44" s="566" t="s">
        <v>195</v>
      </c>
      <c r="Z44" s="564" t="s">
        <v>2</v>
      </c>
      <c r="AA44" s="566" t="s">
        <v>194</v>
      </c>
      <c r="AB44" s="566" t="s">
        <v>195</v>
      </c>
      <c r="AC44" s="564" t="s">
        <v>2</v>
      </c>
      <c r="AD44" s="566" t="s">
        <v>194</v>
      </c>
      <c r="AE44" s="566" t="s">
        <v>195</v>
      </c>
    </row>
    <row r="45" spans="1:31" hidden="1">
      <c r="A45" s="62" t="str">
        <f>CONCATENATE('BP1'!$D$34," Fringe")</f>
        <v>Other Professional Fringe</v>
      </c>
      <c r="B45" s="415">
        <f>'BP1'!$L$34</f>
        <v>0</v>
      </c>
      <c r="C45" s="415">
        <f>'BP2'!$L$34</f>
        <v>0</v>
      </c>
      <c r="D45" s="415">
        <f>'BP3'!$L$34</f>
        <v>0</v>
      </c>
      <c r="E45" s="415">
        <f>'BP4'!$L$34</f>
        <v>0</v>
      </c>
      <c r="F45" s="416">
        <f>'BP5'!$L$34</f>
        <v>0</v>
      </c>
      <c r="G45" s="415">
        <f t="shared" si="0"/>
        <v>0</v>
      </c>
      <c r="I45" s="114" t="s">
        <v>489</v>
      </c>
      <c r="K45" s="758"/>
      <c r="L45" s="758"/>
      <c r="M45" s="758"/>
      <c r="N45" s="565">
        <f>'BP1'!H34</f>
        <v>0</v>
      </c>
      <c r="O45" s="567">
        <f>'BP1'!I34</f>
        <v>0</v>
      </c>
      <c r="P45" s="567">
        <f>'BP1'!J34</f>
        <v>0</v>
      </c>
      <c r="Q45" s="565">
        <f>'BP2'!H34</f>
        <v>0</v>
      </c>
      <c r="R45" s="567">
        <f>'BP2'!I34</f>
        <v>0</v>
      </c>
      <c r="S45" s="567">
        <f>'BP2'!J34</f>
        <v>0</v>
      </c>
      <c r="T45" s="565">
        <f>'BP3'!H34</f>
        <v>0</v>
      </c>
      <c r="U45" s="567">
        <f>'BP3'!I34</f>
        <v>0</v>
      </c>
      <c r="V45" s="567">
        <f>'BP3'!J34</f>
        <v>0</v>
      </c>
      <c r="W45" s="565">
        <f>'BP4'!H34</f>
        <v>0</v>
      </c>
      <c r="X45" s="567">
        <f>'BP4'!I34</f>
        <v>0</v>
      </c>
      <c r="Y45" s="567">
        <f>'BP4'!J34</f>
        <v>0</v>
      </c>
      <c r="Z45" s="565">
        <f>'BP5'!H34</f>
        <v>0</v>
      </c>
      <c r="AA45" s="567">
        <f>'BP5'!I34</f>
        <v>0</v>
      </c>
      <c r="AB45" s="567">
        <f>'BP5'!J34</f>
        <v>0</v>
      </c>
      <c r="AC45" s="565">
        <f>N45+Q45+T45+W45+Z45</f>
        <v>0</v>
      </c>
      <c r="AD45" s="567">
        <f>O45+R45+U45+X45+AA45</f>
        <v>0</v>
      </c>
      <c r="AE45" s="567">
        <f>P45+S45+V45+Y45+AB45</f>
        <v>0</v>
      </c>
    </row>
    <row r="46" spans="1:31" hidden="1">
      <c r="A46" s="62" t="str">
        <f>CONCATENATE('BP1'!$D$35," Salary")</f>
        <v>Other Professional Salary</v>
      </c>
      <c r="B46" s="415">
        <f>'BP1'!$K$35</f>
        <v>0</v>
      </c>
      <c r="C46" s="415">
        <f ca="1">'BP2'!$K$35</f>
        <v>0</v>
      </c>
      <c r="D46" s="415">
        <f ca="1">'BP3'!$K$35</f>
        <v>0</v>
      </c>
      <c r="E46" s="415">
        <f ca="1">'BP4'!$K$35</f>
        <v>0</v>
      </c>
      <c r="F46" s="416">
        <f ca="1">'BP5'!$K$35</f>
        <v>0</v>
      </c>
      <c r="G46" s="415">
        <f t="shared" ca="1" si="0"/>
        <v>0</v>
      </c>
      <c r="I46" s="114" t="s">
        <v>489</v>
      </c>
      <c r="K46" s="758" t="str">
        <f>'BP1'!$D$35</f>
        <v>Other Professional</v>
      </c>
      <c r="L46" s="758"/>
      <c r="M46" s="758"/>
      <c r="N46" s="564" t="s">
        <v>2</v>
      </c>
      <c r="O46" s="566" t="s">
        <v>194</v>
      </c>
      <c r="P46" s="566" t="s">
        <v>195</v>
      </c>
      <c r="Q46" s="564" t="s">
        <v>2</v>
      </c>
      <c r="R46" s="566" t="s">
        <v>194</v>
      </c>
      <c r="S46" s="566" t="s">
        <v>195</v>
      </c>
      <c r="T46" s="564" t="s">
        <v>2</v>
      </c>
      <c r="U46" s="566" t="s">
        <v>194</v>
      </c>
      <c r="V46" s="566" t="s">
        <v>195</v>
      </c>
      <c r="W46" s="564" t="s">
        <v>2</v>
      </c>
      <c r="X46" s="566" t="s">
        <v>194</v>
      </c>
      <c r="Y46" s="566" t="s">
        <v>195</v>
      </c>
      <c r="Z46" s="564" t="s">
        <v>2</v>
      </c>
      <c r="AA46" s="566" t="s">
        <v>194</v>
      </c>
      <c r="AB46" s="566" t="s">
        <v>195</v>
      </c>
      <c r="AC46" s="564" t="s">
        <v>2</v>
      </c>
      <c r="AD46" s="566" t="s">
        <v>194</v>
      </c>
      <c r="AE46" s="566" t="s">
        <v>195</v>
      </c>
    </row>
    <row r="47" spans="1:31" hidden="1">
      <c r="A47" s="62" t="str">
        <f>CONCATENATE('BP1'!$D$35," Fringe")</f>
        <v>Other Professional Fringe</v>
      </c>
      <c r="B47" s="415">
        <f>'BP1'!$L$35</f>
        <v>0</v>
      </c>
      <c r="C47" s="415">
        <f>'BP2'!$L$35</f>
        <v>0</v>
      </c>
      <c r="D47" s="415">
        <f>'BP3'!$L$35</f>
        <v>0</v>
      </c>
      <c r="E47" s="415">
        <f>'BP4'!$L$35</f>
        <v>0</v>
      </c>
      <c r="F47" s="416">
        <f>'BP5'!$L$35</f>
        <v>0</v>
      </c>
      <c r="G47" s="415">
        <f t="shared" si="0"/>
        <v>0</v>
      </c>
      <c r="I47" s="114" t="s">
        <v>489</v>
      </c>
      <c r="K47" s="758"/>
      <c r="L47" s="758"/>
      <c r="M47" s="758"/>
      <c r="N47" s="565">
        <f>'BP1'!H35</f>
        <v>0</v>
      </c>
      <c r="O47" s="567">
        <f>'BP1'!I35</f>
        <v>0</v>
      </c>
      <c r="P47" s="567">
        <f>'BP1'!J35</f>
        <v>0</v>
      </c>
      <c r="Q47" s="565">
        <f>'BP2'!H35</f>
        <v>0</v>
      </c>
      <c r="R47" s="567">
        <f>'BP2'!I35</f>
        <v>0</v>
      </c>
      <c r="S47" s="567">
        <f>'BP2'!J35</f>
        <v>0</v>
      </c>
      <c r="T47" s="565">
        <f>'BP3'!H35</f>
        <v>0</v>
      </c>
      <c r="U47" s="567">
        <f>'BP3'!I35</f>
        <v>0</v>
      </c>
      <c r="V47" s="567">
        <f>'BP3'!J35</f>
        <v>0</v>
      </c>
      <c r="W47" s="565">
        <f>'BP4'!H35</f>
        <v>0</v>
      </c>
      <c r="X47" s="567">
        <f>'BP4'!I35</f>
        <v>0</v>
      </c>
      <c r="Y47" s="567">
        <f>'BP4'!J35</f>
        <v>0</v>
      </c>
      <c r="Z47" s="565">
        <f>'BP5'!H35</f>
        <v>0</v>
      </c>
      <c r="AA47" s="567">
        <f>'BP5'!I35</f>
        <v>0</v>
      </c>
      <c r="AB47" s="567">
        <f>'BP5'!J35</f>
        <v>0</v>
      </c>
      <c r="AC47" s="565">
        <f>N47+Q47+T47+W47+Z47</f>
        <v>0</v>
      </c>
      <c r="AD47" s="567">
        <f>O47+R47+U47+X47+AA47</f>
        <v>0</v>
      </c>
      <c r="AE47" s="567">
        <f>P47+S47+V47+Y47+AB47</f>
        <v>0</v>
      </c>
    </row>
    <row r="48" spans="1:31" hidden="1">
      <c r="A48" s="62" t="str">
        <f>CONCATENATE('BP1'!$D$36," Salary")</f>
        <v>Other Professional Salary</v>
      </c>
      <c r="B48" s="415">
        <f>'BP1'!$K$36</f>
        <v>0</v>
      </c>
      <c r="C48" s="415">
        <f ca="1">'BP2'!$K$36</f>
        <v>0</v>
      </c>
      <c r="D48" s="415">
        <f ca="1">'BP3'!$K$36</f>
        <v>0</v>
      </c>
      <c r="E48" s="415">
        <f ca="1">'BP4'!$K$36</f>
        <v>0</v>
      </c>
      <c r="F48" s="416">
        <f ca="1">'BP5'!$K$36</f>
        <v>0</v>
      </c>
      <c r="G48" s="415">
        <f t="shared" ca="1" si="0"/>
        <v>0</v>
      </c>
      <c r="I48" s="114" t="s">
        <v>489</v>
      </c>
      <c r="K48" s="758" t="str">
        <f>'BP1'!$D$36</f>
        <v>Other Professional</v>
      </c>
      <c r="L48" s="758"/>
      <c r="M48" s="758"/>
      <c r="N48" s="564" t="s">
        <v>2</v>
      </c>
      <c r="O48" s="566" t="s">
        <v>194</v>
      </c>
      <c r="P48" s="566" t="s">
        <v>195</v>
      </c>
      <c r="Q48" s="564" t="s">
        <v>2</v>
      </c>
      <c r="R48" s="566" t="s">
        <v>194</v>
      </c>
      <c r="S48" s="566" t="s">
        <v>195</v>
      </c>
      <c r="T48" s="564" t="s">
        <v>2</v>
      </c>
      <c r="U48" s="566" t="s">
        <v>194</v>
      </c>
      <c r="V48" s="566" t="s">
        <v>195</v>
      </c>
      <c r="W48" s="564" t="s">
        <v>2</v>
      </c>
      <c r="X48" s="566" t="s">
        <v>194</v>
      </c>
      <c r="Y48" s="566" t="s">
        <v>195</v>
      </c>
      <c r="Z48" s="564" t="s">
        <v>2</v>
      </c>
      <c r="AA48" s="566" t="s">
        <v>194</v>
      </c>
      <c r="AB48" s="566" t="s">
        <v>195</v>
      </c>
      <c r="AC48" s="564" t="s">
        <v>2</v>
      </c>
      <c r="AD48" s="566" t="s">
        <v>194</v>
      </c>
      <c r="AE48" s="566" t="s">
        <v>195</v>
      </c>
    </row>
    <row r="49" spans="1:31" hidden="1">
      <c r="A49" s="62" t="str">
        <f>CONCATENATE('BP1'!$D$36," Fringe")</f>
        <v>Other Professional Fringe</v>
      </c>
      <c r="B49" s="415">
        <f>'BP1'!$L$36</f>
        <v>0</v>
      </c>
      <c r="C49" s="415">
        <f>'BP2'!$L$36</f>
        <v>0</v>
      </c>
      <c r="D49" s="415">
        <f>'BP3'!$L$36</f>
        <v>0</v>
      </c>
      <c r="E49" s="415">
        <f>'BP4'!$L$36</f>
        <v>0</v>
      </c>
      <c r="F49" s="416">
        <f>'BP5'!$L$36</f>
        <v>0</v>
      </c>
      <c r="G49" s="415">
        <f t="shared" si="0"/>
        <v>0</v>
      </c>
      <c r="I49" s="114" t="s">
        <v>489</v>
      </c>
      <c r="K49" s="758"/>
      <c r="L49" s="758"/>
      <c r="M49" s="758"/>
      <c r="N49" s="565">
        <f>'BP1'!H36</f>
        <v>0</v>
      </c>
      <c r="O49" s="567">
        <f>'BP1'!I36</f>
        <v>0</v>
      </c>
      <c r="P49" s="567">
        <f>'BP1'!J36</f>
        <v>0</v>
      </c>
      <c r="Q49" s="565">
        <f>'BP2'!H36</f>
        <v>0</v>
      </c>
      <c r="R49" s="567">
        <f>'BP2'!I36</f>
        <v>0</v>
      </c>
      <c r="S49" s="567">
        <f>'BP2'!J36</f>
        <v>0</v>
      </c>
      <c r="T49" s="565">
        <f>'BP3'!H36</f>
        <v>0</v>
      </c>
      <c r="U49" s="567">
        <f>'BP3'!I36</f>
        <v>0</v>
      </c>
      <c r="V49" s="567">
        <f>'BP3'!J36</f>
        <v>0</v>
      </c>
      <c r="W49" s="565">
        <f>'BP4'!H36</f>
        <v>0</v>
      </c>
      <c r="X49" s="567">
        <f>'BP4'!I36</f>
        <v>0</v>
      </c>
      <c r="Y49" s="567">
        <f>'BP4'!J36</f>
        <v>0</v>
      </c>
      <c r="Z49" s="565">
        <f>'BP5'!H36</f>
        <v>0</v>
      </c>
      <c r="AA49" s="567">
        <f>'BP5'!I36</f>
        <v>0</v>
      </c>
      <c r="AB49" s="567">
        <f>'BP5'!J36</f>
        <v>0</v>
      </c>
      <c r="AC49" s="565">
        <f>N49+Q49+T49+W49+Z49</f>
        <v>0</v>
      </c>
      <c r="AD49" s="567">
        <f>O49+R49+U49+X49+AA49</f>
        <v>0</v>
      </c>
      <c r="AE49" s="567">
        <f>P49+S49+V49+Y49+AB49</f>
        <v>0</v>
      </c>
    </row>
    <row r="50" spans="1:31" hidden="1">
      <c r="A50" s="62" t="str">
        <f>CONCATENATE('BP1'!$D$37," Salary")</f>
        <v>Other Professional Salary</v>
      </c>
      <c r="B50" s="415">
        <f>'BP1'!$K$37</f>
        <v>0</v>
      </c>
      <c r="C50" s="415">
        <f ca="1">'BP2'!$K$37</f>
        <v>0</v>
      </c>
      <c r="D50" s="415">
        <f ca="1">'BP3'!$K$37</f>
        <v>0</v>
      </c>
      <c r="E50" s="415">
        <f ca="1">'BP4'!$K$37</f>
        <v>0</v>
      </c>
      <c r="F50" s="416">
        <f ca="1">'BP5'!$K$37</f>
        <v>0</v>
      </c>
      <c r="G50" s="415">
        <f t="shared" ca="1" si="0"/>
        <v>0</v>
      </c>
      <c r="I50" s="114" t="s">
        <v>489</v>
      </c>
      <c r="K50" s="758" t="str">
        <f>'BP1'!$D$37</f>
        <v>Other Professional</v>
      </c>
      <c r="L50" s="758"/>
      <c r="M50" s="758"/>
      <c r="N50" s="564" t="s">
        <v>2</v>
      </c>
      <c r="O50" s="566" t="s">
        <v>194</v>
      </c>
      <c r="P50" s="566" t="s">
        <v>195</v>
      </c>
      <c r="Q50" s="564" t="s">
        <v>2</v>
      </c>
      <c r="R50" s="566" t="s">
        <v>194</v>
      </c>
      <c r="S50" s="566" t="s">
        <v>195</v>
      </c>
      <c r="T50" s="564" t="s">
        <v>2</v>
      </c>
      <c r="U50" s="566" t="s">
        <v>194</v>
      </c>
      <c r="V50" s="566" t="s">
        <v>195</v>
      </c>
      <c r="W50" s="564" t="s">
        <v>2</v>
      </c>
      <c r="X50" s="566" t="s">
        <v>194</v>
      </c>
      <c r="Y50" s="566" t="s">
        <v>195</v>
      </c>
      <c r="Z50" s="564" t="s">
        <v>2</v>
      </c>
      <c r="AA50" s="566" t="s">
        <v>194</v>
      </c>
      <c r="AB50" s="566" t="s">
        <v>195</v>
      </c>
      <c r="AC50" s="564" t="s">
        <v>2</v>
      </c>
      <c r="AD50" s="566" t="s">
        <v>194</v>
      </c>
      <c r="AE50" s="566" t="s">
        <v>195</v>
      </c>
    </row>
    <row r="51" spans="1:31" hidden="1">
      <c r="A51" s="62" t="str">
        <f>CONCATENATE('BP1'!$D$37," Fringe")</f>
        <v>Other Professional Fringe</v>
      </c>
      <c r="B51" s="415">
        <f>'BP1'!$L$37</f>
        <v>0</v>
      </c>
      <c r="C51" s="415">
        <f>'BP2'!$L$37</f>
        <v>0</v>
      </c>
      <c r="D51" s="415">
        <f>'BP3'!$L$37</f>
        <v>0</v>
      </c>
      <c r="E51" s="415">
        <f>'BP4'!$L$37</f>
        <v>0</v>
      </c>
      <c r="F51" s="416">
        <f>'BP5'!$L$37</f>
        <v>0</v>
      </c>
      <c r="G51" s="415">
        <f t="shared" si="0"/>
        <v>0</v>
      </c>
      <c r="I51" s="114" t="s">
        <v>489</v>
      </c>
      <c r="K51" s="758"/>
      <c r="L51" s="758"/>
      <c r="M51" s="758"/>
      <c r="N51" s="565">
        <f>'BP1'!H37</f>
        <v>0</v>
      </c>
      <c r="O51" s="567">
        <f>'BP1'!I37</f>
        <v>0</v>
      </c>
      <c r="P51" s="567">
        <f>'BP1'!J37</f>
        <v>0</v>
      </c>
      <c r="Q51" s="565">
        <f>'BP2'!H37</f>
        <v>0</v>
      </c>
      <c r="R51" s="567">
        <f>'BP2'!I37</f>
        <v>0</v>
      </c>
      <c r="S51" s="567">
        <f>'BP2'!J37</f>
        <v>0</v>
      </c>
      <c r="T51" s="565">
        <f>'BP3'!H37</f>
        <v>0</v>
      </c>
      <c r="U51" s="567">
        <f>'BP3'!I37</f>
        <v>0</v>
      </c>
      <c r="V51" s="567">
        <f>'BP3'!J37</f>
        <v>0</v>
      </c>
      <c r="W51" s="565">
        <f>'BP4'!H37</f>
        <v>0</v>
      </c>
      <c r="X51" s="567">
        <f>'BP4'!I37</f>
        <v>0</v>
      </c>
      <c r="Y51" s="567">
        <f>'BP4'!J37</f>
        <v>0</v>
      </c>
      <c r="Z51" s="565">
        <f>'BP5'!H37</f>
        <v>0</v>
      </c>
      <c r="AA51" s="567">
        <f>'BP5'!I37</f>
        <v>0</v>
      </c>
      <c r="AB51" s="567">
        <f>'BP5'!J37</f>
        <v>0</v>
      </c>
      <c r="AC51" s="565">
        <f>N51+Q51+T51+W51+Z51</f>
        <v>0</v>
      </c>
      <c r="AD51" s="567">
        <f>O51+R51+U51+X51+AA51</f>
        <v>0</v>
      </c>
      <c r="AE51" s="567">
        <f>P51+S51+V51+Y51+AB51</f>
        <v>0</v>
      </c>
    </row>
    <row r="52" spans="1:31">
      <c r="A52" s="62" t="str">
        <f>CONCATENATE('BP1'!$D$38," Salary")</f>
        <v>Graduate Student Salary</v>
      </c>
      <c r="B52" s="415">
        <f>'BP1'!$K$38</f>
        <v>0</v>
      </c>
      <c r="C52" s="415">
        <f ca="1">'BP2'!$K$38</f>
        <v>0</v>
      </c>
      <c r="D52" s="415">
        <f ca="1">'BP3'!$K$38</f>
        <v>0</v>
      </c>
      <c r="E52" s="415">
        <f ca="1">'BP4'!$K$38</f>
        <v>0</v>
      </c>
      <c r="F52" s="416">
        <f ca="1">'BP5'!$K$38</f>
        <v>0</v>
      </c>
      <c r="G52" s="415">
        <f t="shared" ca="1" si="0"/>
        <v>0</v>
      </c>
      <c r="I52" s="114" t="s">
        <v>215</v>
      </c>
      <c r="K52" s="758" t="str">
        <f>'BP1'!$D$38</f>
        <v>Graduate Student</v>
      </c>
      <c r="L52" s="758"/>
      <c r="M52" s="758"/>
      <c r="N52" s="564" t="s">
        <v>2</v>
      </c>
      <c r="O52" s="566" t="s">
        <v>194</v>
      </c>
      <c r="P52" s="566" t="s">
        <v>195</v>
      </c>
      <c r="Q52" s="564" t="s">
        <v>2</v>
      </c>
      <c r="R52" s="566" t="s">
        <v>194</v>
      </c>
      <c r="S52" s="566" t="s">
        <v>195</v>
      </c>
      <c r="T52" s="564" t="s">
        <v>2</v>
      </c>
      <c r="U52" s="566" t="s">
        <v>194</v>
      </c>
      <c r="V52" s="566" t="s">
        <v>195</v>
      </c>
      <c r="W52" s="564" t="s">
        <v>2</v>
      </c>
      <c r="X52" s="566" t="s">
        <v>194</v>
      </c>
      <c r="Y52" s="566" t="s">
        <v>195</v>
      </c>
      <c r="Z52" s="564" t="s">
        <v>2</v>
      </c>
      <c r="AA52" s="566" t="s">
        <v>194</v>
      </c>
      <c r="AB52" s="566" t="s">
        <v>195</v>
      </c>
      <c r="AC52" s="564" t="s">
        <v>2</v>
      </c>
      <c r="AD52" s="566" t="s">
        <v>194</v>
      </c>
      <c r="AE52" s="566" t="s">
        <v>195</v>
      </c>
    </row>
    <row r="53" spans="1:31">
      <c r="A53" s="62" t="str">
        <f>CONCATENATE('BP1'!$D$38," Fringe")</f>
        <v>Graduate Student Fringe</v>
      </c>
      <c r="B53" s="415">
        <f>'BP1'!$L$38</f>
        <v>0</v>
      </c>
      <c r="C53" s="415">
        <f ca="1">'BP2'!$L$38</f>
        <v>0</v>
      </c>
      <c r="D53" s="415">
        <f ca="1">'BP3'!$L$38</f>
        <v>0</v>
      </c>
      <c r="E53" s="415">
        <f ca="1">'BP4'!$L$38</f>
        <v>0</v>
      </c>
      <c r="F53" s="416">
        <f ca="1">'BP5'!$L$38</f>
        <v>0</v>
      </c>
      <c r="G53" s="415">
        <f t="shared" ca="1" si="0"/>
        <v>0</v>
      </c>
      <c r="I53" s="114" t="s">
        <v>215</v>
      </c>
      <c r="K53" s="758"/>
      <c r="L53" s="758"/>
      <c r="M53" s="758"/>
      <c r="N53" s="565">
        <f>'BP1'!H38</f>
        <v>0</v>
      </c>
      <c r="O53" s="567">
        <f>'BP1'!I38</f>
        <v>0</v>
      </c>
      <c r="P53" s="567">
        <f>'BP1'!J38</f>
        <v>0</v>
      </c>
      <c r="Q53" s="565">
        <f>'BP2'!H38</f>
        <v>0</v>
      </c>
      <c r="R53" s="567">
        <f>'BP2'!I38</f>
        <v>0</v>
      </c>
      <c r="S53" s="567">
        <f>'BP2'!J38</f>
        <v>0</v>
      </c>
      <c r="T53" s="565">
        <f>'BP3'!H38</f>
        <v>0</v>
      </c>
      <c r="U53" s="567">
        <f>'BP3'!I38</f>
        <v>0</v>
      </c>
      <c r="V53" s="567">
        <f>'BP3'!J38</f>
        <v>0</v>
      </c>
      <c r="W53" s="565">
        <f>'BP4'!H38</f>
        <v>0</v>
      </c>
      <c r="X53" s="567">
        <f>'BP4'!I38</f>
        <v>0</v>
      </c>
      <c r="Y53" s="567">
        <f>'BP4'!J38</f>
        <v>0</v>
      </c>
      <c r="Z53" s="565">
        <f>'BP5'!H38</f>
        <v>0</v>
      </c>
      <c r="AA53" s="567">
        <f>'BP5'!I38</f>
        <v>0</v>
      </c>
      <c r="AB53" s="567">
        <f>'BP5'!J38</f>
        <v>0</v>
      </c>
      <c r="AC53" s="565">
        <f>N53+Q53+T53+W53+Z53</f>
        <v>0</v>
      </c>
      <c r="AD53" s="567">
        <f>O53+R53+U53+X53+AA53</f>
        <v>0</v>
      </c>
      <c r="AE53" s="567">
        <f>P53+S53+V53+Y53+AB53</f>
        <v>0</v>
      </c>
    </row>
    <row r="54" spans="1:31" ht="15.75" customHeight="1">
      <c r="A54" s="62" t="str">
        <f>CONCATENATE('BP1'!$D$39," Salary")</f>
        <v>Undergraduate Student Salary</v>
      </c>
      <c r="B54" s="415">
        <f>'BP1'!$K$39</f>
        <v>0</v>
      </c>
      <c r="C54" s="415">
        <f ca="1">'BP2'!$K$39</f>
        <v>0</v>
      </c>
      <c r="D54" s="415">
        <f ca="1">'BP3'!$K$39</f>
        <v>0</v>
      </c>
      <c r="E54" s="415">
        <f ca="1">'BP4'!$K$39</f>
        <v>0</v>
      </c>
      <c r="F54" s="416">
        <f ca="1">'BP5'!$K$39</f>
        <v>0</v>
      </c>
      <c r="G54" s="415">
        <f t="shared" ca="1" si="0"/>
        <v>0</v>
      </c>
      <c r="I54" s="114" t="s">
        <v>215</v>
      </c>
      <c r="K54" s="759" t="str">
        <f>'BP1'!$D$39</f>
        <v>Undergraduate Student</v>
      </c>
      <c r="L54" s="760"/>
      <c r="M54" s="761"/>
      <c r="N54" s="564" t="s">
        <v>2</v>
      </c>
      <c r="O54" s="566" t="s">
        <v>194</v>
      </c>
      <c r="P54" s="566" t="s">
        <v>195</v>
      </c>
      <c r="Q54" s="564" t="s">
        <v>2</v>
      </c>
      <c r="R54" s="566" t="s">
        <v>194</v>
      </c>
      <c r="S54" s="566" t="s">
        <v>195</v>
      </c>
      <c r="T54" s="564" t="s">
        <v>2</v>
      </c>
      <c r="U54" s="566" t="s">
        <v>194</v>
      </c>
      <c r="V54" s="566" t="s">
        <v>195</v>
      </c>
      <c r="W54" s="564" t="s">
        <v>2</v>
      </c>
      <c r="X54" s="566" t="s">
        <v>194</v>
      </c>
      <c r="Y54" s="566" t="s">
        <v>195</v>
      </c>
      <c r="Z54" s="564" t="s">
        <v>2</v>
      </c>
      <c r="AA54" s="566" t="s">
        <v>194</v>
      </c>
      <c r="AB54" s="566" t="s">
        <v>195</v>
      </c>
      <c r="AC54" s="564" t="s">
        <v>2</v>
      </c>
      <c r="AD54" s="566" t="s">
        <v>194</v>
      </c>
      <c r="AE54" s="566" t="s">
        <v>195</v>
      </c>
    </row>
    <row r="55" spans="1:31" ht="15.75" customHeight="1">
      <c r="A55" s="63" t="str">
        <f>CONCATENATE('BP1'!$D$39," Fringe")</f>
        <v>Undergraduate Student Fringe</v>
      </c>
      <c r="B55" s="585"/>
      <c r="C55" s="585"/>
      <c r="D55" s="585"/>
      <c r="E55" s="585"/>
      <c r="F55" s="585"/>
      <c r="G55" s="585"/>
      <c r="I55" s="114" t="s">
        <v>215</v>
      </c>
      <c r="K55" s="762"/>
      <c r="L55" s="763"/>
      <c r="M55" s="764"/>
      <c r="N55" s="565">
        <f>'BP1'!H39</f>
        <v>0</v>
      </c>
      <c r="O55" s="567">
        <f>'BP1'!I39</f>
        <v>0</v>
      </c>
      <c r="P55" s="567">
        <f>'BP1'!J39</f>
        <v>0</v>
      </c>
      <c r="Q55" s="565">
        <f>'BP2'!H39</f>
        <v>0</v>
      </c>
      <c r="R55" s="567">
        <f>'BP2'!I39</f>
        <v>0</v>
      </c>
      <c r="S55" s="567">
        <f>'BP2'!J39</f>
        <v>0</v>
      </c>
      <c r="T55" s="565">
        <f>'BP3'!H39</f>
        <v>0</v>
      </c>
      <c r="U55" s="567">
        <f>'BP3'!I39</f>
        <v>0</v>
      </c>
      <c r="V55" s="567">
        <f>'BP3'!J39</f>
        <v>0</v>
      </c>
      <c r="W55" s="565">
        <f>'BP4'!H39</f>
        <v>0</v>
      </c>
      <c r="X55" s="567">
        <f>'BP4'!I39</f>
        <v>0</v>
      </c>
      <c r="Y55" s="567">
        <f>'BP4'!J39</f>
        <v>0</v>
      </c>
      <c r="Z55" s="565">
        <f>'BP5'!H39</f>
        <v>0</v>
      </c>
      <c r="AA55" s="567">
        <f>'BP5'!I39</f>
        <v>0</v>
      </c>
      <c r="AB55" s="567">
        <f>'BP5'!J39</f>
        <v>0</v>
      </c>
      <c r="AC55" s="565">
        <f>N55+Q55+T55+W55+Z55</f>
        <v>0</v>
      </c>
      <c r="AD55" s="567">
        <f>O55+R55+U55+X55+AA55</f>
        <v>0</v>
      </c>
      <c r="AE55" s="567">
        <f>P55+S55+V55+Y55+AB55</f>
        <v>0</v>
      </c>
    </row>
    <row r="56" spans="1:31">
      <c r="A56" s="62" t="str">
        <f>CONCATENATE('BP1'!$D$40," Salary")</f>
        <v>Other (Carrying Statutory Benefits) Salary</v>
      </c>
      <c r="B56" s="415">
        <f>'BP1'!$K$40</f>
        <v>0</v>
      </c>
      <c r="C56" s="415">
        <f ca="1">'BP2'!$K$40</f>
        <v>0</v>
      </c>
      <c r="D56" s="415">
        <f ca="1">'BP3'!$K$40</f>
        <v>0</v>
      </c>
      <c r="E56" s="415">
        <f ca="1">'BP4'!$K$40</f>
        <v>0</v>
      </c>
      <c r="F56" s="416">
        <f ca="1">'BP5'!$K$40</f>
        <v>0</v>
      </c>
      <c r="G56" s="415">
        <f t="shared" ca="1" si="0"/>
        <v>0</v>
      </c>
      <c r="I56" s="114" t="s">
        <v>215</v>
      </c>
      <c r="K56" s="758" t="str">
        <f>'BP1'!$D$40</f>
        <v>Other (Carrying Statutory Benefits)</v>
      </c>
      <c r="L56" s="758"/>
      <c r="M56" s="758"/>
      <c r="N56" s="564" t="s">
        <v>2</v>
      </c>
      <c r="O56" s="566" t="s">
        <v>194</v>
      </c>
      <c r="P56" s="566" t="s">
        <v>195</v>
      </c>
      <c r="Q56" s="564" t="s">
        <v>2</v>
      </c>
      <c r="R56" s="566" t="s">
        <v>194</v>
      </c>
      <c r="S56" s="566" t="s">
        <v>195</v>
      </c>
      <c r="T56" s="564" t="s">
        <v>2</v>
      </c>
      <c r="U56" s="566" t="s">
        <v>194</v>
      </c>
      <c r="V56" s="566" t="s">
        <v>195</v>
      </c>
      <c r="W56" s="564" t="s">
        <v>2</v>
      </c>
      <c r="X56" s="566" t="s">
        <v>194</v>
      </c>
      <c r="Y56" s="566" t="s">
        <v>195</v>
      </c>
      <c r="Z56" s="564" t="s">
        <v>2</v>
      </c>
      <c r="AA56" s="566" t="s">
        <v>194</v>
      </c>
      <c r="AB56" s="566" t="s">
        <v>195</v>
      </c>
      <c r="AC56" s="564" t="s">
        <v>2</v>
      </c>
      <c r="AD56" s="566" t="s">
        <v>194</v>
      </c>
      <c r="AE56" s="566" t="s">
        <v>195</v>
      </c>
    </row>
    <row r="57" spans="1:31">
      <c r="A57" s="63" t="str">
        <f>CONCATENATE('BP1'!$D$40," Fringe")</f>
        <v>Other (Carrying Statutory Benefits) Fringe</v>
      </c>
      <c r="B57" s="421">
        <f>'BP1'!$L$40</f>
        <v>0</v>
      </c>
      <c r="C57" s="421">
        <f ca="1">'BP2'!$L$40</f>
        <v>0</v>
      </c>
      <c r="D57" s="421">
        <f ca="1">'BP3'!$L$40</f>
        <v>0</v>
      </c>
      <c r="E57" s="421">
        <f ca="1">'BP4'!$L$40</f>
        <v>0</v>
      </c>
      <c r="F57" s="422">
        <f ca="1">'BP5'!$L$40</f>
        <v>0</v>
      </c>
      <c r="G57" s="421">
        <f t="shared" ca="1" si="0"/>
        <v>0</v>
      </c>
      <c r="I57" s="114" t="s">
        <v>215</v>
      </c>
      <c r="K57" s="758"/>
      <c r="L57" s="758"/>
      <c r="M57" s="758"/>
      <c r="N57" s="565">
        <f>'BP1'!H40</f>
        <v>0</v>
      </c>
      <c r="O57" s="567">
        <f>'BP1'!I40</f>
        <v>0</v>
      </c>
      <c r="P57" s="567">
        <f>'BP1'!J40</f>
        <v>0</v>
      </c>
      <c r="Q57" s="565">
        <f>'BP2'!H40</f>
        <v>0</v>
      </c>
      <c r="R57" s="567">
        <f>'BP2'!I40</f>
        <v>0</v>
      </c>
      <c r="S57" s="567">
        <f>'BP2'!J40</f>
        <v>0</v>
      </c>
      <c r="T57" s="565">
        <f>'BP3'!H40</f>
        <v>0</v>
      </c>
      <c r="U57" s="567">
        <f>'BP3'!I40</f>
        <v>0</v>
      </c>
      <c r="V57" s="567">
        <f>'BP3'!J40</f>
        <v>0</v>
      </c>
      <c r="W57" s="565">
        <f>'BP4'!H40</f>
        <v>0</v>
      </c>
      <c r="X57" s="567">
        <f>'BP4'!I40</f>
        <v>0</v>
      </c>
      <c r="Y57" s="567">
        <f>'BP4'!J40</f>
        <v>0</v>
      </c>
      <c r="Z57" s="565">
        <f>'BP5'!H40</f>
        <v>0</v>
      </c>
      <c r="AA57" s="567">
        <f>'BP5'!I40</f>
        <v>0</v>
      </c>
      <c r="AB57" s="567">
        <f>'BP5'!J40</f>
        <v>0</v>
      </c>
      <c r="AC57" s="565">
        <f>N57+Q57+T57+W57+Z57</f>
        <v>0</v>
      </c>
      <c r="AD57" s="567">
        <f>O57+R57+U57+X57+AA57</f>
        <v>0</v>
      </c>
      <c r="AE57" s="567">
        <f>P57+S57+V57+Y57+AB57</f>
        <v>0</v>
      </c>
    </row>
    <row r="58" spans="1:31">
      <c r="A58" s="66" t="s">
        <v>86</v>
      </c>
      <c r="B58" s="423">
        <f>'BP1'!K41</f>
        <v>0</v>
      </c>
      <c r="C58" s="423">
        <f>'BP2'!K41</f>
        <v>0</v>
      </c>
      <c r="D58" s="423">
        <f>'BP3'!K41</f>
        <v>0</v>
      </c>
      <c r="E58" s="423">
        <f>'BP4'!K41</f>
        <v>0</v>
      </c>
      <c r="F58" s="424">
        <f>'BP5'!K41</f>
        <v>0</v>
      </c>
      <c r="G58" s="423">
        <f t="shared" si="0"/>
        <v>0</v>
      </c>
      <c r="I58" s="114" t="s">
        <v>215</v>
      </c>
    </row>
    <row r="59" spans="1:31">
      <c r="A59" s="61" t="s">
        <v>87</v>
      </c>
      <c r="B59" s="425">
        <f>'BP1'!K42</f>
        <v>0</v>
      </c>
      <c r="C59" s="425">
        <f>'BP2'!K42</f>
        <v>0</v>
      </c>
      <c r="D59" s="425">
        <f>'BP3'!K42</f>
        <v>0</v>
      </c>
      <c r="E59" s="425">
        <f>'BP4'!K42</f>
        <v>0</v>
      </c>
      <c r="F59" s="426">
        <f>'BP5'!K42</f>
        <v>0</v>
      </c>
      <c r="G59" s="425">
        <f t="shared" si="0"/>
        <v>0</v>
      </c>
      <c r="I59" s="114" t="s">
        <v>215</v>
      </c>
    </row>
    <row r="60" spans="1:31">
      <c r="A60" s="66" t="s">
        <v>96</v>
      </c>
      <c r="B60" s="423">
        <f>'BP1'!K43</f>
        <v>0</v>
      </c>
      <c r="C60" s="423">
        <f>'BP2'!K43</f>
        <v>0</v>
      </c>
      <c r="D60" s="423">
        <f>'BP3'!K43</f>
        <v>0</v>
      </c>
      <c r="E60" s="423">
        <f>'BP4'!K43</f>
        <v>0</v>
      </c>
      <c r="F60" s="424">
        <f>'BP5'!K43</f>
        <v>0</v>
      </c>
      <c r="G60" s="423">
        <f t="shared" si="0"/>
        <v>0</v>
      </c>
      <c r="I60" s="114" t="s">
        <v>215</v>
      </c>
    </row>
    <row r="61" spans="1:31">
      <c r="A61" s="60"/>
      <c r="B61" s="392"/>
      <c r="C61" s="392"/>
      <c r="D61" s="392"/>
      <c r="E61" s="392"/>
      <c r="F61" s="392"/>
      <c r="G61" s="392"/>
      <c r="I61" s="114" t="s">
        <v>215</v>
      </c>
    </row>
    <row r="62" spans="1:31">
      <c r="A62" s="62" t="str">
        <f>'BP1'!$A$44</f>
        <v>Capital Equipment</v>
      </c>
      <c r="B62" s="415">
        <f>'BP1'!K50</f>
        <v>0</v>
      </c>
      <c r="C62" s="415">
        <f>'BP2'!K50</f>
        <v>0</v>
      </c>
      <c r="D62" s="415">
        <f>'BP3'!K50</f>
        <v>0</v>
      </c>
      <c r="E62" s="415">
        <f>'BP4'!K50</f>
        <v>0</v>
      </c>
      <c r="F62" s="416">
        <f>'BP5'!K50</f>
        <v>0</v>
      </c>
      <c r="G62" s="415">
        <f t="shared" si="0"/>
        <v>0</v>
      </c>
      <c r="I62" s="114" t="s">
        <v>215</v>
      </c>
    </row>
    <row r="63" spans="1:31">
      <c r="A63" s="75" t="s">
        <v>144</v>
      </c>
      <c r="B63" s="427">
        <f>'BP1'!K50</f>
        <v>0</v>
      </c>
      <c r="C63" s="427">
        <f>'BP2'!K50</f>
        <v>0</v>
      </c>
      <c r="D63" s="427">
        <f>'BP3'!K50</f>
        <v>0</v>
      </c>
      <c r="E63" s="427">
        <f>'BP4'!K50</f>
        <v>0</v>
      </c>
      <c r="F63" s="427">
        <f>'BP5'!K50</f>
        <v>0</v>
      </c>
      <c r="G63" s="427">
        <f t="shared" si="0"/>
        <v>0</v>
      </c>
      <c r="I63" s="114" t="s">
        <v>215</v>
      </c>
    </row>
    <row r="64" spans="1:31">
      <c r="A64" s="74"/>
      <c r="B64" s="428"/>
      <c r="C64" s="428"/>
      <c r="D64" s="428"/>
      <c r="E64" s="428"/>
      <c r="F64" s="428"/>
      <c r="G64" s="428"/>
      <c r="I64" s="114" t="s">
        <v>215</v>
      </c>
    </row>
    <row r="65" spans="1:9">
      <c r="A65" s="62" t="str">
        <f>'BP1'!$H$51</f>
        <v>Domestic Travel</v>
      </c>
      <c r="B65" s="415">
        <f>'BP1'!K51</f>
        <v>0</v>
      </c>
      <c r="C65" s="415">
        <f>'BP2'!K51</f>
        <v>0</v>
      </c>
      <c r="D65" s="415">
        <f>'BP3'!K51</f>
        <v>0</v>
      </c>
      <c r="E65" s="415">
        <f>'BP4'!K51</f>
        <v>0</v>
      </c>
      <c r="F65" s="416">
        <f>'BP5'!K51</f>
        <v>0</v>
      </c>
      <c r="G65" s="415">
        <f t="shared" si="0"/>
        <v>0</v>
      </c>
      <c r="I65" s="114" t="s">
        <v>215</v>
      </c>
    </row>
    <row r="66" spans="1:9">
      <c r="A66" s="62" t="str">
        <f>'BP1'!$H$52</f>
        <v>Foreign Travel</v>
      </c>
      <c r="B66" s="415">
        <f>'BP1'!K52</f>
        <v>0</v>
      </c>
      <c r="C66" s="415">
        <f>'BP2'!K52</f>
        <v>0</v>
      </c>
      <c r="D66" s="415">
        <f>'BP3'!K52</f>
        <v>0</v>
      </c>
      <c r="E66" s="415">
        <f>'BP4'!K52</f>
        <v>0</v>
      </c>
      <c r="F66" s="416">
        <f>'BP5'!K52</f>
        <v>0</v>
      </c>
      <c r="G66" s="415">
        <f t="shared" si="0"/>
        <v>0</v>
      </c>
      <c r="I66" s="114" t="s">
        <v>215</v>
      </c>
    </row>
    <row r="67" spans="1:9">
      <c r="A67" s="75" t="str">
        <f>'BP1'!H53</f>
        <v>Total Travel</v>
      </c>
      <c r="B67" s="427">
        <f>'BP1'!K53</f>
        <v>0</v>
      </c>
      <c r="C67" s="427">
        <f>'BP2'!K53</f>
        <v>0</v>
      </c>
      <c r="D67" s="427">
        <f>'BP3'!K53</f>
        <v>0</v>
      </c>
      <c r="E67" s="427">
        <f>'BP4'!K53</f>
        <v>0</v>
      </c>
      <c r="F67" s="427">
        <f>'BP5'!K53</f>
        <v>0</v>
      </c>
      <c r="G67" s="427">
        <f t="shared" si="0"/>
        <v>0</v>
      </c>
      <c r="I67" s="114" t="s">
        <v>215</v>
      </c>
    </row>
    <row r="68" spans="1:9">
      <c r="A68" s="74"/>
      <c r="B68" s="428"/>
      <c r="C68" s="428"/>
      <c r="D68" s="428"/>
      <c r="E68" s="428"/>
      <c r="F68" s="428"/>
      <c r="G68" s="428"/>
      <c r="I68" s="114" t="s">
        <v>215</v>
      </c>
    </row>
    <row r="69" spans="1:9">
      <c r="A69" s="62" t="str">
        <f>'BP1'!$C$55</f>
        <v>Materials and Supplies</v>
      </c>
      <c r="B69" s="415">
        <f>'BP1'!K55</f>
        <v>0</v>
      </c>
      <c r="C69" s="415">
        <f>'BP2'!K55</f>
        <v>0</v>
      </c>
      <c r="D69" s="415">
        <f>'BP3'!K55</f>
        <v>0</v>
      </c>
      <c r="E69" s="415">
        <f>'BP4'!K55</f>
        <v>0</v>
      </c>
      <c r="F69" s="416">
        <f>'BP5'!K55</f>
        <v>0</v>
      </c>
      <c r="G69" s="415">
        <f t="shared" si="0"/>
        <v>0</v>
      </c>
      <c r="I69" s="114" t="s">
        <v>215</v>
      </c>
    </row>
    <row r="70" spans="1:9">
      <c r="A70" s="62" t="str">
        <f>'BP1'!$C$56</f>
        <v>Publication Costs</v>
      </c>
      <c r="B70" s="415">
        <f>'BP1'!K56</f>
        <v>0</v>
      </c>
      <c r="C70" s="415">
        <f>'BP2'!K56</f>
        <v>0</v>
      </c>
      <c r="D70" s="415">
        <f>'BP3'!K56</f>
        <v>0</v>
      </c>
      <c r="E70" s="415">
        <f>'BP4'!K56</f>
        <v>0</v>
      </c>
      <c r="F70" s="416">
        <f>'BP5'!K56</f>
        <v>0</v>
      </c>
      <c r="G70" s="415">
        <f t="shared" si="0"/>
        <v>0</v>
      </c>
      <c r="H70" s="60"/>
      <c r="I70" s="114" t="s">
        <v>215</v>
      </c>
    </row>
    <row r="71" spans="1:9">
      <c r="A71" s="62" t="str">
        <f>'BP1'!$C$57</f>
        <v>Consultant Services</v>
      </c>
      <c r="B71" s="415">
        <f>'BP1'!K57</f>
        <v>0</v>
      </c>
      <c r="C71" s="415">
        <f>'BP2'!K57</f>
        <v>0</v>
      </c>
      <c r="D71" s="415">
        <f>'BP3'!K57</f>
        <v>0</v>
      </c>
      <c r="E71" s="415">
        <f>'BP4'!K57</f>
        <v>0</v>
      </c>
      <c r="F71" s="416">
        <f>'BP5'!K57</f>
        <v>0</v>
      </c>
      <c r="G71" s="415">
        <f t="shared" si="0"/>
        <v>0</v>
      </c>
      <c r="I71" s="114" t="s">
        <v>215</v>
      </c>
    </row>
    <row r="72" spans="1:9">
      <c r="A72" s="62" t="str">
        <f>'BP1'!$C$58</f>
        <v>Computer Services</v>
      </c>
      <c r="B72" s="415">
        <f>'BP1'!K58</f>
        <v>0</v>
      </c>
      <c r="C72" s="415">
        <f>'BP2'!K58</f>
        <v>0</v>
      </c>
      <c r="D72" s="415">
        <f>'BP3'!K58</f>
        <v>0</v>
      </c>
      <c r="E72" s="415">
        <f>'BP4'!K58</f>
        <v>0</v>
      </c>
      <c r="F72" s="416">
        <f>'BP5'!K58</f>
        <v>0</v>
      </c>
      <c r="G72" s="415">
        <f t="shared" si="0"/>
        <v>0</v>
      </c>
      <c r="I72" s="114" t="s">
        <v>215</v>
      </c>
    </row>
    <row r="73" spans="1:9">
      <c r="A73" s="62" t="str">
        <f>'BP1'!$C$59</f>
        <v>Tuition</v>
      </c>
      <c r="B73" s="415">
        <f>'BP1'!K59</f>
        <v>0</v>
      </c>
      <c r="C73" s="415">
        <f>'BP2'!K59</f>
        <v>0</v>
      </c>
      <c r="D73" s="415">
        <f>'BP3'!K59</f>
        <v>0</v>
      </c>
      <c r="E73" s="415">
        <f>'BP4'!K59</f>
        <v>0</v>
      </c>
      <c r="F73" s="416">
        <f>'BP5'!K59</f>
        <v>0</v>
      </c>
      <c r="G73" s="415">
        <f t="shared" si="0"/>
        <v>0</v>
      </c>
      <c r="I73" s="114" t="s">
        <v>215</v>
      </c>
    </row>
    <row r="74" spans="1:9">
      <c r="A74" s="62" t="str">
        <f>'BP1'!$C$60</f>
        <v>MTDC Other</v>
      </c>
      <c r="B74" s="415">
        <f>'BP1'!K60</f>
        <v>0</v>
      </c>
      <c r="C74" s="415">
        <f>'BP2'!K60</f>
        <v>0</v>
      </c>
      <c r="D74" s="415">
        <f>'BP3'!K60</f>
        <v>0</v>
      </c>
      <c r="E74" s="415">
        <f>'BP4'!K60</f>
        <v>0</v>
      </c>
      <c r="F74" s="416">
        <f>'BP5'!K60</f>
        <v>0</v>
      </c>
      <c r="G74" s="415">
        <f t="shared" si="0"/>
        <v>0</v>
      </c>
      <c r="I74" s="114" t="s">
        <v>215</v>
      </c>
    </row>
    <row r="75" spans="1:9">
      <c r="A75" s="62" t="str">
        <f>'BP1'!$C$61</f>
        <v>Non-MTDC Other (no indirect costs)</v>
      </c>
      <c r="B75" s="415">
        <f>'BP1'!K61</f>
        <v>0</v>
      </c>
      <c r="C75" s="415">
        <f>'BP2'!K61</f>
        <v>0</v>
      </c>
      <c r="D75" s="415">
        <f>'BP3'!K61</f>
        <v>0</v>
      </c>
      <c r="E75" s="415">
        <f>'BP4'!K61</f>
        <v>0</v>
      </c>
      <c r="F75" s="416">
        <f>'BP5'!K61</f>
        <v>0</v>
      </c>
      <c r="G75" s="415">
        <f t="shared" si="0"/>
        <v>0</v>
      </c>
      <c r="I75" s="114" t="s">
        <v>215</v>
      </c>
    </row>
    <row r="76" spans="1:9" ht="15.75" customHeight="1">
      <c r="A76" s="62" t="str">
        <f>IF(G76&gt;0,"Subaward - "&amp;'Subaward Calculator'!B8,'BP1'!C62)</f>
        <v>Subaward I</v>
      </c>
      <c r="B76" s="415">
        <f>'BP1'!K62</f>
        <v>0</v>
      </c>
      <c r="C76" s="415">
        <f>IF('BP2'!K62="",0,'BP2'!K62)</f>
        <v>0</v>
      </c>
      <c r="D76" s="415">
        <f>IF('BP3'!K62="",0,'BP3'!K62)</f>
        <v>0</v>
      </c>
      <c r="E76" s="415">
        <f>IF('BP4'!K62="",0,'BP4'!K62)</f>
        <v>0</v>
      </c>
      <c r="F76" s="416">
        <f>IF('BP5'!K62="",0,'BP5'!K62)</f>
        <v>0</v>
      </c>
      <c r="G76" s="415">
        <f t="shared" si="0"/>
        <v>0</v>
      </c>
      <c r="I76" s="114" t="s">
        <v>215</v>
      </c>
    </row>
    <row r="77" spans="1:9" ht="15.75" hidden="1" customHeight="1">
      <c r="A77" s="62" t="str">
        <f>IF(G77&gt;0,"Subaward - "&amp;'Subaward Calculator'!B11,'BP1'!C63)</f>
        <v>Subaward II</v>
      </c>
      <c r="B77" s="415">
        <f>'BP1'!K63</f>
        <v>0</v>
      </c>
      <c r="C77" s="415">
        <f>IF('BP2'!K63="",0,'BP2'!K63)</f>
        <v>0</v>
      </c>
      <c r="D77" s="415">
        <f>IF('BP3'!K63="",0,'BP3'!K63)</f>
        <v>0</v>
      </c>
      <c r="E77" s="415">
        <f>IF('BP4'!K63="",0,'BP4'!K63)</f>
        <v>0</v>
      </c>
      <c r="F77" s="416">
        <f>IF('BP5'!K63="",0,'BP5'!K63)</f>
        <v>0</v>
      </c>
      <c r="G77" s="415">
        <f t="shared" si="0"/>
        <v>0</v>
      </c>
      <c r="I77" s="114" t="s">
        <v>217</v>
      </c>
    </row>
    <row r="78" spans="1:9" ht="15.75" hidden="1" customHeight="1">
      <c r="A78" s="62" t="str">
        <f>IF(G78&gt;0,"Subaward - "&amp;'Subaward Calculator'!B14,'BP1'!C64)</f>
        <v>Subaward III</v>
      </c>
      <c r="B78" s="415">
        <f>'BP1'!K64</f>
        <v>0</v>
      </c>
      <c r="C78" s="415">
        <f>IF('BP2'!K64="",0,'BP2'!K64)</f>
        <v>0</v>
      </c>
      <c r="D78" s="415">
        <f>IF('BP3'!K64="",0,'BP3'!K64)</f>
        <v>0</v>
      </c>
      <c r="E78" s="415">
        <f>IF('BP4'!K64="",0,'BP4'!K64)</f>
        <v>0</v>
      </c>
      <c r="F78" s="416">
        <f>IF('BP5'!K64="",0,'BP5'!K64)</f>
        <v>0</v>
      </c>
      <c r="G78" s="415">
        <f t="shared" si="0"/>
        <v>0</v>
      </c>
      <c r="I78" s="114" t="s">
        <v>217</v>
      </c>
    </row>
    <row r="79" spans="1:9" ht="15.75" hidden="1" customHeight="1">
      <c r="A79" s="62" t="str">
        <f>IF(G79&gt;0,"Subaward - "&amp;'Subaward Calculator'!B17,'BP1'!C65)</f>
        <v>Subaward IV</v>
      </c>
      <c r="B79" s="415">
        <f>'BP1'!K65</f>
        <v>0</v>
      </c>
      <c r="C79" s="415">
        <f>IF('BP2'!K65="",0,'BP2'!K65)</f>
        <v>0</v>
      </c>
      <c r="D79" s="415">
        <f>IF('BP3'!K65="",0,'BP3'!K65)</f>
        <v>0</v>
      </c>
      <c r="E79" s="415">
        <f>IF('BP4'!K65="",0,'BP4'!K65)</f>
        <v>0</v>
      </c>
      <c r="F79" s="416">
        <f>IF('BP5'!K65="",0,'BP5'!K65)</f>
        <v>0</v>
      </c>
      <c r="G79" s="415">
        <f t="shared" si="0"/>
        <v>0</v>
      </c>
      <c r="I79" s="114" t="s">
        <v>217</v>
      </c>
    </row>
    <row r="80" spans="1:9" ht="15.75" hidden="1" customHeight="1">
      <c r="A80" s="62" t="str">
        <f>IF(G80&gt;0,"Subaward - "&amp;'Subaward Calculator'!B20,'BP1'!C66)</f>
        <v>Subaward V</v>
      </c>
      <c r="B80" s="415">
        <f>'BP1'!K66</f>
        <v>0</v>
      </c>
      <c r="C80" s="415">
        <f>IF('BP2'!K66="",0,'BP2'!K66)</f>
        <v>0</v>
      </c>
      <c r="D80" s="415">
        <f>IF('BP3'!K66="",0,'BP3'!K66)</f>
        <v>0</v>
      </c>
      <c r="E80" s="415">
        <f>IF('BP4'!K66="",0,'BP4'!K66)</f>
        <v>0</v>
      </c>
      <c r="F80" s="416">
        <f>IF('BP5'!K66="",0,'BP5'!K66)</f>
        <v>0</v>
      </c>
      <c r="G80" s="415">
        <f t="shared" ref="G80:G94" si="1">SUM(B80:F80)</f>
        <v>0</v>
      </c>
      <c r="I80" s="114" t="s">
        <v>217</v>
      </c>
    </row>
    <row r="81" spans="1:9" ht="15.75" hidden="1" customHeight="1">
      <c r="A81" s="62" t="str">
        <f>IF(G81&gt;0,"Subaward - "&amp;'Subaward Calculator'!B23,'BP1'!C67)</f>
        <v>Subaward VI</v>
      </c>
      <c r="B81" s="415">
        <f>'BP1'!K67</f>
        <v>0</v>
      </c>
      <c r="C81" s="415">
        <f>IF('BP2'!K67="",0,'BP2'!K67)</f>
        <v>0</v>
      </c>
      <c r="D81" s="415">
        <f>IF('BP3'!K67="",0,'BP3'!K67)</f>
        <v>0</v>
      </c>
      <c r="E81" s="415">
        <f>IF('BP4'!K67="",0,'BP4'!K67)</f>
        <v>0</v>
      </c>
      <c r="F81" s="416">
        <f>IF('BP5'!K67="",0,'BP5'!K67)</f>
        <v>0</v>
      </c>
      <c r="G81" s="415">
        <f t="shared" si="1"/>
        <v>0</v>
      </c>
      <c r="I81" s="114" t="s">
        <v>217</v>
      </c>
    </row>
    <row r="82" spans="1:9" ht="15.75" hidden="1" customHeight="1">
      <c r="A82" s="62" t="str">
        <f>IF(G82&gt;0,"Subaward - "&amp;'Subaward Calculator'!B26,'BP1'!C68)</f>
        <v>Subaward VII</v>
      </c>
      <c r="B82" s="415">
        <f>'BP1'!K68</f>
        <v>0</v>
      </c>
      <c r="C82" s="415">
        <f>IF('BP2'!K68="",0,'BP2'!K68)</f>
        <v>0</v>
      </c>
      <c r="D82" s="415">
        <f>IF('BP3'!K68="",0,'BP3'!K68)</f>
        <v>0</v>
      </c>
      <c r="E82" s="415">
        <f>IF('BP4'!K68="",0,'BP4'!K68)</f>
        <v>0</v>
      </c>
      <c r="F82" s="416">
        <f>IF('BP5'!K68="",0,'BP5'!K68)</f>
        <v>0</v>
      </c>
      <c r="G82" s="415">
        <f t="shared" si="1"/>
        <v>0</v>
      </c>
      <c r="I82" s="114" t="s">
        <v>216</v>
      </c>
    </row>
    <row r="83" spans="1:9" ht="15.75" hidden="1" customHeight="1">
      <c r="A83" s="62" t="str">
        <f>IF(G83&gt;0,"Subaward - "&amp;'Subaward Calculator'!B29,'BP1'!C69)</f>
        <v>Subaward VIII</v>
      </c>
      <c r="B83" s="415">
        <f>'BP1'!K69</f>
        <v>0</v>
      </c>
      <c r="C83" s="415">
        <f>IF('BP2'!K69="",0,'BP2'!K69)</f>
        <v>0</v>
      </c>
      <c r="D83" s="415">
        <f>IF('BP3'!K69="",0,'BP3'!K69)</f>
        <v>0</v>
      </c>
      <c r="E83" s="415">
        <f>IF('BP4'!K69="",0,'BP4'!K69)</f>
        <v>0</v>
      </c>
      <c r="F83" s="416">
        <f>IF('BP5'!K69="",0,'BP5'!K69)</f>
        <v>0</v>
      </c>
      <c r="G83" s="415">
        <f t="shared" si="1"/>
        <v>0</v>
      </c>
      <c r="I83" s="114" t="s">
        <v>216</v>
      </c>
    </row>
    <row r="84" spans="1:9" ht="15.75" hidden="1" customHeight="1">
      <c r="A84" s="62" t="str">
        <f>IF(G84&gt;0,"Subaward - "&amp;'Subaward Calculator'!B32,'BP1'!C70)</f>
        <v>Subaward IX</v>
      </c>
      <c r="B84" s="415">
        <f>'BP1'!K70</f>
        <v>0</v>
      </c>
      <c r="C84" s="415">
        <f>IF('BP2'!K70="",0,'BP2'!K70)</f>
        <v>0</v>
      </c>
      <c r="D84" s="415">
        <f>IF('BP3'!K70="",0,'BP3'!K70)</f>
        <v>0</v>
      </c>
      <c r="E84" s="415">
        <f>IF('BP4'!K70="",0,'BP4'!K70)</f>
        <v>0</v>
      </c>
      <c r="F84" s="416">
        <f>IF('BP5'!K70="",0,'BP5'!K70)</f>
        <v>0</v>
      </c>
      <c r="G84" s="415">
        <f t="shared" si="1"/>
        <v>0</v>
      </c>
      <c r="I84" s="114" t="s">
        <v>216</v>
      </c>
    </row>
    <row r="85" spans="1:9" ht="15.75" hidden="1" customHeight="1">
      <c r="A85" s="62" t="str">
        <f>IF(G85&gt;0,"Subaward - "&amp;'Subaward Calculator'!B35,'BP1'!C71)</f>
        <v>Subaward X</v>
      </c>
      <c r="B85" s="415">
        <f>'BP1'!K71</f>
        <v>0</v>
      </c>
      <c r="C85" s="415">
        <f>IF('BP2'!K71="",0,'BP2'!K71)</f>
        <v>0</v>
      </c>
      <c r="D85" s="415">
        <f>IF('BP3'!K71="",0,'BP3'!K71)</f>
        <v>0</v>
      </c>
      <c r="E85" s="415">
        <f>IF('BP4'!K71="",0,'BP4'!K71)</f>
        <v>0</v>
      </c>
      <c r="F85" s="416">
        <f>IF('BP5'!K71="",0,'BP5'!K71)</f>
        <v>0</v>
      </c>
      <c r="G85" s="415">
        <f t="shared" si="1"/>
        <v>0</v>
      </c>
      <c r="I85" s="114" t="s">
        <v>216</v>
      </c>
    </row>
    <row r="86" spans="1:9" ht="15.75" hidden="1" customHeight="1">
      <c r="A86" s="62" t="str">
        <f>IF(G86&gt;0,"Subaward - "&amp;'Subaward Calculator'!B38,'BP1'!C72)</f>
        <v>Subaward XI</v>
      </c>
      <c r="B86" s="415">
        <f>'BP1'!K72</f>
        <v>0</v>
      </c>
      <c r="C86" s="415">
        <f>IF('BP2'!K72="",0,'BP2'!K72)</f>
        <v>0</v>
      </c>
      <c r="D86" s="415">
        <f>IF('BP3'!K72="",0,'BP3'!K72)</f>
        <v>0</v>
      </c>
      <c r="E86" s="415">
        <f>IF('BP4'!K72="",0,'BP4'!K72)</f>
        <v>0</v>
      </c>
      <c r="F86" s="416">
        <f>IF('BP5'!K72="",0,'BP5'!K72)</f>
        <v>0</v>
      </c>
      <c r="G86" s="415">
        <f t="shared" si="1"/>
        <v>0</v>
      </c>
      <c r="I86" s="114" t="s">
        <v>216</v>
      </c>
    </row>
    <row r="87" spans="1:9" ht="15.75" hidden="1" customHeight="1">
      <c r="A87" s="62" t="str">
        <f>IF(G87&gt;0,"Subaward - "&amp;'Subaward Calculator'!B41,'BP1'!C73)</f>
        <v>Subaward XII</v>
      </c>
      <c r="B87" s="415">
        <f>'BP1'!K73</f>
        <v>0</v>
      </c>
      <c r="C87" s="415">
        <f>IF('BP2'!K73="",0,'BP2'!K73)</f>
        <v>0</v>
      </c>
      <c r="D87" s="415">
        <f>IF('BP3'!K73="",0,'BP3'!K73)</f>
        <v>0</v>
      </c>
      <c r="E87" s="415">
        <f>IF('BP4'!K73="",0,'BP4'!K73)</f>
        <v>0</v>
      </c>
      <c r="F87" s="416">
        <f>IF('BP5'!K73="",0,'BP5'!K73)</f>
        <v>0</v>
      </c>
      <c r="G87" s="415">
        <f t="shared" si="1"/>
        <v>0</v>
      </c>
      <c r="I87" s="114" t="s">
        <v>216</v>
      </c>
    </row>
    <row r="88" spans="1:9">
      <c r="A88" s="66" t="s">
        <v>90</v>
      </c>
      <c r="B88" s="423">
        <f>'BP1'!K74</f>
        <v>0</v>
      </c>
      <c r="C88" s="423">
        <f>'BP2'!K74</f>
        <v>0</v>
      </c>
      <c r="D88" s="423">
        <f>'BP3'!K74</f>
        <v>0</v>
      </c>
      <c r="E88" s="423">
        <f>'BP4'!K74</f>
        <v>0</v>
      </c>
      <c r="F88" s="424">
        <f>'BP5'!K74</f>
        <v>0</v>
      </c>
      <c r="G88" s="423">
        <f t="shared" si="1"/>
        <v>0</v>
      </c>
      <c r="I88" s="114" t="s">
        <v>215</v>
      </c>
    </row>
    <row r="89" spans="1:9">
      <c r="A89" s="60"/>
      <c r="B89" s="392"/>
      <c r="C89" s="392"/>
      <c r="D89" s="392"/>
      <c r="E89" s="392"/>
      <c r="F89" s="392"/>
      <c r="G89" s="392"/>
      <c r="I89" s="114" t="s">
        <v>215</v>
      </c>
    </row>
    <row r="90" spans="1:9">
      <c r="A90" s="66" t="s">
        <v>577</v>
      </c>
      <c r="B90" s="423">
        <f>'BP1'!K75</f>
        <v>0</v>
      </c>
      <c r="C90" s="423">
        <f>'BP2'!K75</f>
        <v>0</v>
      </c>
      <c r="D90" s="423">
        <f>'BP3'!K75</f>
        <v>0</v>
      </c>
      <c r="E90" s="423">
        <f>'BP4'!K75</f>
        <v>0</v>
      </c>
      <c r="F90" s="424">
        <f>'BP5'!K75</f>
        <v>0</v>
      </c>
      <c r="G90" s="423">
        <f>SUM(B90:F90)</f>
        <v>0</v>
      </c>
      <c r="I90" s="114" t="s">
        <v>215</v>
      </c>
    </row>
    <row r="91" spans="1:9">
      <c r="A91" s="61" t="str">
        <f>IF('Appendix C-Grants.gov Form Info'!J1&gt;0,IF(AND(SUM(G77:G87)&gt;0,'Subaward Calculator'!AD46=0),"","     Total NU Direct Costs and Subaward Direct Costs"),"")</f>
        <v/>
      </c>
      <c r="B91" s="423" t="str">
        <f>'BP1'!K76</f>
        <v/>
      </c>
      <c r="C91" s="423" t="str">
        <f>'BP2'!K76</f>
        <v/>
      </c>
      <c r="D91" s="423" t="str">
        <f>'BP3'!K76</f>
        <v/>
      </c>
      <c r="E91" s="423" t="str">
        <f>'BP4'!K76</f>
        <v/>
      </c>
      <c r="F91" s="424" t="str">
        <f>'BP5'!K76</f>
        <v/>
      </c>
      <c r="G91" s="423" t="str">
        <f>IF('Appendix C-Grants.gov Form Info'!J1&gt;0,IF(AND(SUM(G77:G87)&gt;0,'Subaward Calculator'!AD46=0),"",SUM(B91:F91)),"")</f>
        <v/>
      </c>
      <c r="I91" s="114" t="s">
        <v>215</v>
      </c>
    </row>
    <row r="92" spans="1:9">
      <c r="A92" s="484" t="s">
        <v>95</v>
      </c>
      <c r="B92" s="425">
        <f>'BP1'!G78</f>
        <v>0</v>
      </c>
      <c r="C92" s="425">
        <f>'BP2'!G78</f>
        <v>0</v>
      </c>
      <c r="D92" s="425">
        <f>'BP3'!G78</f>
        <v>0</v>
      </c>
      <c r="E92" s="425">
        <f>'BP4'!G78</f>
        <v>0</v>
      </c>
      <c r="F92" s="426">
        <f>'BP5'!G78</f>
        <v>0</v>
      </c>
      <c r="G92" s="425">
        <f>SUM(B92:F92)</f>
        <v>0</v>
      </c>
      <c r="I92" s="114" t="s">
        <v>215</v>
      </c>
    </row>
    <row r="93" spans="1:9">
      <c r="A93" s="61" t="s">
        <v>91</v>
      </c>
      <c r="B93" s="419">
        <f ca="1">'BP1'!K79</f>
        <v>0</v>
      </c>
      <c r="C93" s="419">
        <f ca="1">'BP2'!K79</f>
        <v>0</v>
      </c>
      <c r="D93" s="419">
        <f ca="1">'BP3'!K79</f>
        <v>0</v>
      </c>
      <c r="E93" s="419">
        <f ca="1">'BP4'!K79</f>
        <v>0</v>
      </c>
      <c r="F93" s="420">
        <f ca="1">'BP5'!K79</f>
        <v>0</v>
      </c>
      <c r="G93" s="419">
        <f t="shared" ca="1" si="1"/>
        <v>0</v>
      </c>
      <c r="I93" s="114" t="s">
        <v>215</v>
      </c>
    </row>
    <row r="94" spans="1:9">
      <c r="A94" s="66" t="s">
        <v>92</v>
      </c>
      <c r="B94" s="423">
        <f ca="1">'BP1'!K80</f>
        <v>0</v>
      </c>
      <c r="C94" s="423">
        <f>'BP2'!K80</f>
        <v>0</v>
      </c>
      <c r="D94" s="423">
        <f>'BP3'!K80</f>
        <v>0</v>
      </c>
      <c r="E94" s="423">
        <f>'BP4'!K80</f>
        <v>0</v>
      </c>
      <c r="F94" s="424">
        <f>'BP5'!K80</f>
        <v>0</v>
      </c>
      <c r="G94" s="423">
        <f t="shared" ca="1" si="1"/>
        <v>0</v>
      </c>
      <c r="I94" s="114" t="s">
        <v>215</v>
      </c>
    </row>
  </sheetData>
  <autoFilter ref="I1:I94" xr:uid="{00000000-0009-0000-0000-000000000000}">
    <filterColumn colId="0">
      <filters>
        <filter val="A) Condensed"/>
      </filters>
    </filterColumn>
  </autoFilter>
  <mergeCells count="46">
    <mergeCell ref="Z38:AB39"/>
    <mergeCell ref="AC38:AE39"/>
    <mergeCell ref="K17:M18"/>
    <mergeCell ref="K13:M14"/>
    <mergeCell ref="N38:P39"/>
    <mergeCell ref="Q38:S39"/>
    <mergeCell ref="T38:V39"/>
    <mergeCell ref="W38:Y39"/>
    <mergeCell ref="K35:M36"/>
    <mergeCell ref="K38:M39"/>
    <mergeCell ref="K7:M8"/>
    <mergeCell ref="K9:M10"/>
    <mergeCell ref="K11:M12"/>
    <mergeCell ref="K29:M30"/>
    <mergeCell ref="K33:M34"/>
    <mergeCell ref="K15:M16"/>
    <mergeCell ref="K1:AE1"/>
    <mergeCell ref="A1:G1"/>
    <mergeCell ref="A4:G4"/>
    <mergeCell ref="K6:M6"/>
    <mergeCell ref="A3:C3"/>
    <mergeCell ref="F2:G2"/>
    <mergeCell ref="B2:C2"/>
    <mergeCell ref="D2:E2"/>
    <mergeCell ref="E3:G3"/>
    <mergeCell ref="N6:P6"/>
    <mergeCell ref="Q6:S6"/>
    <mergeCell ref="T6:V6"/>
    <mergeCell ref="W6:Y6"/>
    <mergeCell ref="Z6:AB6"/>
    <mergeCell ref="AC6:AE6"/>
    <mergeCell ref="K42:M43"/>
    <mergeCell ref="K52:M53"/>
    <mergeCell ref="K40:M41"/>
    <mergeCell ref="K56:M57"/>
    <mergeCell ref="K19:M20"/>
    <mergeCell ref="K21:M22"/>
    <mergeCell ref="K23:M24"/>
    <mergeCell ref="K25:M26"/>
    <mergeCell ref="K27:M28"/>
    <mergeCell ref="K31:M32"/>
    <mergeCell ref="K44:M45"/>
    <mergeCell ref="K46:M47"/>
    <mergeCell ref="K48:M49"/>
    <mergeCell ref="K50:M51"/>
    <mergeCell ref="K54:M55"/>
  </mergeCells>
  <phoneticPr fontId="32" type="noConversion"/>
  <pageMargins left="0.75" right="0.75" top="1" bottom="1" header="0.5" footer="0.5"/>
  <pageSetup scale="72" orientation="portrait" r:id="rId1"/>
  <headerFooter alignWithMargins="0"/>
  <ignoredErrors>
    <ignoredError sqref="A56 A10:A34 A35 G9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5" tint="0.59999389629810485"/>
    <pageSetUpPr fitToPage="1"/>
  </sheetPr>
  <dimension ref="A1:AD91"/>
  <sheetViews>
    <sheetView zoomScaleNormal="100" workbookViewId="0">
      <selection activeCell="U1" sqref="U1"/>
    </sheetView>
  </sheetViews>
  <sheetFormatPr defaultRowHeight="13.2"/>
  <cols>
    <col min="1" max="2" width="9.88671875" customWidth="1"/>
    <col min="3" max="3" width="8.44140625" customWidth="1"/>
    <col min="4" max="4" width="14.5546875" customWidth="1"/>
    <col min="5" max="5" width="8.44140625" customWidth="1"/>
    <col min="6" max="6" width="14.5546875" customWidth="1"/>
    <col min="7" max="7" width="8.44140625" customWidth="1"/>
    <col min="8" max="8" width="14.5546875" customWidth="1"/>
    <col min="9" max="18" width="20.33203125" hidden="1" customWidth="1"/>
    <col min="19" max="19" width="20.33203125" bestFit="1" customWidth="1"/>
    <col min="20" max="20" width="20.33203125" customWidth="1"/>
    <col min="21" max="21" width="50" customWidth="1"/>
    <col min="22" max="22" width="2.109375" customWidth="1"/>
    <col min="24" max="24" width="4.88671875" customWidth="1"/>
  </cols>
  <sheetData>
    <row r="1" spans="1:28" ht="22.5" customHeight="1" thickBot="1">
      <c r="A1" s="911" t="s">
        <v>277</v>
      </c>
      <c r="B1" s="911"/>
      <c r="C1" s="911"/>
      <c r="D1" s="911"/>
      <c r="E1" s="911"/>
      <c r="F1" s="911"/>
      <c r="G1" s="911"/>
      <c r="H1" s="911"/>
      <c r="I1" s="207" t="s">
        <v>493</v>
      </c>
      <c r="J1" s="207" t="s">
        <v>494</v>
      </c>
      <c r="K1" s="207" t="s">
        <v>495</v>
      </c>
      <c r="L1" s="207" t="s">
        <v>496</v>
      </c>
      <c r="M1" s="207" t="s">
        <v>497</v>
      </c>
      <c r="N1" s="207" t="s">
        <v>498</v>
      </c>
      <c r="O1" s="207" t="s">
        <v>499</v>
      </c>
      <c r="P1" s="207" t="s">
        <v>500</v>
      </c>
      <c r="Q1" s="207" t="s">
        <v>501</v>
      </c>
      <c r="R1" s="207" t="s">
        <v>502</v>
      </c>
      <c r="S1" s="913" t="s">
        <v>224</v>
      </c>
      <c r="T1" s="914"/>
      <c r="U1" s="602" t="s">
        <v>214</v>
      </c>
      <c r="W1" s="899" t="s">
        <v>155</v>
      </c>
      <c r="X1" s="900"/>
      <c r="Y1" s="900"/>
      <c r="Z1" s="900"/>
      <c r="AA1" s="900"/>
      <c r="AB1" s="901"/>
    </row>
    <row r="2" spans="1:28" ht="30" customHeight="1">
      <c r="A2" s="912" t="str">
        <f>'BP1'!A1</f>
        <v>Title</v>
      </c>
      <c r="B2" s="912"/>
      <c r="C2" s="912"/>
      <c r="D2" s="912"/>
      <c r="E2" s="912"/>
      <c r="F2" s="912"/>
      <c r="G2" s="912"/>
      <c r="H2" s="912"/>
      <c r="I2" s="223"/>
      <c r="J2" s="223"/>
      <c r="K2" s="223"/>
      <c r="L2" s="223"/>
      <c r="M2" s="223"/>
      <c r="N2" s="223"/>
      <c r="O2" s="223"/>
      <c r="P2" s="223"/>
      <c r="Q2" s="223"/>
      <c r="R2" s="223"/>
      <c r="S2" s="207" t="s">
        <v>490</v>
      </c>
      <c r="T2" s="207" t="s">
        <v>503</v>
      </c>
      <c r="U2" s="597" t="s">
        <v>182</v>
      </c>
      <c r="W2" s="902" t="s">
        <v>278</v>
      </c>
      <c r="X2" s="903"/>
      <c r="Y2" s="903"/>
      <c r="Z2" s="903"/>
      <c r="AA2" s="903"/>
      <c r="AB2" s="904"/>
    </row>
    <row r="3" spans="1:28" ht="15" customHeight="1">
      <c r="A3" s="896" t="str">
        <f ca="1">TEXT('BP1'!K8,"m/d/yyyy")&amp;" to "&amp;TEXT(INDIRECT("BP"&amp;'BP1'!K5&amp;"!K10"),"m/d/yyyy")</f>
        <v>9/1/2026 to 8/31/2027</v>
      </c>
      <c r="B3" s="896"/>
      <c r="C3" s="896"/>
      <c r="D3" s="896"/>
      <c r="E3" s="896"/>
      <c r="F3" s="896"/>
      <c r="G3" s="896"/>
      <c r="H3" s="896"/>
      <c r="I3" s="223"/>
      <c r="J3" s="223"/>
      <c r="K3" s="223"/>
      <c r="L3" s="223"/>
      <c r="M3" s="223"/>
      <c r="N3" s="223"/>
      <c r="O3" s="223"/>
      <c r="P3" s="223"/>
      <c r="Q3" s="223"/>
      <c r="R3" s="223"/>
      <c r="S3" s="208"/>
      <c r="T3" s="208"/>
      <c r="U3" s="597" t="s">
        <v>182</v>
      </c>
      <c r="W3" s="905"/>
      <c r="X3" s="906"/>
      <c r="Y3" s="906"/>
      <c r="Z3" s="906"/>
      <c r="AA3" s="906"/>
      <c r="AB3" s="907"/>
    </row>
    <row r="4" spans="1:28" ht="15" customHeight="1" thickBot="1">
      <c r="A4" s="896" t="str">
        <f>IF(OR('BP1'!E9="National Science Foundation",'BP1'!E9="NSF",'BP1'!E11="National Science Foundation",'BP1'!E11="NSF"),"Northwestern University uses its academic/fiscal year of 9/1 – 8/31 as the definition of “year” for tracking the NSF 2 months limit.","")</f>
        <v/>
      </c>
      <c r="B4" s="896"/>
      <c r="C4" s="896"/>
      <c r="D4" s="896"/>
      <c r="E4" s="896"/>
      <c r="F4" s="896"/>
      <c r="G4" s="896"/>
      <c r="H4" s="896"/>
      <c r="I4" s="223"/>
      <c r="J4" s="223"/>
      <c r="K4" s="223"/>
      <c r="L4" s="223"/>
      <c r="M4" s="223"/>
      <c r="N4" s="223"/>
      <c r="O4" s="223"/>
      <c r="P4" s="223"/>
      <c r="Q4" s="223"/>
      <c r="R4" s="223"/>
      <c r="S4" s="894" t="s">
        <v>975</v>
      </c>
      <c r="T4" s="894"/>
      <c r="U4" s="597" t="str">
        <f>IF(A4="","Blank","Populate")</f>
        <v>Blank</v>
      </c>
      <c r="W4" s="908"/>
      <c r="X4" s="909"/>
      <c r="Y4" s="909"/>
      <c r="Z4" s="909"/>
      <c r="AA4" s="909"/>
      <c r="AB4" s="910"/>
    </row>
    <row r="5" spans="1:28" ht="15" customHeight="1">
      <c r="A5" s="896"/>
      <c r="B5" s="896"/>
      <c r="C5" s="896"/>
      <c r="D5" s="896"/>
      <c r="E5" s="896"/>
      <c r="F5" s="896"/>
      <c r="G5" s="896"/>
      <c r="H5" s="896"/>
      <c r="I5" s="223"/>
      <c r="J5" s="223"/>
      <c r="K5" s="223"/>
      <c r="L5" s="223"/>
      <c r="M5" s="223"/>
      <c r="N5" s="223"/>
      <c r="O5" s="223"/>
      <c r="P5" s="223"/>
      <c r="Q5" s="223"/>
      <c r="R5" s="223"/>
      <c r="S5" s="208"/>
      <c r="T5" s="208"/>
      <c r="U5" s="597" t="s">
        <v>182</v>
      </c>
      <c r="W5" s="208"/>
      <c r="X5" s="208"/>
      <c r="Y5" s="208"/>
      <c r="Z5" s="208"/>
      <c r="AA5" s="208"/>
      <c r="AB5" s="208"/>
    </row>
    <row r="6" spans="1:28" ht="15" customHeight="1">
      <c r="A6" s="897" t="str">
        <f ca="1">IF(OR(SUM('Cumulative Budget'!K15:K29)&gt;0,SUM('Cumulative Budget'!N15:N29)&gt;0),"Senior Personnel:","")</f>
        <v/>
      </c>
      <c r="B6" s="897"/>
      <c r="C6" s="897"/>
      <c r="D6" s="897"/>
      <c r="E6" s="897"/>
      <c r="F6" s="897"/>
      <c r="G6" s="897"/>
      <c r="H6" s="897"/>
      <c r="I6" s="224"/>
      <c r="J6" s="224"/>
      <c r="K6" s="224"/>
      <c r="L6" s="224"/>
      <c r="M6" s="224"/>
      <c r="N6" s="224"/>
      <c r="O6" s="224"/>
      <c r="P6" s="224"/>
      <c r="Q6" s="224"/>
      <c r="R6" s="224"/>
      <c r="S6" s="208"/>
      <c r="T6" s="208"/>
      <c r="U6" s="597" t="str">
        <f t="shared" ref="U6:U21" ca="1" si="0">IF(A6="","Blank","Populate")</f>
        <v>Blank</v>
      </c>
    </row>
    <row r="7" spans="1:28" ht="60" customHeight="1">
      <c r="A7" s="895" t="str">
        <f>IF('Cumulative Budget'!H15+'Cumulative Budget'!I15+'Cumulative Budget'!J15&gt;0,IF(S7="Note: Effort changes in the outyears!",IF(I7&lt;&gt;"",I7&amp;" in Budget Period 1","")&amp;IF(AND(I7&lt;&gt;"",J7&lt;&gt;""),"; ","")&amp;IF(J7&lt;&gt;"",J7&amp;" in Budget Period 2","")&amp;IF(AND(OR(I7&lt;&gt;"",J7&lt;&gt;""),K7&lt;&gt;""),"; ","")&amp;IF(K7&lt;&gt;"",K7&amp;" in Budget Period 3","")&amp;IF(AND(OR(I7&lt;&gt;"",J7&lt;&gt;"",K7&lt;&gt;""),L7&lt;&gt;""),"; ","")&amp;IF(L7&lt;&gt;"",L7&amp;" in Budget Period 4","")&amp;IF(AND(OR(I7&lt;&gt;"",J7&lt;&gt;"",K7&lt;&gt;"",L7&lt;&gt;""),M7&lt;&gt;""),"; ","")&amp;IF(M7&lt;&gt;"",M7&amp;" in Budget Period 5","")&amp;" of "&amp;'BP1'!B15&amp;"'s salary is requested. ",I7&amp;" of "&amp;'BP1'!B15&amp;"'s salary is requested"&amp;IF('BP1'!$K$5&gt;1," each budget period for "&amp;'BP1'!$K$5&amp;" budget periods. ",". ")),"")&amp;IF('Cumulative Budget'!M15&gt;0,IF(T7="Note: Effort changes in the outyears!",IF(N7&lt;&gt;"",N7&amp;" in Budget Period 1","")&amp;IF(AND(N7&lt;&gt;"",O7&lt;&gt;""),"; ","")&amp;IF(O7&lt;&gt;"",O7&amp;" in Budget Period 2","")&amp;IF(AND(OR(N7&lt;&gt;"",O7&lt;&gt;""),P7&lt;&gt;""),"; ","")&amp;IF(P7&lt;&gt;"",P7&amp;" in Budget Period 3","")&amp;IF(AND(OR(N7&lt;&gt;"",O7&lt;&gt;"",P7&lt;&gt;""),Q7&lt;&gt;""),"; ","")&amp;IF(Q7&lt;&gt;"",Q7&amp;" in Budget Period 4","")&amp;IF(AND(OR(N7&lt;&gt;"",O7&lt;&gt;"",P7&lt;&gt;"",Q7&lt;&gt;""),R7&lt;&gt;""),"; ","")&amp;IF(R7&lt;&gt;"",R7&amp;" in Budget Period 5","")&amp;" of "&amp;'BP1'!B15&amp;"'s salary is requested. ",N7&amp;" of "&amp;'BP1'!B15&amp;"'s salary is requested"&amp;IF('BP1'!$K$5&gt;1," each budget period for "&amp;'BP1'!$K$5&amp;" budget periods. ",". ")),"")&amp;IF(OR('BP1'!G15=10,'BP1'!G15=11),'BP1'!B15&amp;" currently has a"&amp;IF('BP1'!G15=11,"n "," ")&amp;'BP1'!G15&amp;"-month appointment. ","")&amp;IF(AND('BP1'!$K$5&gt;1,'BP1'!$K$7&gt;0,OR('Cumulative Budget'!H15+'Cumulative Budget'!I15+'Cumulative Budget'!J15+'Cumulative Budget'!M15&gt;0)),"Salary is inflated by "&amp;('BP1'!$K$7*100)&amp;"% annually each September. ","")&amp;IF(ISBLANK('BP1'!R15),"",'BP1'!R15)</f>
        <v/>
      </c>
      <c r="B7" s="895"/>
      <c r="C7" s="895"/>
      <c r="D7" s="895"/>
      <c r="E7" s="895"/>
      <c r="F7" s="895"/>
      <c r="G7" s="895"/>
      <c r="H7" s="895"/>
      <c r="I7" s="222" t="str">
        <f>IF(SUM('Cumulative Budget'!H15:J15)&gt;0,(IF('BP1'!$K$5&gt;0,((IF('BP1'!H15&gt;0,CONCATENATE(IF('BP1'!H15&gt;0,TEXT('BP1'!H15,"0.00")&amp;" calendar month"&amp;IF('BP1'!H15&gt;1,"s",)&amp;" (or "&amp;TEXT('BP1'!H15/'BP1'!G15,"0%")&amp;" calendar effort)",)),CONCATENATE(IF('BP1'!I15&gt;0,TEXT('BP1'!I15,"0.00")&amp;" academic month"&amp;IF('BP1'!I15&gt;1,"s",)&amp;" (or "&amp;TEXT('BP1'!I15/9,"0%")&amp;" academic effort)",),IF(AND('BP1'!I15&gt;0,'BP1'!J15&gt;0)," and ",),IF('BP1'!J15&gt;0,TEXT('BP1'!J15,"0.00")&amp;" summer month"&amp;IF('BP1'!J15&gt;1,"s",)&amp;" (or "&amp;TEXT('BP1'!J15/3,"0%")&amp;" summer effort)",))))),"")),"")</f>
        <v/>
      </c>
      <c r="J7" s="222" t="str">
        <f>IF(SUM('Cumulative Budget'!H15:J15)&gt;0,(IF('BP1'!$K$5&gt;1,((IF('BP2'!H15&gt;0,CONCATENATE(IF('BP2'!H15&gt;0,TEXT('BP2'!H15,"0.00")&amp;" calendar month"&amp;IF('BP2'!H15&gt;1,"s",)&amp;" (or "&amp;TEXT('BP2'!H15/'BP2'!G15,"0%")&amp;" calendar effort)",)),CONCATENATE(IF('BP2'!I15&gt;0,TEXT('BP2'!I15,"0.00")&amp;" academic month"&amp;IF('BP2'!I15&gt;1,"s",)&amp;" (or "&amp;TEXT('BP2'!I15/9,"0%")&amp;" academic effort)",),IF(AND('BP2'!I15&gt;0,'BP2'!J15&gt;0)," and ",),IF('BP2'!J15&gt;0,TEXT('BP2'!J15,"0.00")&amp;" summer month"&amp;IF('BP2'!J15&gt;1,"s",)&amp;" (or "&amp;TEXT('BP2'!J15/3,"0%")&amp;" summer effort)",))))),"")),"")</f>
        <v/>
      </c>
      <c r="K7" s="222" t="str">
        <f>IF(SUM('Cumulative Budget'!H15:J15)&gt;0,(IF('BP1'!$K$5&gt;2,((IF('BP3'!H15&gt;0,CONCATENATE(IF('BP3'!H15&gt;0,TEXT('BP3'!H15,"0.00")&amp;" calendar month"&amp;IF('BP3'!H15&gt;1,"s",)&amp;" (or "&amp;TEXT('BP3'!H15/'BP3'!G15,"0%")&amp;" calendar effort)",)),CONCATENATE(IF('BP3'!I15&gt;0,TEXT('BP3'!I15,"0.00")&amp;" academic month"&amp;IF('BP3'!I15&gt;1,"s",)&amp;" (or "&amp;TEXT('BP3'!I15/9,"0%")&amp;" academic effort)",),IF(AND('BP3'!I15&gt;0,'BP3'!J15&gt;0)," and ",),IF('BP3'!J15&gt;0,TEXT('BP3'!J15,"0.00")&amp;" summer month"&amp;IF('BP3'!J15&gt;1,"s",)&amp;" (or "&amp;TEXT('BP3'!J15/3,"0%")&amp;" summer effort)",))))),"")),"")</f>
        <v/>
      </c>
      <c r="L7" s="222" t="str">
        <f>IF(SUM('Cumulative Budget'!H15:J15)&gt;0,(IF('BP1'!$K$5&gt;3,((IF('BP4'!H15&gt;0,CONCATENATE(IF('BP4'!H15&gt;0,TEXT('BP4'!H15,"0.00")&amp;" calendar month"&amp;IF('BP4'!H15&gt;1,"s",)&amp;" (or "&amp;TEXT('BP4'!H15/'BP4'!G15,"0%")&amp;" calendar effort)",)),CONCATENATE(IF('BP4'!I15&gt;0,TEXT('BP4'!I15,"0.00")&amp;" academic month"&amp;IF('BP4'!I15&gt;1,"s",)&amp;" (or "&amp;TEXT('BP4'!I15/9,"0%")&amp;" academic effort)",),IF(AND('BP4'!I15&gt;0,'BP4'!J15&gt;0)," and ",),IF('BP4'!J15&gt;0,TEXT('BP4'!J15,"0.00")&amp;" summer month"&amp;IF('BP4'!J15&gt;1,"s",)&amp;" (or "&amp;TEXT('BP4'!J15/3,"0%")&amp;" summer effort)",))))),"")),"")</f>
        <v/>
      </c>
      <c r="M7" s="222" t="str">
        <f>IF(SUM('Cumulative Budget'!H15:J15)&gt;0,(IF('BP1'!$K$5&gt;4,((IF('BP5'!H15&gt;0,CONCATENATE(IF('BP5'!H15&gt;0,TEXT('BP5'!H15,"0.00")&amp;" calendar month"&amp;IF('BP5'!H15&gt;1,"s",)&amp;" (or "&amp;TEXT('BP5'!H15/'BP5'!G15,"0%")&amp;" calendar effort)",)),CONCATENATE(IF('BP5'!I15&gt;0,TEXT('BP5'!I15,"0.00")&amp;" academic month"&amp;IF('BP5'!I15&gt;1,"s",)&amp;" (or "&amp;TEXT('BP5'!I15/9,"0%")&amp;" academic effort)",),IF(AND('BP5'!I15&gt;0,'BP5'!J15&gt;0)," and ",),IF('BP5'!J15&gt;0,TEXT('BP5'!J15,"0.00")&amp;" summer month"&amp;IF('BP5'!J15&gt;1,"s",)&amp;" (or "&amp;TEXT('BP5'!J15/3,"0%")&amp;" summer effort)",))))),"")),"")</f>
        <v/>
      </c>
      <c r="N7" s="222" t="str">
        <f>IF(AND('BP1'!M15&gt;0,'BP1'!$A$5&gt;0),TEXT('BP1'!M15,"0.00")&amp;" cost-shared month"&amp;IF('BP1'!M15&gt;1,"s",)&amp;" (or "&amp;TEXT('BP1'!M15/'BP1'!G15,"0%")&amp;" cost-shared effort)","")</f>
        <v/>
      </c>
      <c r="O7" s="222" t="str">
        <f>IF(AND('BP2'!M15&gt;0,'BP2'!$A$5&gt;0),TEXT('BP2'!M15,"0.00")&amp;" cost-shared month"&amp;IF('BP2'!M15&gt;1,"s",)&amp;" (or "&amp;TEXT('BP2'!M15/'BP2'!G15,"0%")&amp;" cost-shared effort)","")</f>
        <v/>
      </c>
      <c r="P7" s="222" t="str">
        <f>IF(AND('BP3'!M15&gt;0,'BP3'!$A$5&gt;0),TEXT('BP3'!M15,"0.00")&amp;" cost-shared month"&amp;IF('BP3'!M15&gt;1,"s",)&amp;" (or "&amp;TEXT('BP3'!M15/'BP3'!G15,"0%")&amp;" cost-shared effort)","")</f>
        <v/>
      </c>
      <c r="Q7" s="222" t="str">
        <f>IF(AND('BP4'!M15&gt;0,'BP4'!$A$5&gt;0),TEXT('BP4'!M15,"0.00")&amp;" cost-shared month"&amp;IF('BP4'!M15&gt;1,"s",)&amp;" (or "&amp;TEXT('BP4'!M15/'BP4'!G15,"0%")&amp;" cost-shared effort)","")</f>
        <v/>
      </c>
      <c r="R7" s="222" t="str">
        <f>IF(AND('BP5'!M15&gt;0,'BP5'!$A$5&gt;0),TEXT('BP5'!M15,"0.00")&amp;" cost-shared month"&amp;IF('BP5'!M15&gt;1,"s",)&amp;" (or "&amp;TEXT('BP5'!M15/'BP5'!G15,"0%")&amp;" cost-shared effort)","")</f>
        <v/>
      </c>
      <c r="S7" s="208" t="str">
        <f>IF(AND('BP1'!$K$5=2,I7&lt;&gt;J7),"Note: Effort changes in the outyears!","")&amp;IF(AND('BP1'!$K$5=3,OR(I7&lt;&gt;J7,I7&lt;&gt;K7,J7&lt;&gt;K7)),"Note: Effort changes in the outyears!","")&amp;IF(AND('BP1'!$K$5=4,OR(I7&lt;&gt;J7,I7&lt;&gt;K7,I7&lt;&gt;L7,J7&lt;&gt;K7,J7&lt;&gt;L7,K7&lt;&gt;L7)),"Note: Effort changes in the outyears!","")&amp;IF(AND('BP1'!$K$5=5,OR(I7&lt;&gt;J7,I7&lt;&gt;K7,I7&lt;&gt;L7,I7&lt;&gt;M7,J7&lt;&gt;K7,J7&lt;&gt;L7,J7&lt;&gt;M7,K7&lt;&gt;L7,K7&lt;&gt;M7,L7&lt;&gt;M7)),"Note: Effort changes in the outyears!","")</f>
        <v/>
      </c>
      <c r="T7" s="208" t="str">
        <f>IF(AND('BP1'!$K$5=2,N7&lt;&gt;O7),"Note: Effort changes in the outyears!","")&amp;IF(AND('BP1'!$K$5=3,OR(N7&lt;&gt;O7,N7&lt;&gt;P7,O7&lt;&gt;P7)),"Note: Effort changes in the outyears!","")&amp;IF(AND('BP1'!$K$5=4,OR(N7&lt;&gt;O7,N7&lt;&gt;P7,N7&lt;&gt;Q7,O7&lt;&gt;P7,O7&lt;&gt;Q7,P7&lt;&gt;Q7)),"Note: Effort changes in the outyears!","")&amp;IF(AND('BP1'!$K$5=5,OR(N7&lt;&gt;O7,N7&lt;&gt;P7,N7&lt;&gt;Q7,N7&lt;&gt;R7,O7&lt;&gt;P7,O7&lt;&gt;Q7,O7&lt;&gt;R7,P7&lt;&gt;Q7,P7&lt;&gt;R7,Q7&lt;&gt;R7)),"Note: Effort changes in the outyears!","")</f>
        <v/>
      </c>
      <c r="U7" s="597" t="str">
        <f t="shared" si="0"/>
        <v>Blank</v>
      </c>
    </row>
    <row r="8" spans="1:28" ht="60" customHeight="1">
      <c r="A8" s="895" t="str">
        <f>IF('Cumulative Budget'!H16+'Cumulative Budget'!I16+'Cumulative Budget'!J16&gt;0,IF(S8="Note: Effort changes in the outyears!",IF(I8&lt;&gt;"",I8&amp;" in Budget Period 1","")&amp;IF(AND(I8&lt;&gt;"",J8&lt;&gt;""),"; ","")&amp;IF(J8&lt;&gt;"",J8&amp;" in Budget Period 2","")&amp;IF(AND(OR(I8&lt;&gt;"",J8&lt;&gt;""),K8&lt;&gt;""),"; ","")&amp;IF(K8&lt;&gt;"",K8&amp;" in Budget Period 3","")&amp;IF(AND(OR(I8&lt;&gt;"",J8&lt;&gt;"",K8&lt;&gt;""),L8&lt;&gt;""),"; ","")&amp;IF(L8&lt;&gt;"",L8&amp;" in Budget Period 4","")&amp;IF(AND(OR(I8&lt;&gt;"",J8&lt;&gt;"",K8&lt;&gt;"",L8&lt;&gt;""),M8&lt;&gt;""),"; ","")&amp;IF(M8&lt;&gt;"",M8&amp;" in Budget Period 5","")&amp;" of "&amp;'BP1'!B16&amp;"'s salary is requested. ",I8&amp;" of "&amp;'BP1'!B16&amp;"'s salary is requested"&amp;IF('BP1'!$K$5&gt;1," each budget period for "&amp;'BP1'!$K$5&amp;" budget periods. ",". ")),"")&amp;IF('Cumulative Budget'!M16&gt;0,IF(T8="Note: Effort changes in the outyears!",IF(N8&lt;&gt;"",N8&amp;" in Budget Period 1","")&amp;IF(AND(N8&lt;&gt;"",O8&lt;&gt;""),"; ","")&amp;IF(O8&lt;&gt;"",O8&amp;" in Budget Period 2","")&amp;IF(AND(OR(N8&lt;&gt;"",O8&lt;&gt;""),P8&lt;&gt;""),"; ","")&amp;IF(P8&lt;&gt;"",P8&amp;" in Budget Period 3","")&amp;IF(AND(OR(N8&lt;&gt;"",O8&lt;&gt;"",P8&lt;&gt;""),Q8&lt;&gt;""),"; ","")&amp;IF(Q8&lt;&gt;"",Q8&amp;" in Budget Period 4","")&amp;IF(AND(OR(N8&lt;&gt;"",O8&lt;&gt;"",P8&lt;&gt;"",Q8&lt;&gt;""),R8&lt;&gt;""),"; ","")&amp;IF(R8&lt;&gt;"",R8&amp;" in Budget Period 5","")&amp;" of "&amp;'BP1'!B16&amp;"'s salary is requested. ",N8&amp;" of "&amp;'BP1'!B16&amp;"'s salary is requested"&amp;IF('BP1'!$K$5&gt;1," each budget period for "&amp;'BP1'!$K$5&amp;" budget periods. ",". ")),"")&amp;IF(OR('BP1'!G16=10,'BP1'!G16=11),'BP1'!B16&amp;" currently has a"&amp;IF('BP1'!G16=11,"n "," ")&amp;'BP1'!G16&amp;"-month appointment. ","")&amp;IF(AND('BP1'!$K$5&gt;1,'BP1'!$K$7&gt;0,OR('Cumulative Budget'!H16+'Cumulative Budget'!I16+'Cumulative Budget'!J16+'Cumulative Budget'!M16&gt;0)),"Salary is inflated by "&amp;('BP1'!$K$7*100)&amp;"% annually each September. ","")&amp;IF(ISBLANK('BP1'!R16),"",'BP1'!R16)</f>
        <v/>
      </c>
      <c r="B8" s="895"/>
      <c r="C8" s="895"/>
      <c r="D8" s="895"/>
      <c r="E8" s="895"/>
      <c r="F8" s="895"/>
      <c r="G8" s="895"/>
      <c r="H8" s="895"/>
      <c r="I8" s="222" t="str">
        <f>IF(SUM('Cumulative Budget'!H16:J16)&gt;0,(IF('BP1'!$K$5&gt;0,((IF('BP1'!H16&gt;0,CONCATENATE(IF('BP1'!H16&gt;0,TEXT('BP1'!H16,"0.00")&amp;" calendar month"&amp;IF('BP1'!H16&gt;1,"s",)&amp;" (or "&amp;TEXT('BP1'!H16/'BP1'!G16,"0%")&amp;" calendar effort)",)),CONCATENATE(IF('BP1'!I16&gt;0,TEXT('BP1'!I16,"0.00")&amp;" academic month"&amp;IF('BP1'!I16&gt;1,"s",)&amp;" (or "&amp;TEXT('BP1'!I16/9,"0%")&amp;" academic effort)",),IF(AND('BP1'!I16&gt;0,'BP1'!J16&gt;0)," and ",),IF('BP1'!J16&gt;0,TEXT('BP1'!J16,"0.00")&amp;" summer month"&amp;IF('BP1'!J16&gt;1,"s",)&amp;" (or "&amp;TEXT('BP1'!J16/3,"0%")&amp;" summer effort)",))))),"")),"")</f>
        <v/>
      </c>
      <c r="J8" s="222" t="str">
        <f>IF(SUM('Cumulative Budget'!H16:J16)&gt;0,(IF('BP1'!$K$5&gt;1,((IF('BP2'!H16&gt;0,CONCATENATE(IF('BP2'!H16&gt;0,TEXT('BP2'!H16,"0.00")&amp;" calendar month"&amp;IF('BP2'!H16&gt;1,"s",)&amp;" (or "&amp;TEXT('BP2'!H16/'BP2'!G16,"0%")&amp;" calendar effort)",)),CONCATENATE(IF('BP2'!I16&gt;0,TEXT('BP2'!I16,"0.00")&amp;" academic month"&amp;IF('BP2'!I16&gt;1,"s",)&amp;" (or "&amp;TEXT('BP2'!I16/9,"0%")&amp;" academic effort)",),IF(AND('BP2'!I16&gt;0,'BP2'!J16&gt;0)," and ",),IF('BP2'!J16&gt;0,TEXT('BP2'!J16,"0.00")&amp;" summer month"&amp;IF('BP2'!J16&gt;1,"s",)&amp;" (or "&amp;TEXT('BP2'!J16/3,"0%")&amp;" summer effort)",))))),"")),"")</f>
        <v/>
      </c>
      <c r="K8" s="222" t="str">
        <f>IF(SUM('Cumulative Budget'!H16:J16)&gt;0,(IF('BP1'!$K$5&gt;2,((IF('BP3'!H16&gt;0,CONCATENATE(IF('BP3'!H16&gt;0,TEXT('BP3'!H16,"0.00")&amp;" calendar month"&amp;IF('BP3'!H16&gt;1,"s",)&amp;" (or "&amp;TEXT('BP3'!H16/'BP3'!G16,"0%")&amp;" calendar effort)",)),CONCATENATE(IF('BP3'!I16&gt;0,TEXT('BP3'!I16,"0.00")&amp;" academic month"&amp;IF('BP3'!I16&gt;1,"s",)&amp;" (or "&amp;TEXT('BP3'!I16/9,"0%")&amp;" academic effort)",),IF(AND('BP3'!I16&gt;0,'BP3'!J16&gt;0)," and ",),IF('BP3'!J16&gt;0,TEXT('BP3'!J16,"0.00")&amp;" summer month"&amp;IF('BP3'!J16&gt;1,"s",)&amp;" (or "&amp;TEXT('BP3'!J16/3,"0%")&amp;" summer effort)",))))),"")),"")</f>
        <v/>
      </c>
      <c r="L8" s="222" t="str">
        <f>IF(SUM('Cumulative Budget'!H16:J16)&gt;0,(IF('BP1'!$K$5&gt;3,((IF('BP4'!H16&gt;0,CONCATENATE(IF('BP4'!H16&gt;0,TEXT('BP4'!H16,"0.00")&amp;" calendar month"&amp;IF('BP4'!H16&gt;1,"s",)&amp;" (or "&amp;TEXT('BP4'!H16/'BP4'!G16,"0%")&amp;" calendar effort)",)),CONCATENATE(IF('BP4'!I16&gt;0,TEXT('BP4'!I16,"0.00")&amp;" academic month"&amp;IF('BP4'!I16&gt;1,"s",)&amp;" (or "&amp;TEXT('BP4'!I16/9,"0%")&amp;" academic effort)",),IF(AND('BP4'!I16&gt;0,'BP4'!J16&gt;0)," and ",),IF('BP4'!J16&gt;0,TEXT('BP4'!J16,"0.00")&amp;" summer month"&amp;IF('BP4'!J16&gt;1,"s",)&amp;" (or "&amp;TEXT('BP4'!J16/3,"0%")&amp;" summer effort)",))))),"")),"")</f>
        <v/>
      </c>
      <c r="M8" s="222" t="str">
        <f>IF(SUM('Cumulative Budget'!H16:J16)&gt;0,(IF('BP1'!$K$5&gt;4,((IF('BP5'!H16&gt;0,CONCATENATE(IF('BP5'!H16&gt;0,TEXT('BP5'!H16,"0.00")&amp;" calendar month"&amp;IF('BP5'!H16&gt;1,"s",)&amp;" (or "&amp;TEXT('BP5'!H16/'BP5'!G16,"0%")&amp;" calendar effort)",)),CONCATENATE(IF('BP5'!I16&gt;0,TEXT('BP5'!I16,"0.00")&amp;" academic month"&amp;IF('BP5'!I16&gt;1,"s",)&amp;" (or "&amp;TEXT('BP5'!I16/9,"0%")&amp;" academic effort)",),IF(AND('BP5'!I16&gt;0,'BP5'!J16&gt;0)," and ",),IF('BP5'!J16&gt;0,TEXT('BP5'!J16,"0.00")&amp;" summer month"&amp;IF('BP5'!J16&gt;1,"s",)&amp;" (or "&amp;TEXT('BP5'!J16/3,"0%")&amp;" summer effort)",))))),"")),"")</f>
        <v/>
      </c>
      <c r="N8" s="222" t="str">
        <f>IF(AND('BP1'!M16&gt;0,'BP1'!$A$5&gt;0),TEXT('BP1'!M16,"0.00")&amp;" cost-shared month"&amp;IF('BP1'!M16&gt;1,"s",)&amp;" (or "&amp;TEXT('BP1'!M16/'BP1'!G16,"0%")&amp;" cost-shared effort)","")</f>
        <v/>
      </c>
      <c r="O8" s="222" t="str">
        <f>IF(AND('BP2'!M16&gt;0,'BP2'!$A$5&gt;0),TEXT('BP2'!M16,"0.00")&amp;" cost-shared month"&amp;IF('BP2'!M16&gt;1,"s",)&amp;" (or "&amp;TEXT('BP2'!M16/'BP2'!G16,"0%")&amp;" cost-shared effort)","")</f>
        <v/>
      </c>
      <c r="P8" s="222" t="str">
        <f>IF(AND('BP3'!M16&gt;0,'BP3'!$A$5&gt;0),TEXT('BP3'!M16,"0.00")&amp;" cost-shared month"&amp;IF('BP3'!M16&gt;1,"s",)&amp;" (or "&amp;TEXT('BP3'!M16/'BP3'!G16,"0%")&amp;" cost-shared effort)","")</f>
        <v/>
      </c>
      <c r="Q8" s="222" t="str">
        <f>IF(AND('BP4'!M16&gt;0,'BP4'!$A$5&gt;0),TEXT('BP4'!M16,"0.00")&amp;" cost-shared month"&amp;IF('BP4'!M16&gt;1,"s",)&amp;" (or "&amp;TEXT('BP4'!M16/'BP4'!G16,"0%")&amp;" cost-shared effort)","")</f>
        <v/>
      </c>
      <c r="R8" s="222" t="str">
        <f>IF(AND('BP5'!M16&gt;0,'BP5'!$A$5&gt;0),TEXT('BP5'!M16,"0.00")&amp;" cost-shared month"&amp;IF('BP5'!M16&gt;1,"s",)&amp;" (or "&amp;TEXT('BP5'!M16/'BP5'!G16,"0%")&amp;" cost-shared effort)","")</f>
        <v/>
      </c>
      <c r="S8" s="208" t="str">
        <f>IF(AND('BP1'!$K$5=2,I8&lt;&gt;J8),"Note: Effort changes in the outyears!","")&amp;IF(AND('BP1'!$K$5=3,OR(I8&lt;&gt;J8,I8&lt;&gt;K8,J8&lt;&gt;K8)),"Note: Effort changes in the outyears!","")&amp;IF(AND('BP1'!$K$5=4,OR(I8&lt;&gt;J8,I8&lt;&gt;K8,I8&lt;&gt;L8,J8&lt;&gt;K8,J8&lt;&gt;L8,K8&lt;&gt;L8)),"Note: Effort changes in the outyears!","")&amp;IF(AND('BP1'!$K$5=5,OR(I8&lt;&gt;J8,I8&lt;&gt;K8,I8&lt;&gt;L8,I8&lt;&gt;M8,J8&lt;&gt;K8,J8&lt;&gt;L8,J8&lt;&gt;M8,K8&lt;&gt;L8,K8&lt;&gt;M8,L8&lt;&gt;M8)),"Note: Effort changes in the outyears!","")</f>
        <v/>
      </c>
      <c r="T8" s="208" t="str">
        <f>IF(AND('BP1'!$K$5=2,N8&lt;&gt;O8),"Note: Effort changes in the outyears!","")&amp;IF(AND('BP1'!$K$5=3,OR(N8&lt;&gt;O8,N8&lt;&gt;P8,O8&lt;&gt;P8)),"Note: Effort changes in the outyears!","")&amp;IF(AND('BP1'!$K$5=4,OR(N8&lt;&gt;O8,N8&lt;&gt;P8,N8&lt;&gt;Q8,O8&lt;&gt;P8,O8&lt;&gt;Q8,P8&lt;&gt;Q8)),"Note: Effort changes in the outyears!","")&amp;IF(AND('BP1'!$K$5=5,OR(N8&lt;&gt;O8,N8&lt;&gt;P8,N8&lt;&gt;Q8,N8&lt;&gt;R8,O8&lt;&gt;P8,O8&lt;&gt;Q8,O8&lt;&gt;R8,P8&lt;&gt;Q8,P8&lt;&gt;R8,Q8&lt;&gt;R8)),"Note: Effort changes in the outyears!","")</f>
        <v/>
      </c>
      <c r="U8" s="597" t="str">
        <f t="shared" si="0"/>
        <v>Blank</v>
      </c>
    </row>
    <row r="9" spans="1:28" ht="60" customHeight="1">
      <c r="A9" s="895" t="str">
        <f>IF('Cumulative Budget'!H17+'Cumulative Budget'!I17+'Cumulative Budget'!J17&gt;0,IF(S9="Note: Effort changes in the outyears!",IF(I9&lt;&gt;"",I9&amp;" in Budget Period 1","")&amp;IF(AND(I9&lt;&gt;"",J9&lt;&gt;""),"; ","")&amp;IF(J9&lt;&gt;"",J9&amp;" in Budget Period 2","")&amp;IF(AND(OR(I9&lt;&gt;"",J9&lt;&gt;""),K9&lt;&gt;""),"; ","")&amp;IF(K9&lt;&gt;"",K9&amp;" in Budget Period 3","")&amp;IF(AND(OR(I9&lt;&gt;"",J9&lt;&gt;"",K9&lt;&gt;""),L9&lt;&gt;""),"; ","")&amp;IF(L9&lt;&gt;"",L9&amp;" in Budget Period 4","")&amp;IF(AND(OR(I9&lt;&gt;"",J9&lt;&gt;"",K9&lt;&gt;"",L9&lt;&gt;""),M9&lt;&gt;""),"; ","")&amp;IF(M9&lt;&gt;"",M9&amp;" in Budget Period 5","")&amp;" of "&amp;'BP1'!B17&amp;"'s salary is requested. ",I9&amp;" of "&amp;'BP1'!B17&amp;"'s salary is requested"&amp;IF('BP1'!$K$5&gt;1," each budget period for "&amp;'BP1'!$K$5&amp;" budget periods. ",". ")),"")&amp;IF('Cumulative Budget'!M17&gt;0,IF(T9="Note: Effort changes in the outyears!",IF(N9&lt;&gt;"",N9&amp;" in Budget Period 1","")&amp;IF(AND(N9&lt;&gt;"",O9&lt;&gt;""),"; ","")&amp;IF(O9&lt;&gt;"",O9&amp;" in Budget Period 2","")&amp;IF(AND(OR(N9&lt;&gt;"",O9&lt;&gt;""),P9&lt;&gt;""),"; ","")&amp;IF(P9&lt;&gt;"",P9&amp;" in Budget Period 3","")&amp;IF(AND(OR(N9&lt;&gt;"",O9&lt;&gt;"",P9&lt;&gt;""),Q9&lt;&gt;""),"; ","")&amp;IF(Q9&lt;&gt;"",Q9&amp;" in Budget Period 4","")&amp;IF(AND(OR(N9&lt;&gt;"",O9&lt;&gt;"",P9&lt;&gt;"",Q9&lt;&gt;""),R9&lt;&gt;""),"; ","")&amp;IF(R9&lt;&gt;"",R9&amp;" in Budget Period 5","")&amp;" of "&amp;'BP1'!B17&amp;"'s salary is requested. ",N9&amp;" of "&amp;'BP1'!B17&amp;"'s salary is requested"&amp;IF('BP1'!$K$5&gt;1," each budget period for "&amp;'BP1'!$K$5&amp;" budget periods. ",". ")),"")&amp;IF(OR('BP1'!G17=10,'BP1'!G17=11),'BP1'!B17&amp;" currently has a"&amp;IF('BP1'!G17=11,"n "," ")&amp;'BP1'!G17&amp;"-month appointment. ","")&amp;IF(AND('BP1'!$K$5&gt;1,'BP1'!$K$7&gt;0,OR('Cumulative Budget'!H17+'Cumulative Budget'!I17+'Cumulative Budget'!J17+'Cumulative Budget'!M17&gt;0)),"Salary is inflated by "&amp;('BP1'!$K$7*100)&amp;"% annually each September. ","")&amp;IF(ISBLANK('BP1'!R17),"",'BP1'!R17)</f>
        <v/>
      </c>
      <c r="B9" s="895"/>
      <c r="C9" s="895"/>
      <c r="D9" s="895"/>
      <c r="E9" s="895"/>
      <c r="F9" s="895"/>
      <c r="G9" s="895"/>
      <c r="H9" s="895"/>
      <c r="I9" s="222" t="str">
        <f>IF(SUM('Cumulative Budget'!H17:J17)&gt;0,(IF('BP1'!$K$5&gt;0,((IF('BP1'!H17&gt;0,CONCATENATE(IF('BP1'!H17&gt;0,TEXT('BP1'!H17,"0.00")&amp;" calendar month"&amp;IF('BP1'!H17&gt;1,"s",)&amp;" (or "&amp;TEXT('BP1'!H17/'BP1'!G17,"0%")&amp;" calendar effort)",)),CONCATENATE(IF('BP1'!I17&gt;0,TEXT('BP1'!I17,"0.00")&amp;" academic month"&amp;IF('BP1'!I17&gt;1,"s",)&amp;" (or "&amp;TEXT('BP1'!I17/9,"0%")&amp;" academic effort)",),IF(AND('BP1'!I17&gt;0,'BP1'!J17&gt;0)," and ",),IF('BP1'!J17&gt;0,TEXT('BP1'!J17,"0.00")&amp;" summer month"&amp;IF('BP1'!J17&gt;1,"s",)&amp;" (or "&amp;TEXT('BP1'!J17/3,"0%")&amp;" summer effort)",))))),"")),"")</f>
        <v/>
      </c>
      <c r="J9" s="222" t="str">
        <f>IF(SUM('Cumulative Budget'!H17:J17)&gt;0,(IF('BP1'!$K$5&gt;1,((IF('BP2'!H17&gt;0,CONCATENATE(IF('BP2'!H17&gt;0,TEXT('BP2'!H17,"0.00")&amp;" calendar month"&amp;IF('BP2'!H17&gt;1,"s",)&amp;" (or "&amp;TEXT('BP2'!H17/'BP2'!G17,"0%")&amp;" calendar effort)",)),CONCATENATE(IF('BP2'!I17&gt;0,TEXT('BP2'!I17,"0.00")&amp;" academic month"&amp;IF('BP2'!I17&gt;1,"s",)&amp;" (or "&amp;TEXT('BP2'!I17/9,"0%")&amp;" academic effort)",),IF(AND('BP2'!I17&gt;0,'BP2'!J17&gt;0)," and ",),IF('BP2'!J17&gt;0,TEXT('BP2'!J17,"0.00")&amp;" summer month"&amp;IF('BP2'!J17&gt;1,"s",)&amp;" (or "&amp;TEXT('BP2'!J17/3,"0%")&amp;" summer effort)",))))),"")),"")</f>
        <v/>
      </c>
      <c r="K9" s="222" t="str">
        <f>IF(SUM('Cumulative Budget'!H17:J17)&gt;0,(IF('BP1'!$K$5&gt;2,((IF('BP3'!H17&gt;0,CONCATENATE(IF('BP3'!H17&gt;0,TEXT('BP3'!H17,"0.00")&amp;" calendar month"&amp;IF('BP3'!H17&gt;1,"s",)&amp;" (or "&amp;TEXT('BP3'!H17/'BP3'!G17,"0%")&amp;" calendar effort)",)),CONCATENATE(IF('BP3'!I17&gt;0,TEXT('BP3'!I17,"0.00")&amp;" academic month"&amp;IF('BP3'!I17&gt;1,"s",)&amp;" (or "&amp;TEXT('BP3'!I17/9,"0%")&amp;" academic effort)",),IF(AND('BP3'!I17&gt;0,'BP3'!J17&gt;0)," and ",),IF('BP3'!J17&gt;0,TEXT('BP3'!J17,"0.00")&amp;" summer month"&amp;IF('BP3'!J17&gt;1,"s",)&amp;" (or "&amp;TEXT('BP3'!J17/3,"0%")&amp;" summer effort)",))))),"")),"")</f>
        <v/>
      </c>
      <c r="L9" s="222" t="str">
        <f>IF(SUM('Cumulative Budget'!H17:J17)&gt;0,(IF('BP1'!$K$5&gt;3,((IF('BP4'!H17&gt;0,CONCATENATE(IF('BP4'!H17&gt;0,TEXT('BP4'!H17,"0.00")&amp;" calendar month"&amp;IF('BP4'!H17&gt;1,"s",)&amp;" (or "&amp;TEXT('BP4'!H17/'BP4'!G17,"0%")&amp;" calendar effort)",)),CONCATENATE(IF('BP4'!I17&gt;0,TEXT('BP4'!I17,"0.00")&amp;" academic month"&amp;IF('BP4'!I17&gt;1,"s",)&amp;" (or "&amp;TEXT('BP4'!I17/9,"0%")&amp;" academic effort)",),IF(AND('BP4'!I17&gt;0,'BP4'!J17&gt;0)," and ",),IF('BP4'!J17&gt;0,TEXT('BP4'!J17,"0.00")&amp;" summer month"&amp;IF('BP4'!J17&gt;1,"s",)&amp;" (or "&amp;TEXT('BP4'!J17/3,"0%")&amp;" summer effort)",))))),"")),"")</f>
        <v/>
      </c>
      <c r="M9" s="222" t="str">
        <f>IF(SUM('Cumulative Budget'!H17:J17)&gt;0,(IF('BP1'!$K$5&gt;4,((IF('BP5'!H17&gt;0,CONCATENATE(IF('BP5'!H17&gt;0,TEXT('BP5'!H17,"0.00")&amp;" calendar month"&amp;IF('BP5'!H17&gt;1,"s",)&amp;" (or "&amp;TEXT('BP5'!H17/'BP5'!G17,"0%")&amp;" calendar effort)",)),CONCATENATE(IF('BP5'!I17&gt;0,TEXT('BP5'!I17,"0.00")&amp;" academic month"&amp;IF('BP5'!I17&gt;1,"s",)&amp;" (or "&amp;TEXT('BP5'!I17/9,"0%")&amp;" academic effort)",),IF(AND('BP5'!I17&gt;0,'BP5'!J17&gt;0)," and ",),IF('BP5'!J17&gt;0,TEXT('BP5'!J17,"0.00")&amp;" summer month"&amp;IF('BP5'!J17&gt;1,"s",)&amp;" (or "&amp;TEXT('BP5'!J17/3,"0%")&amp;" summer effort)",))))),"")),"")</f>
        <v/>
      </c>
      <c r="N9" s="222" t="str">
        <f>IF(AND('BP1'!M17&gt;0,'BP1'!$A$5&gt;0),TEXT('BP1'!M17,"0.00")&amp;" cost-shared month"&amp;IF('BP1'!M17&gt;1,"s",)&amp;" (or "&amp;TEXT('BP1'!M17/'BP1'!G17,"0%")&amp;" cost-shared effort)","")</f>
        <v/>
      </c>
      <c r="O9" s="222" t="str">
        <f>IF(AND('BP2'!M17&gt;0,'BP2'!$A$5&gt;0),TEXT('BP2'!M17,"0.00")&amp;" cost-shared month"&amp;IF('BP2'!M17&gt;1,"s",)&amp;" (or "&amp;TEXT('BP2'!M17/'BP2'!G17,"0%")&amp;" cost-shared effort)","")</f>
        <v/>
      </c>
      <c r="P9" s="222" t="str">
        <f>IF(AND('BP3'!M17&gt;0,'BP3'!$A$5&gt;0),TEXT('BP3'!M17,"0.00")&amp;" cost-shared month"&amp;IF('BP3'!M17&gt;1,"s",)&amp;" (or "&amp;TEXT('BP3'!M17/'BP3'!G17,"0%")&amp;" cost-shared effort)","")</f>
        <v/>
      </c>
      <c r="Q9" s="222" t="str">
        <f>IF(AND('BP4'!M17&gt;0,'BP4'!$A$5&gt;0),TEXT('BP4'!M17,"0.00")&amp;" cost-shared month"&amp;IF('BP4'!M17&gt;1,"s",)&amp;" (or "&amp;TEXT('BP4'!M17/'BP4'!G17,"0%")&amp;" cost-shared effort)","")</f>
        <v/>
      </c>
      <c r="R9" s="222" t="str">
        <f>IF(AND('BP5'!M17&gt;0,'BP5'!$A$5&gt;0),TEXT('BP5'!M17,"0.00")&amp;" cost-shared month"&amp;IF('BP5'!M17&gt;1,"s",)&amp;" (or "&amp;TEXT('BP5'!M17/'BP5'!G17,"0%")&amp;" cost-shared effort)","")</f>
        <v/>
      </c>
      <c r="S9" s="208" t="str">
        <f>IF(AND('BP1'!$K$5=2,I9&lt;&gt;J9),"Note: Effort changes in the outyears!","")&amp;IF(AND('BP1'!$K$5=3,OR(I9&lt;&gt;J9,I9&lt;&gt;K9,J9&lt;&gt;K9)),"Note: Effort changes in the outyears!","")&amp;IF(AND('BP1'!$K$5=4,OR(I9&lt;&gt;J9,I9&lt;&gt;K9,I9&lt;&gt;L9,J9&lt;&gt;K9,J9&lt;&gt;L9,K9&lt;&gt;L9)),"Note: Effort changes in the outyears!","")&amp;IF(AND('BP1'!$K$5=5,OR(I9&lt;&gt;J9,I9&lt;&gt;K9,I9&lt;&gt;L9,I9&lt;&gt;M9,J9&lt;&gt;K9,J9&lt;&gt;L9,J9&lt;&gt;M9,K9&lt;&gt;L9,K9&lt;&gt;M9,L9&lt;&gt;M9)),"Note: Effort changes in the outyears!","")</f>
        <v/>
      </c>
      <c r="T9" s="208" t="str">
        <f>IF(AND('BP1'!$K$5=2,N9&lt;&gt;O9),"Note: Effort changes in the outyears!","")&amp;IF(AND('BP1'!$K$5=3,OR(N9&lt;&gt;O9,N9&lt;&gt;P9,O9&lt;&gt;P9)),"Note: Effort changes in the outyears!","")&amp;IF(AND('BP1'!$K$5=4,OR(N9&lt;&gt;O9,N9&lt;&gt;P9,N9&lt;&gt;Q9,O9&lt;&gt;P9,O9&lt;&gt;Q9,P9&lt;&gt;Q9)),"Note: Effort changes in the outyears!","")&amp;IF(AND('BP1'!$K$5=5,OR(N9&lt;&gt;O9,N9&lt;&gt;P9,N9&lt;&gt;Q9,N9&lt;&gt;R9,O9&lt;&gt;P9,O9&lt;&gt;Q9,O9&lt;&gt;R9,P9&lt;&gt;Q9,P9&lt;&gt;R9,Q9&lt;&gt;R9)),"Note: Effort changes in the outyears!","")</f>
        <v/>
      </c>
      <c r="U9" s="597" t="str">
        <f t="shared" si="0"/>
        <v>Blank</v>
      </c>
    </row>
    <row r="10" spans="1:28" ht="60" customHeight="1">
      <c r="A10" s="895" t="str">
        <f>IF('Cumulative Budget'!H18+'Cumulative Budget'!I18+'Cumulative Budget'!J18&gt;0,IF(S10="Note: Effort changes in the outyears!",IF(I10&lt;&gt;"",I10&amp;" in Budget Period 1","")&amp;IF(AND(I10&lt;&gt;"",J10&lt;&gt;""),"; ","")&amp;IF(J10&lt;&gt;"",J10&amp;" in Budget Period 2","")&amp;IF(AND(OR(I10&lt;&gt;"",J10&lt;&gt;""),K10&lt;&gt;""),"; ","")&amp;IF(K10&lt;&gt;"",K10&amp;" in Budget Period 3","")&amp;IF(AND(OR(I10&lt;&gt;"",J10&lt;&gt;"",K10&lt;&gt;""),L10&lt;&gt;""),"; ","")&amp;IF(L10&lt;&gt;"",L10&amp;" in Budget Period 4","")&amp;IF(AND(OR(I10&lt;&gt;"",J10&lt;&gt;"",K10&lt;&gt;"",L10&lt;&gt;""),M10&lt;&gt;""),"; ","")&amp;IF(M10&lt;&gt;"",M10&amp;" in Budget Period 5","")&amp;" of "&amp;'BP1'!B18&amp;"'s salary is requested. ",I10&amp;" of "&amp;'BP1'!B18&amp;"'s salary is requested"&amp;IF('BP1'!$K$5&gt;1," each budget period for "&amp;'BP1'!$K$5&amp;" budget periods. ",". ")),"")&amp;IF('Cumulative Budget'!M18&gt;0,IF(T10="Note: Effort changes in the outyears!",IF(N10&lt;&gt;"",N10&amp;" in Budget Period 1","")&amp;IF(AND(N10&lt;&gt;"",O10&lt;&gt;""),"; ","")&amp;IF(O10&lt;&gt;"",O10&amp;" in Budget Period 2","")&amp;IF(AND(OR(N10&lt;&gt;"",O10&lt;&gt;""),P10&lt;&gt;""),"; ","")&amp;IF(P10&lt;&gt;"",P10&amp;" in Budget Period 3","")&amp;IF(AND(OR(N10&lt;&gt;"",O10&lt;&gt;"",P10&lt;&gt;""),Q10&lt;&gt;""),"; ","")&amp;IF(Q10&lt;&gt;"",Q10&amp;" in Budget Period 4","")&amp;IF(AND(OR(N10&lt;&gt;"",O10&lt;&gt;"",P10&lt;&gt;"",Q10&lt;&gt;""),R10&lt;&gt;""),"; ","")&amp;IF(R10&lt;&gt;"",R10&amp;" in Budget Period 5","")&amp;" of "&amp;'BP1'!B18&amp;"'s salary is requested. ",N10&amp;" of "&amp;'BP1'!B18&amp;"'s salary is requested"&amp;IF('BP1'!$K$5&gt;1," each budget period for "&amp;'BP1'!$K$5&amp;" budget periods. ",". ")),"")&amp;IF(OR('BP1'!G18=10,'BP1'!G18=11),'BP1'!B18&amp;" currently has a"&amp;IF('BP1'!G18=11,"n "," ")&amp;'BP1'!G18&amp;"-month appointment. ","")&amp;IF(AND('BP1'!$K$5&gt;1,'BP1'!$K$7&gt;0,OR('Cumulative Budget'!H18+'Cumulative Budget'!I18+'Cumulative Budget'!J18+'Cumulative Budget'!M18&gt;0)),"Salary is inflated by "&amp;('BP1'!$K$7*100)&amp;"% annually each September. ","")&amp;IF(ISBLANK('BP1'!R18),"",'BP1'!R18)</f>
        <v/>
      </c>
      <c r="B10" s="895"/>
      <c r="C10" s="895"/>
      <c r="D10" s="895"/>
      <c r="E10" s="895"/>
      <c r="F10" s="895"/>
      <c r="G10" s="895"/>
      <c r="H10" s="895"/>
      <c r="I10" s="222" t="str">
        <f>IF(SUM('Cumulative Budget'!H18:J18)&gt;0,(IF('BP1'!$K$5&gt;0,((IF('BP1'!H18&gt;0,CONCATENATE(IF('BP1'!H18&gt;0,TEXT('BP1'!H18,"0.00")&amp;" calendar month"&amp;IF('BP1'!H18&gt;1,"s",)&amp;" (or "&amp;TEXT('BP1'!H18/'BP1'!G18,"0%")&amp;" calendar effort)",)),CONCATENATE(IF('BP1'!I18&gt;0,TEXT('BP1'!I18,"0.00")&amp;" academic month"&amp;IF('BP1'!I18&gt;1,"s",)&amp;" (or "&amp;TEXT('BP1'!I18/9,"0%")&amp;" academic effort)",),IF(AND('BP1'!I18&gt;0,'BP1'!J18&gt;0)," and ",),IF('BP1'!J18&gt;0,TEXT('BP1'!J18,"0.00")&amp;" summer month"&amp;IF('BP1'!J18&gt;1,"s",)&amp;" (or "&amp;TEXT('BP1'!J18/3,"0%")&amp;" summer effort)",))))),"")),"")</f>
        <v/>
      </c>
      <c r="J10" s="222" t="str">
        <f>IF(SUM('Cumulative Budget'!H18:J18)&gt;0,(IF('BP1'!$K$5&gt;1,((IF('BP2'!H18&gt;0,CONCATENATE(IF('BP2'!H18&gt;0,TEXT('BP2'!H18,"0.00")&amp;" calendar month"&amp;IF('BP2'!H18&gt;1,"s",)&amp;" (or "&amp;TEXT('BP2'!H18/'BP2'!G18,"0%")&amp;" calendar effort)",)),CONCATENATE(IF('BP2'!I18&gt;0,TEXT('BP2'!I18,"0.00")&amp;" academic month"&amp;IF('BP2'!I18&gt;1,"s",)&amp;" (or "&amp;TEXT('BP2'!I18/9,"0%")&amp;" academic effort)",),IF(AND('BP2'!I18&gt;0,'BP2'!J18&gt;0)," and ",),IF('BP2'!J18&gt;0,TEXT('BP2'!J18,"0.00")&amp;" summer month"&amp;IF('BP2'!J18&gt;1,"s",)&amp;" (or "&amp;TEXT('BP2'!J18/3,"0%")&amp;" summer effort)",))))),"")),"")</f>
        <v/>
      </c>
      <c r="K10" s="222" t="str">
        <f>IF(SUM('Cumulative Budget'!H18:J18)&gt;0,(IF('BP1'!$K$5&gt;2,((IF('BP3'!H18&gt;0,CONCATENATE(IF('BP3'!H18&gt;0,TEXT('BP3'!H18,"0.00")&amp;" calendar month"&amp;IF('BP3'!H18&gt;1,"s",)&amp;" (or "&amp;TEXT('BP3'!H18/'BP3'!G18,"0%")&amp;" calendar effort)",)),CONCATENATE(IF('BP3'!I18&gt;0,TEXT('BP3'!I18,"0.00")&amp;" academic month"&amp;IF('BP3'!I18&gt;1,"s",)&amp;" (or "&amp;TEXT('BP3'!I18/9,"0%")&amp;" academic effort)",),IF(AND('BP3'!I18&gt;0,'BP3'!J18&gt;0)," and ",),IF('BP3'!J18&gt;0,TEXT('BP3'!J18,"0.00")&amp;" summer month"&amp;IF('BP3'!J18&gt;1,"s",)&amp;" (or "&amp;TEXT('BP3'!J18/3,"0%")&amp;" summer effort)",))))),"")),"")</f>
        <v/>
      </c>
      <c r="L10" s="222" t="str">
        <f>IF(SUM('Cumulative Budget'!H18:J18)&gt;0,(IF('BP1'!$K$5&gt;3,((IF('BP4'!H18&gt;0,CONCATENATE(IF('BP4'!H18&gt;0,TEXT('BP4'!H18,"0.00")&amp;" calendar month"&amp;IF('BP4'!H18&gt;1,"s",)&amp;" (or "&amp;TEXT('BP4'!H18/'BP4'!G18,"0%")&amp;" calendar effort)",)),CONCATENATE(IF('BP4'!I18&gt;0,TEXT('BP4'!I18,"0.00")&amp;" academic month"&amp;IF('BP4'!I18&gt;1,"s",)&amp;" (or "&amp;TEXT('BP4'!I18/9,"0%")&amp;" academic effort)",),IF(AND('BP4'!I18&gt;0,'BP4'!J18&gt;0)," and ",),IF('BP4'!J18&gt;0,TEXT('BP4'!J18,"0.00")&amp;" summer month"&amp;IF('BP4'!J18&gt;1,"s",)&amp;" (or "&amp;TEXT('BP4'!J18/3,"0%")&amp;" summer effort)",))))),"")),"")</f>
        <v/>
      </c>
      <c r="M10" s="222" t="str">
        <f>IF(SUM('Cumulative Budget'!H18:J18)&gt;0,(IF('BP1'!$K$5&gt;4,((IF('BP5'!H18&gt;0,CONCATENATE(IF('BP5'!H18&gt;0,TEXT('BP5'!H18,"0.00")&amp;" calendar month"&amp;IF('BP5'!H18&gt;1,"s",)&amp;" (or "&amp;TEXT('BP5'!H18/'BP5'!G18,"0%")&amp;" calendar effort)",)),CONCATENATE(IF('BP5'!I18&gt;0,TEXT('BP5'!I18,"0.00")&amp;" academic month"&amp;IF('BP5'!I18&gt;1,"s",)&amp;" (or "&amp;TEXT('BP5'!I18/9,"0%")&amp;" academic effort)",),IF(AND('BP5'!I18&gt;0,'BP5'!J18&gt;0)," and ",),IF('BP5'!J18&gt;0,TEXT('BP5'!J18,"0.00")&amp;" summer month"&amp;IF('BP5'!J18&gt;1,"s",)&amp;" (or "&amp;TEXT('BP5'!J18/3,"0%")&amp;" summer effort)",))))),"")),"")</f>
        <v/>
      </c>
      <c r="N10" s="222" t="str">
        <f>IF(AND('BP1'!M18&gt;0,'BP1'!$A$5&gt;0),TEXT('BP1'!M18,"0.00")&amp;" cost-shared month"&amp;IF('BP1'!M18&gt;1,"s",)&amp;" (or "&amp;TEXT('BP1'!M18/'BP1'!G18,"0%")&amp;" cost-shared effort)","")</f>
        <v/>
      </c>
      <c r="O10" s="222" t="str">
        <f>IF(AND('BP2'!M18&gt;0,'BP2'!$A$5&gt;0),TEXT('BP2'!M18,"0.00")&amp;" cost-shared month"&amp;IF('BP2'!M18&gt;1,"s",)&amp;" (or "&amp;TEXT('BP2'!M18/'BP2'!G18,"0%")&amp;" cost-shared effort)","")</f>
        <v/>
      </c>
      <c r="P10" s="222" t="str">
        <f>IF(AND('BP3'!M18&gt;0,'BP3'!$A$5&gt;0),TEXT('BP3'!M18,"0.00")&amp;" cost-shared month"&amp;IF('BP3'!M18&gt;1,"s",)&amp;" (or "&amp;TEXT('BP3'!M18/'BP3'!G18,"0%")&amp;" cost-shared effort)","")</f>
        <v/>
      </c>
      <c r="Q10" s="222" t="str">
        <f>IF(AND('BP4'!M18&gt;0,'BP4'!$A$5&gt;0),TEXT('BP4'!M18,"0.00")&amp;" cost-shared month"&amp;IF('BP4'!M18&gt;1,"s",)&amp;" (or "&amp;TEXT('BP4'!M18/'BP4'!G18,"0%")&amp;" cost-shared effort)","")</f>
        <v/>
      </c>
      <c r="R10" s="222" t="str">
        <f>IF(AND('BP5'!M18&gt;0,'BP5'!$A$5&gt;0),TEXT('BP5'!M18,"0.00")&amp;" cost-shared month"&amp;IF('BP5'!M18&gt;1,"s",)&amp;" (or "&amp;TEXT('BP5'!M18/'BP5'!G18,"0%")&amp;" cost-shared effort)","")</f>
        <v/>
      </c>
      <c r="S10" s="208" t="str">
        <f>IF(AND('BP1'!$K$5=2,I10&lt;&gt;J10),"Note: Effort changes in the outyears!","")&amp;IF(AND('BP1'!$K$5=3,OR(I10&lt;&gt;J10,I10&lt;&gt;K10,J10&lt;&gt;K10)),"Note: Effort changes in the outyears!","")&amp;IF(AND('BP1'!$K$5=4,OR(I10&lt;&gt;J10,I10&lt;&gt;K10,I10&lt;&gt;L10,J10&lt;&gt;K10,J10&lt;&gt;L10,K10&lt;&gt;L10)),"Note: Effort changes in the outyears!","")&amp;IF(AND('BP1'!$K$5=5,OR(I10&lt;&gt;J10,I10&lt;&gt;K10,I10&lt;&gt;L10,I10&lt;&gt;M10,J10&lt;&gt;K10,J10&lt;&gt;L10,J10&lt;&gt;M10,K10&lt;&gt;L10,K10&lt;&gt;M10,L10&lt;&gt;M10)),"Note: Effort changes in the outyears!","")</f>
        <v/>
      </c>
      <c r="T10" s="208" t="str">
        <f>IF(AND('BP1'!$K$5=2,N10&lt;&gt;O10),"Note: Effort changes in the outyears!","")&amp;IF(AND('BP1'!$K$5=3,OR(N10&lt;&gt;O10,N10&lt;&gt;P10,O10&lt;&gt;P10)),"Note: Effort changes in the outyears!","")&amp;IF(AND('BP1'!$K$5=4,OR(N10&lt;&gt;O10,N10&lt;&gt;P10,N10&lt;&gt;Q10,O10&lt;&gt;P10,O10&lt;&gt;Q10,P10&lt;&gt;Q10)),"Note: Effort changes in the outyears!","")&amp;IF(AND('BP1'!$K$5=5,OR(N10&lt;&gt;O10,N10&lt;&gt;P10,N10&lt;&gt;Q10,N10&lt;&gt;R10,O10&lt;&gt;P10,O10&lt;&gt;Q10,O10&lt;&gt;R10,P10&lt;&gt;Q10,P10&lt;&gt;R10,Q10&lt;&gt;R10)),"Note: Effort changes in the outyears!","")</f>
        <v/>
      </c>
      <c r="U10" s="597" t="str">
        <f t="shared" si="0"/>
        <v>Blank</v>
      </c>
    </row>
    <row r="11" spans="1:28" ht="60" customHeight="1">
      <c r="A11" s="895" t="str">
        <f>IF('Cumulative Budget'!H19+'Cumulative Budget'!I19+'Cumulative Budget'!J19&gt;0,IF(S11="Note: Effort changes in the outyears!",IF(I11&lt;&gt;"",I11&amp;" in Budget Period 1","")&amp;IF(AND(I11&lt;&gt;"",J11&lt;&gt;""),"; ","")&amp;IF(J11&lt;&gt;"",J11&amp;" in Budget Period 2","")&amp;IF(AND(OR(I11&lt;&gt;"",J11&lt;&gt;""),K11&lt;&gt;""),"; ","")&amp;IF(K11&lt;&gt;"",K11&amp;" in Budget Period 3","")&amp;IF(AND(OR(I11&lt;&gt;"",J11&lt;&gt;"",K11&lt;&gt;""),L11&lt;&gt;""),"; ","")&amp;IF(L11&lt;&gt;"",L11&amp;" in Budget Period 4","")&amp;IF(AND(OR(I11&lt;&gt;"",J11&lt;&gt;"",K11&lt;&gt;"",L11&lt;&gt;""),M11&lt;&gt;""),"; ","")&amp;IF(M11&lt;&gt;"",M11&amp;" in Budget Period 5","")&amp;" of "&amp;'BP1'!B19&amp;"'s salary is requested. ",I11&amp;" of "&amp;'BP1'!B19&amp;"'s salary is requested"&amp;IF('BP1'!$K$5&gt;1," each budget period for "&amp;'BP1'!$K$5&amp;" budget periods. ",". ")),"")&amp;IF('Cumulative Budget'!M19&gt;0,IF(T11="Note: Effort changes in the outyears!",IF(N11&lt;&gt;"",N11&amp;" in Budget Period 1","")&amp;IF(AND(N11&lt;&gt;"",O11&lt;&gt;""),"; ","")&amp;IF(O11&lt;&gt;"",O11&amp;" in Budget Period 2","")&amp;IF(AND(OR(N11&lt;&gt;"",O11&lt;&gt;""),P11&lt;&gt;""),"; ","")&amp;IF(P11&lt;&gt;"",P11&amp;" in Budget Period 3","")&amp;IF(AND(OR(N11&lt;&gt;"",O11&lt;&gt;"",P11&lt;&gt;""),Q11&lt;&gt;""),"; ","")&amp;IF(Q11&lt;&gt;"",Q11&amp;" in Budget Period 4","")&amp;IF(AND(OR(N11&lt;&gt;"",O11&lt;&gt;"",P11&lt;&gt;"",Q11&lt;&gt;""),R11&lt;&gt;""),"; ","")&amp;IF(R11&lt;&gt;"",R11&amp;" in Budget Period 5","")&amp;" of "&amp;'BP1'!B19&amp;"'s salary is requested. ",N11&amp;" of "&amp;'BP1'!B19&amp;"'s salary is requested"&amp;IF('BP1'!$K$5&gt;1," each budget period for "&amp;'BP1'!$K$5&amp;" budget periods. ",". ")),"")&amp;IF(OR('BP1'!G19=10,'BP1'!G19=11),'BP1'!B19&amp;" currently has a"&amp;IF('BP1'!G19=11,"n "," ")&amp;'BP1'!G19&amp;"-month appointment. ","")&amp;IF(AND('BP1'!$K$5&gt;1,'BP1'!$K$7&gt;0,OR('Cumulative Budget'!H19+'Cumulative Budget'!I19+'Cumulative Budget'!J19+'Cumulative Budget'!M19&gt;0)),"Salary is inflated by "&amp;('BP1'!$K$7*100)&amp;"% annually each September. ","")&amp;IF(ISBLANK('BP1'!R19),"",'BP1'!R19)</f>
        <v/>
      </c>
      <c r="B11" s="895"/>
      <c r="C11" s="895"/>
      <c r="D11" s="895"/>
      <c r="E11" s="895"/>
      <c r="F11" s="895"/>
      <c r="G11" s="895"/>
      <c r="H11" s="895"/>
      <c r="I11" s="222" t="str">
        <f>IF(SUM('Cumulative Budget'!H19:J19)&gt;0,(IF('BP1'!$K$5&gt;0,((IF('BP1'!H19&gt;0,CONCATENATE(IF('BP1'!H19&gt;0,TEXT('BP1'!H19,"0.00")&amp;" calendar month"&amp;IF('BP1'!H19&gt;1,"s",)&amp;" (or "&amp;TEXT('BP1'!H19/'BP1'!G19,"0%")&amp;" calendar effort)",)),CONCATENATE(IF('BP1'!I19&gt;0,TEXT('BP1'!I19,"0.00")&amp;" academic month"&amp;IF('BP1'!I19&gt;1,"s",)&amp;" (or "&amp;TEXT('BP1'!I19/9,"0%")&amp;" academic effort)",),IF(AND('BP1'!I19&gt;0,'BP1'!J19&gt;0)," and ",),IF('BP1'!J19&gt;0,TEXT('BP1'!J19,"0.00")&amp;" summer month"&amp;IF('BP1'!J19&gt;1,"s",)&amp;" (or "&amp;TEXT('BP1'!J19/3,"0%")&amp;" summer effort)",))))),"")),"")</f>
        <v/>
      </c>
      <c r="J11" s="222" t="str">
        <f>IF(SUM('Cumulative Budget'!H19:J19)&gt;0,(IF('BP1'!$K$5&gt;1,((IF('BP2'!H19&gt;0,CONCATENATE(IF('BP2'!H19&gt;0,TEXT('BP2'!H19,"0.00")&amp;" calendar month"&amp;IF('BP2'!H19&gt;1,"s",)&amp;" (or "&amp;TEXT('BP2'!H19/'BP2'!G19,"0%")&amp;" calendar effort)",)),CONCATENATE(IF('BP2'!I19&gt;0,TEXT('BP2'!I19,"0.00")&amp;" academic month"&amp;IF('BP2'!I19&gt;1,"s",)&amp;" (or "&amp;TEXT('BP2'!I19/9,"0%")&amp;" academic effort)",),IF(AND('BP2'!I19&gt;0,'BP2'!J19&gt;0)," and ",),IF('BP2'!J19&gt;0,TEXT('BP2'!J19,"0.00")&amp;" summer month"&amp;IF('BP2'!J19&gt;1,"s",)&amp;" (or "&amp;TEXT('BP2'!J19/3,"0%")&amp;" summer effort)",))))),"")),"")</f>
        <v/>
      </c>
      <c r="K11" s="222" t="str">
        <f>IF(SUM('Cumulative Budget'!H19:J19)&gt;0,(IF('BP1'!$K$5&gt;2,((IF('BP3'!H19&gt;0,CONCATENATE(IF('BP3'!H19&gt;0,TEXT('BP3'!H19,"0.00")&amp;" calendar month"&amp;IF('BP3'!H19&gt;1,"s",)&amp;" (or "&amp;TEXT('BP3'!H19/'BP3'!G19,"0%")&amp;" calendar effort)",)),CONCATENATE(IF('BP3'!I19&gt;0,TEXT('BP3'!I19,"0.00")&amp;" academic month"&amp;IF('BP3'!I19&gt;1,"s",)&amp;" (or "&amp;TEXT('BP3'!I19/9,"0%")&amp;" academic effort)",),IF(AND('BP3'!I19&gt;0,'BP3'!J19&gt;0)," and ",),IF('BP3'!J19&gt;0,TEXT('BP3'!J19,"0.00")&amp;" summer month"&amp;IF('BP3'!J19&gt;1,"s",)&amp;" (or "&amp;TEXT('BP3'!J19/3,"0%")&amp;" summer effort)",))))),"")),"")</f>
        <v/>
      </c>
      <c r="L11" s="222" t="str">
        <f>IF(SUM('Cumulative Budget'!H19:J19)&gt;0,(IF('BP1'!$K$5&gt;3,((IF('BP4'!H19&gt;0,CONCATENATE(IF('BP4'!H19&gt;0,TEXT('BP4'!H19,"0.00")&amp;" calendar month"&amp;IF('BP4'!H19&gt;1,"s",)&amp;" (or "&amp;TEXT('BP4'!H19/'BP4'!G19,"0%")&amp;" calendar effort)",)),CONCATENATE(IF('BP4'!I19&gt;0,TEXT('BP4'!I19,"0.00")&amp;" academic month"&amp;IF('BP4'!I19&gt;1,"s",)&amp;" (or "&amp;TEXT('BP4'!I19/9,"0%")&amp;" academic effort)",),IF(AND('BP4'!I19&gt;0,'BP4'!J19&gt;0)," and ",),IF('BP4'!J19&gt;0,TEXT('BP4'!J19,"0.00")&amp;" summer month"&amp;IF('BP4'!J19&gt;1,"s",)&amp;" (or "&amp;TEXT('BP4'!J19/3,"0%")&amp;" summer effort)",))))),"")),"")</f>
        <v/>
      </c>
      <c r="M11" s="222" t="str">
        <f>IF(SUM('Cumulative Budget'!H19:J19)&gt;0,(IF('BP1'!$K$5&gt;4,((IF('BP5'!H19&gt;0,CONCATENATE(IF('BP5'!H19&gt;0,TEXT('BP5'!H19,"0.00")&amp;" calendar month"&amp;IF('BP5'!H19&gt;1,"s",)&amp;" (or "&amp;TEXT('BP5'!H19/'BP5'!G19,"0%")&amp;" calendar effort)",)),CONCATENATE(IF('BP5'!I19&gt;0,TEXT('BP5'!I19,"0.00")&amp;" academic month"&amp;IF('BP5'!I19&gt;1,"s",)&amp;" (or "&amp;TEXT('BP5'!I19/9,"0%")&amp;" academic effort)",),IF(AND('BP5'!I19&gt;0,'BP5'!J19&gt;0)," and ",),IF('BP5'!J19&gt;0,TEXT('BP5'!J19,"0.00")&amp;" summer month"&amp;IF('BP5'!J19&gt;1,"s",)&amp;" (or "&amp;TEXT('BP5'!J19/3,"0%")&amp;" summer effort)",))))),"")),"")</f>
        <v/>
      </c>
      <c r="N11" s="222" t="str">
        <f>IF(AND('BP1'!M19&gt;0,'BP1'!$A$5&gt;0),TEXT('BP1'!M19,"0.00")&amp;" cost-shared month"&amp;IF('BP1'!M19&gt;1,"s",)&amp;" (or "&amp;TEXT('BP1'!M19/'BP1'!G19,"0%")&amp;" cost-shared effort)","")</f>
        <v/>
      </c>
      <c r="O11" s="222" t="str">
        <f>IF(AND('BP2'!M19&gt;0,'BP2'!$A$5&gt;0),TEXT('BP2'!M19,"0.00")&amp;" cost-shared month"&amp;IF('BP2'!M19&gt;1,"s",)&amp;" (or "&amp;TEXT('BP2'!M19/'BP2'!G19,"0%")&amp;" cost-shared effort)","")</f>
        <v/>
      </c>
      <c r="P11" s="222" t="str">
        <f>IF(AND('BP3'!M19&gt;0,'BP3'!$A$5&gt;0),TEXT('BP3'!M19,"0.00")&amp;" cost-shared month"&amp;IF('BP3'!M19&gt;1,"s",)&amp;" (or "&amp;TEXT('BP3'!M19/'BP3'!G19,"0%")&amp;" cost-shared effort)","")</f>
        <v/>
      </c>
      <c r="Q11" s="222" t="str">
        <f>IF(AND('BP4'!M19&gt;0,'BP4'!$A$5&gt;0),TEXT('BP4'!M19,"0.00")&amp;" cost-shared month"&amp;IF('BP4'!M19&gt;1,"s",)&amp;" (or "&amp;TEXT('BP4'!M19/'BP4'!G19,"0%")&amp;" cost-shared effort)","")</f>
        <v/>
      </c>
      <c r="R11" s="222" t="str">
        <f>IF(AND('BP5'!M19&gt;0,'BP5'!$A$5&gt;0),TEXT('BP5'!M19,"0.00")&amp;" cost-shared month"&amp;IF('BP5'!M19&gt;1,"s",)&amp;" (or "&amp;TEXT('BP5'!M19/'BP5'!G19,"0%")&amp;" cost-shared effort)","")</f>
        <v/>
      </c>
      <c r="S11" s="208" t="str">
        <f>IF(AND('BP1'!$K$5=2,I11&lt;&gt;J11),"Note: Effort changes in the outyears!","")&amp;IF(AND('BP1'!$K$5=3,OR(I11&lt;&gt;J11,I11&lt;&gt;K11,J11&lt;&gt;K11)),"Note: Effort changes in the outyears!","")&amp;IF(AND('BP1'!$K$5=4,OR(I11&lt;&gt;J11,I11&lt;&gt;K11,I11&lt;&gt;L11,J11&lt;&gt;K11,J11&lt;&gt;L11,K11&lt;&gt;L11)),"Note: Effort changes in the outyears!","")&amp;IF(AND('BP1'!$K$5=5,OR(I11&lt;&gt;J11,I11&lt;&gt;K11,I11&lt;&gt;L11,I11&lt;&gt;M11,J11&lt;&gt;K11,J11&lt;&gt;L11,J11&lt;&gt;M11,K11&lt;&gt;L11,K11&lt;&gt;M11,L11&lt;&gt;M11)),"Note: Effort changes in the outyears!","")</f>
        <v/>
      </c>
      <c r="T11" s="208" t="str">
        <f>IF(AND('BP1'!$K$5=2,N11&lt;&gt;O11),"Note: Effort changes in the outyears!","")&amp;IF(AND('BP1'!$K$5=3,OR(N11&lt;&gt;O11,N11&lt;&gt;P11,O11&lt;&gt;P11)),"Note: Effort changes in the outyears!","")&amp;IF(AND('BP1'!$K$5=4,OR(N11&lt;&gt;O11,N11&lt;&gt;P11,N11&lt;&gt;Q11,O11&lt;&gt;P11,O11&lt;&gt;Q11,P11&lt;&gt;Q11)),"Note: Effort changes in the outyears!","")&amp;IF(AND('BP1'!$K$5=5,OR(N11&lt;&gt;O11,N11&lt;&gt;P11,N11&lt;&gt;Q11,N11&lt;&gt;R11,O11&lt;&gt;P11,O11&lt;&gt;Q11,O11&lt;&gt;R11,P11&lt;&gt;Q11,P11&lt;&gt;R11,Q11&lt;&gt;R11)),"Note: Effort changes in the outyears!","")</f>
        <v/>
      </c>
      <c r="U11" s="597" t="str">
        <f t="shared" si="0"/>
        <v>Blank</v>
      </c>
    </row>
    <row r="12" spans="1:28" ht="60" customHeight="1">
      <c r="A12" s="895" t="str">
        <f>IF('Cumulative Budget'!H20+'Cumulative Budget'!I20+'Cumulative Budget'!J20&gt;0,IF(S12="Note: Effort changes in the outyears!",IF(I12&lt;&gt;"",I12&amp;" in Budget Period 1","")&amp;IF(AND(I12&lt;&gt;"",J12&lt;&gt;""),"; ","")&amp;IF(J12&lt;&gt;"",J12&amp;" in Budget Period 2","")&amp;IF(AND(OR(I12&lt;&gt;"",J12&lt;&gt;""),K12&lt;&gt;""),"; ","")&amp;IF(K12&lt;&gt;"",K12&amp;" in Budget Period 3","")&amp;IF(AND(OR(I12&lt;&gt;"",J12&lt;&gt;"",K12&lt;&gt;""),L12&lt;&gt;""),"; ","")&amp;IF(L12&lt;&gt;"",L12&amp;" in Budget Period 4","")&amp;IF(AND(OR(I12&lt;&gt;"",J12&lt;&gt;"",K12&lt;&gt;"",L12&lt;&gt;""),M12&lt;&gt;""),"; ","")&amp;IF(M12&lt;&gt;"",M12&amp;" in Budget Period 5","")&amp;" of "&amp;'BP1'!B20&amp;"'s salary is requested. ",I12&amp;" of "&amp;'BP1'!B20&amp;"'s salary is requested"&amp;IF('BP1'!$K$5&gt;1," each budget period for "&amp;'BP1'!$K$5&amp;" budget periods. ",". ")),"")&amp;IF('Cumulative Budget'!M20&gt;0,IF(T12="Note: Effort changes in the outyears!",IF(N12&lt;&gt;"",N12&amp;" in Budget Period 1","")&amp;IF(AND(N12&lt;&gt;"",O12&lt;&gt;""),"; ","")&amp;IF(O12&lt;&gt;"",O12&amp;" in Budget Period 2","")&amp;IF(AND(OR(N12&lt;&gt;"",O12&lt;&gt;""),P12&lt;&gt;""),"; ","")&amp;IF(P12&lt;&gt;"",P12&amp;" in Budget Period 3","")&amp;IF(AND(OR(N12&lt;&gt;"",O12&lt;&gt;"",P12&lt;&gt;""),Q12&lt;&gt;""),"; ","")&amp;IF(Q12&lt;&gt;"",Q12&amp;" in Budget Period 4","")&amp;IF(AND(OR(N12&lt;&gt;"",O12&lt;&gt;"",P12&lt;&gt;"",Q12&lt;&gt;""),R12&lt;&gt;""),"; ","")&amp;IF(R12&lt;&gt;"",R12&amp;" in Budget Period 5","")&amp;" of "&amp;'BP1'!B20&amp;"'s salary is requested. ",N12&amp;" of "&amp;'BP1'!B20&amp;"'s salary is requested"&amp;IF('BP1'!$K$5&gt;1," each budget period for "&amp;'BP1'!$K$5&amp;" budget periods. ",". ")),"")&amp;IF(OR('BP1'!G20=10,'BP1'!G20=11),'BP1'!B20&amp;" currently has a"&amp;IF('BP1'!G20=11,"n "," ")&amp;'BP1'!G20&amp;"-month appointment. ","")&amp;IF(AND('BP1'!$K$5&gt;1,'BP1'!$K$7&gt;0,OR('Cumulative Budget'!H20+'Cumulative Budget'!I20+'Cumulative Budget'!J20+'Cumulative Budget'!M20&gt;0)),"Salary is inflated by "&amp;('BP1'!$K$7*100)&amp;"% annually each September. ","")&amp;IF(ISBLANK('BP1'!R20),"",'BP1'!R20)</f>
        <v/>
      </c>
      <c r="B12" s="895"/>
      <c r="C12" s="895"/>
      <c r="D12" s="895"/>
      <c r="E12" s="895"/>
      <c r="F12" s="895"/>
      <c r="G12" s="895"/>
      <c r="H12" s="895"/>
      <c r="I12" s="222" t="str">
        <f>IF(SUM('Cumulative Budget'!H20:J20)&gt;0,(IF('BP1'!$K$5&gt;0,((IF('BP1'!H20&gt;0,CONCATENATE(IF('BP1'!H20&gt;0,TEXT('BP1'!H20,"0.00")&amp;" calendar month"&amp;IF('BP1'!H20&gt;1,"s",)&amp;" (or "&amp;TEXT('BP1'!H20/'BP1'!G20,"0%")&amp;" calendar effort)",)),CONCATENATE(IF('BP1'!I20&gt;0,TEXT('BP1'!I20,"0.00")&amp;" academic month"&amp;IF('BP1'!I20&gt;1,"s",)&amp;" (or "&amp;TEXT('BP1'!I20/9,"0%")&amp;" academic effort)",),IF(AND('BP1'!I20&gt;0,'BP1'!J20&gt;0)," and ",),IF('BP1'!J20&gt;0,TEXT('BP1'!J20,"0.00")&amp;" summer month"&amp;IF('BP1'!J20&gt;1,"s",)&amp;" (or "&amp;TEXT('BP1'!J20/3,"0%")&amp;" summer effort)",))))),"")),"")</f>
        <v/>
      </c>
      <c r="J12" s="222" t="str">
        <f>IF(SUM('Cumulative Budget'!H20:J20)&gt;0,(IF('BP1'!$K$5&gt;1,((IF('BP2'!H20&gt;0,CONCATENATE(IF('BP2'!H20&gt;0,TEXT('BP2'!H20,"0.00")&amp;" calendar month"&amp;IF('BP2'!H20&gt;1,"s",)&amp;" (or "&amp;TEXT('BP2'!H20/'BP2'!G20,"0%")&amp;" calendar effort)",)),CONCATENATE(IF('BP2'!I20&gt;0,TEXT('BP2'!I20,"0.00")&amp;" academic month"&amp;IF('BP2'!I20&gt;1,"s",)&amp;" (or "&amp;TEXT('BP2'!I20/9,"0%")&amp;" academic effort)",),IF(AND('BP2'!I20&gt;0,'BP2'!J20&gt;0)," and ",),IF('BP2'!J20&gt;0,TEXT('BP2'!J20,"0.00")&amp;" summer month"&amp;IF('BP2'!J20&gt;1,"s",)&amp;" (or "&amp;TEXT('BP2'!J20/3,"0%")&amp;" summer effort)",))))),"")),"")</f>
        <v/>
      </c>
      <c r="K12" s="222" t="str">
        <f>IF(SUM('Cumulative Budget'!H20:J20)&gt;0,(IF('BP1'!$K$5&gt;2,((IF('BP3'!H20&gt;0,CONCATENATE(IF('BP3'!H20&gt;0,TEXT('BP3'!H20,"0.00")&amp;" calendar month"&amp;IF('BP3'!H20&gt;1,"s",)&amp;" (or "&amp;TEXT('BP3'!H20/'BP3'!G20,"0%")&amp;" calendar effort)",)),CONCATENATE(IF('BP3'!I20&gt;0,TEXT('BP3'!I20,"0.00")&amp;" academic month"&amp;IF('BP3'!I20&gt;1,"s",)&amp;" (or "&amp;TEXT('BP3'!I20/9,"0%")&amp;" academic effort)",),IF(AND('BP3'!I20&gt;0,'BP3'!J20&gt;0)," and ",),IF('BP3'!J20&gt;0,TEXT('BP3'!J20,"0.00")&amp;" summer month"&amp;IF('BP3'!J20&gt;1,"s",)&amp;" (or "&amp;TEXT('BP3'!J20/3,"0%")&amp;" summer effort)",))))),"")),"")</f>
        <v/>
      </c>
      <c r="L12" s="222" t="str">
        <f>IF(SUM('Cumulative Budget'!H20:J20)&gt;0,(IF('BP1'!$K$5&gt;3,((IF('BP4'!H20&gt;0,CONCATENATE(IF('BP4'!H20&gt;0,TEXT('BP4'!H20,"0.00")&amp;" calendar month"&amp;IF('BP4'!H20&gt;1,"s",)&amp;" (or "&amp;TEXT('BP4'!H20/'BP4'!G20,"0%")&amp;" calendar effort)",)),CONCATENATE(IF('BP4'!I20&gt;0,TEXT('BP4'!I20,"0.00")&amp;" academic month"&amp;IF('BP4'!I20&gt;1,"s",)&amp;" (or "&amp;TEXT('BP4'!I20/9,"0%")&amp;" academic effort)",),IF(AND('BP4'!I20&gt;0,'BP4'!J20&gt;0)," and ",),IF('BP4'!J20&gt;0,TEXT('BP4'!J20,"0.00")&amp;" summer month"&amp;IF('BP4'!J20&gt;1,"s",)&amp;" (or "&amp;TEXT('BP4'!J20/3,"0%")&amp;" summer effort)",))))),"")),"")</f>
        <v/>
      </c>
      <c r="M12" s="222" t="str">
        <f>IF(SUM('Cumulative Budget'!H20:J20)&gt;0,(IF('BP1'!$K$5&gt;4,((IF('BP5'!H20&gt;0,CONCATENATE(IF('BP5'!H20&gt;0,TEXT('BP5'!H20,"0.00")&amp;" calendar month"&amp;IF('BP5'!H20&gt;1,"s",)&amp;" (or "&amp;TEXT('BP5'!H20/'BP5'!G20,"0%")&amp;" calendar effort)",)),CONCATENATE(IF('BP5'!I20&gt;0,TEXT('BP5'!I20,"0.00")&amp;" academic month"&amp;IF('BP5'!I20&gt;1,"s",)&amp;" (or "&amp;TEXT('BP5'!I20/9,"0%")&amp;" academic effort)",),IF(AND('BP5'!I20&gt;0,'BP5'!J20&gt;0)," and ",),IF('BP5'!J20&gt;0,TEXT('BP5'!J20,"0.00")&amp;" summer month"&amp;IF('BP5'!J20&gt;1,"s",)&amp;" (or "&amp;TEXT('BP5'!J20/3,"0%")&amp;" summer effort)",))))),"")),"")</f>
        <v/>
      </c>
      <c r="N12" s="222" t="str">
        <f>IF(AND('BP1'!M20&gt;0,'BP1'!$A$5&gt;0),TEXT('BP1'!M20,"0.00")&amp;" cost-shared month"&amp;IF('BP1'!M20&gt;1,"s",)&amp;" (or "&amp;TEXT('BP1'!M20/'BP1'!G20,"0%")&amp;" cost-shared effort)","")</f>
        <v/>
      </c>
      <c r="O12" s="222" t="str">
        <f>IF(AND('BP2'!M20&gt;0,'BP2'!$A$5&gt;0),TEXT('BP2'!M20,"0.00")&amp;" cost-shared month"&amp;IF('BP2'!M20&gt;1,"s",)&amp;" (or "&amp;TEXT('BP2'!M20/'BP2'!G20,"0%")&amp;" cost-shared effort)","")</f>
        <v/>
      </c>
      <c r="P12" s="222" t="str">
        <f>IF(AND('BP3'!M20&gt;0,'BP3'!$A$5&gt;0),TEXT('BP3'!M20,"0.00")&amp;" cost-shared month"&amp;IF('BP3'!M20&gt;1,"s",)&amp;" (or "&amp;TEXT('BP3'!M20/'BP3'!G20,"0%")&amp;" cost-shared effort)","")</f>
        <v/>
      </c>
      <c r="Q12" s="222" t="str">
        <f>IF(AND('BP4'!M20&gt;0,'BP4'!$A$5&gt;0),TEXT('BP4'!M20,"0.00")&amp;" cost-shared month"&amp;IF('BP4'!M20&gt;1,"s",)&amp;" (or "&amp;TEXT('BP4'!M20/'BP4'!G20,"0%")&amp;" cost-shared effort)","")</f>
        <v/>
      </c>
      <c r="R12" s="222" t="str">
        <f>IF(AND('BP5'!M20&gt;0,'BP5'!$A$5&gt;0),TEXT('BP5'!M20,"0.00")&amp;" cost-shared month"&amp;IF('BP5'!M20&gt;1,"s",)&amp;" (or "&amp;TEXT('BP5'!M20/'BP5'!G20,"0%")&amp;" cost-shared effort)","")</f>
        <v/>
      </c>
      <c r="S12" s="208" t="str">
        <f>IF(AND('BP1'!$K$5=2,I12&lt;&gt;J12),"Note: Effort changes in the outyears!","")&amp;IF(AND('BP1'!$K$5=3,OR(I12&lt;&gt;J12,I12&lt;&gt;K12,J12&lt;&gt;K12)),"Note: Effort changes in the outyears!","")&amp;IF(AND('BP1'!$K$5=4,OR(I12&lt;&gt;J12,I12&lt;&gt;K12,I12&lt;&gt;L12,J12&lt;&gt;K12,J12&lt;&gt;L12,K12&lt;&gt;L12)),"Note: Effort changes in the outyears!","")&amp;IF(AND('BP1'!$K$5=5,OR(I12&lt;&gt;J12,I12&lt;&gt;K12,I12&lt;&gt;L12,I12&lt;&gt;M12,J12&lt;&gt;K12,J12&lt;&gt;L12,J12&lt;&gt;M12,K12&lt;&gt;L12,K12&lt;&gt;M12,L12&lt;&gt;M12)),"Note: Effort changes in the outyears!","")</f>
        <v/>
      </c>
      <c r="T12" s="208" t="str">
        <f>IF(AND('BP1'!$K$5=2,N12&lt;&gt;O12),"Note: Effort changes in the outyears!","")&amp;IF(AND('BP1'!$K$5=3,OR(N12&lt;&gt;O12,N12&lt;&gt;P12,O12&lt;&gt;P12)),"Note: Effort changes in the outyears!","")&amp;IF(AND('BP1'!$K$5=4,OR(N12&lt;&gt;O12,N12&lt;&gt;P12,N12&lt;&gt;Q12,O12&lt;&gt;P12,O12&lt;&gt;Q12,P12&lt;&gt;Q12)),"Note: Effort changes in the outyears!","")&amp;IF(AND('BP1'!$K$5=5,OR(N12&lt;&gt;O12,N12&lt;&gt;P12,N12&lt;&gt;Q12,N12&lt;&gt;R12,O12&lt;&gt;P12,O12&lt;&gt;Q12,O12&lt;&gt;R12,P12&lt;&gt;Q12,P12&lt;&gt;R12,Q12&lt;&gt;R12)),"Note: Effort changes in the outyears!","")</f>
        <v/>
      </c>
      <c r="U12" s="597" t="str">
        <f t="shared" si="0"/>
        <v>Blank</v>
      </c>
    </row>
    <row r="13" spans="1:28" ht="60" customHeight="1">
      <c r="A13" s="895" t="str">
        <f>IF('Cumulative Budget'!H21+'Cumulative Budget'!I21+'Cumulative Budget'!J21&gt;0,IF(S13="Note: Effort changes in the outyears!",IF(I13&lt;&gt;"",I13&amp;" in Budget Period 1","")&amp;IF(AND(I13&lt;&gt;"",J13&lt;&gt;""),"; ","")&amp;IF(J13&lt;&gt;"",J13&amp;" in Budget Period 2","")&amp;IF(AND(OR(I13&lt;&gt;"",J13&lt;&gt;""),K13&lt;&gt;""),"; ","")&amp;IF(K13&lt;&gt;"",K13&amp;" in Budget Period 3","")&amp;IF(AND(OR(I13&lt;&gt;"",J13&lt;&gt;"",K13&lt;&gt;""),L13&lt;&gt;""),"; ","")&amp;IF(L13&lt;&gt;"",L13&amp;" in Budget Period 4","")&amp;IF(AND(OR(I13&lt;&gt;"",J13&lt;&gt;"",K13&lt;&gt;"",L13&lt;&gt;""),M13&lt;&gt;""),"; ","")&amp;IF(M13&lt;&gt;"",M13&amp;" in Budget Period 5","")&amp;" of "&amp;'BP1'!B21&amp;"'s salary is requested. ",I13&amp;" of "&amp;'BP1'!B21&amp;"'s salary is requested"&amp;IF('BP1'!$K$5&gt;1," each budget period for "&amp;'BP1'!$K$5&amp;" budget periods. ",". ")),"")&amp;IF('Cumulative Budget'!M21&gt;0,IF(T13="Note: Effort changes in the outyears!",IF(N13&lt;&gt;"",N13&amp;" in Budget Period 1","")&amp;IF(AND(N13&lt;&gt;"",O13&lt;&gt;""),"; ","")&amp;IF(O13&lt;&gt;"",O13&amp;" in Budget Period 2","")&amp;IF(AND(OR(N13&lt;&gt;"",O13&lt;&gt;""),P13&lt;&gt;""),"; ","")&amp;IF(P13&lt;&gt;"",P13&amp;" in Budget Period 3","")&amp;IF(AND(OR(N13&lt;&gt;"",O13&lt;&gt;"",P13&lt;&gt;""),Q13&lt;&gt;""),"; ","")&amp;IF(Q13&lt;&gt;"",Q13&amp;" in Budget Period 4","")&amp;IF(AND(OR(N13&lt;&gt;"",O13&lt;&gt;"",P13&lt;&gt;"",Q13&lt;&gt;""),R13&lt;&gt;""),"; ","")&amp;IF(R13&lt;&gt;"",R13&amp;" in Budget Period 5","")&amp;" of "&amp;'BP1'!B21&amp;"'s salary is requested. ",N13&amp;" of "&amp;'BP1'!B21&amp;"'s salary is requested"&amp;IF('BP1'!$K$5&gt;1," each budget period for "&amp;'BP1'!$K$5&amp;" budget periods. ",". ")),"")&amp;IF(OR('BP1'!G21=10,'BP1'!G21=11),'BP1'!B21&amp;" currently has a"&amp;IF('BP1'!G21=11,"n "," ")&amp;'BP1'!G21&amp;"-month appointment. ","")&amp;IF(AND('BP1'!$K$5&gt;1,'BP1'!$K$7&gt;0,OR('Cumulative Budget'!H21+'Cumulative Budget'!I21+'Cumulative Budget'!J21+'Cumulative Budget'!M21&gt;0)),"Salary is inflated by "&amp;('BP1'!$K$7*100)&amp;"% annually each September. ","")&amp;IF(ISBLANK('BP1'!R21),"",'BP1'!R21)</f>
        <v/>
      </c>
      <c r="B13" s="895"/>
      <c r="C13" s="895"/>
      <c r="D13" s="895"/>
      <c r="E13" s="895"/>
      <c r="F13" s="895"/>
      <c r="G13" s="895"/>
      <c r="H13" s="895"/>
      <c r="I13" s="222" t="str">
        <f>IF(SUM('Cumulative Budget'!H21:J21)&gt;0,(IF('BP1'!$K$5&gt;0,((IF('BP1'!H21&gt;0,CONCATENATE(IF('BP1'!H21&gt;0,TEXT('BP1'!H21,"0.00")&amp;" calendar month"&amp;IF('BP1'!H21&gt;1,"s",)&amp;" (or "&amp;TEXT('BP1'!H21/'BP1'!G21,"0%")&amp;" calendar effort)",)),CONCATENATE(IF('BP1'!I21&gt;0,TEXT('BP1'!I21,"0.00")&amp;" academic month"&amp;IF('BP1'!I21&gt;1,"s",)&amp;" (or "&amp;TEXT('BP1'!I21/9,"0%")&amp;" academic effort)",),IF(AND('BP1'!I21&gt;0,'BP1'!J21&gt;0)," and ",),IF('BP1'!J21&gt;0,TEXT('BP1'!J21,"0.00")&amp;" summer month"&amp;IF('BP1'!J21&gt;1,"s",)&amp;" (or "&amp;TEXT('BP1'!J21/3,"0%")&amp;" summer effort)",))))),"")),"")</f>
        <v/>
      </c>
      <c r="J13" s="222" t="str">
        <f>IF(SUM('Cumulative Budget'!H21:J21)&gt;0,(IF('BP1'!$K$5&gt;1,((IF('BP2'!H21&gt;0,CONCATENATE(IF('BP2'!H21&gt;0,TEXT('BP2'!H21,"0.00")&amp;" calendar month"&amp;IF('BP2'!H21&gt;1,"s",)&amp;" (or "&amp;TEXT('BP2'!H21/'BP2'!G21,"0%")&amp;" calendar effort)",)),CONCATENATE(IF('BP2'!I21&gt;0,TEXT('BP2'!I21,"0.00")&amp;" academic month"&amp;IF('BP2'!I21&gt;1,"s",)&amp;" (or "&amp;TEXT('BP2'!I21/9,"0%")&amp;" academic effort)",),IF(AND('BP2'!I21&gt;0,'BP2'!J21&gt;0)," and ",),IF('BP2'!J21&gt;0,TEXT('BP2'!J21,"0.00")&amp;" summer month"&amp;IF('BP2'!J21&gt;1,"s",)&amp;" (or "&amp;TEXT('BP2'!J21/3,"0%")&amp;" summer effort)",))))),"")),"")</f>
        <v/>
      </c>
      <c r="K13" s="222" t="str">
        <f>IF(SUM('Cumulative Budget'!H21:J21)&gt;0,(IF('BP1'!$K$5&gt;2,((IF('BP3'!H21&gt;0,CONCATENATE(IF('BP3'!H21&gt;0,TEXT('BP3'!H21,"0.00")&amp;" calendar month"&amp;IF('BP3'!H21&gt;1,"s",)&amp;" (or "&amp;TEXT('BP3'!H21/'BP3'!G21,"0%")&amp;" calendar effort)",)),CONCATENATE(IF('BP3'!I21&gt;0,TEXT('BP3'!I21,"0.00")&amp;" academic month"&amp;IF('BP3'!I21&gt;1,"s",)&amp;" (or "&amp;TEXT('BP3'!I21/9,"0%")&amp;" academic effort)",),IF(AND('BP3'!I21&gt;0,'BP3'!J21&gt;0)," and ",),IF('BP3'!J21&gt;0,TEXT('BP3'!J21,"0.00")&amp;" summer month"&amp;IF('BP3'!J21&gt;1,"s",)&amp;" (or "&amp;TEXT('BP3'!J21/3,"0%")&amp;" summer effort)",))))),"")),"")</f>
        <v/>
      </c>
      <c r="L13" s="222" t="str">
        <f>IF(SUM('Cumulative Budget'!H21:J21)&gt;0,(IF('BP1'!$K$5&gt;3,((IF('BP4'!H21&gt;0,CONCATENATE(IF('BP4'!H21&gt;0,TEXT('BP4'!H21,"0.00")&amp;" calendar month"&amp;IF('BP4'!H21&gt;1,"s",)&amp;" (or "&amp;TEXT('BP4'!H21/'BP4'!G21,"0%")&amp;" calendar effort)",)),CONCATENATE(IF('BP4'!I21&gt;0,TEXT('BP4'!I21,"0.00")&amp;" academic month"&amp;IF('BP4'!I21&gt;1,"s",)&amp;" (or "&amp;TEXT('BP4'!I21/9,"0%")&amp;" academic effort)",),IF(AND('BP4'!I21&gt;0,'BP4'!J21&gt;0)," and ",),IF('BP4'!J21&gt;0,TEXT('BP4'!J21,"0.00")&amp;" summer month"&amp;IF('BP4'!J21&gt;1,"s",)&amp;" (or "&amp;TEXT('BP4'!J21/3,"0%")&amp;" summer effort)",))))),"")),"")</f>
        <v/>
      </c>
      <c r="M13" s="222" t="str">
        <f>IF(SUM('Cumulative Budget'!H21:J21)&gt;0,(IF('BP1'!$K$5&gt;4,((IF('BP5'!H21&gt;0,CONCATENATE(IF('BP5'!H21&gt;0,TEXT('BP5'!H21,"0.00")&amp;" calendar month"&amp;IF('BP5'!H21&gt;1,"s",)&amp;" (or "&amp;TEXT('BP5'!H21/'BP5'!G21,"0%")&amp;" calendar effort)",)),CONCATENATE(IF('BP5'!I21&gt;0,TEXT('BP5'!I21,"0.00")&amp;" academic month"&amp;IF('BP5'!I21&gt;1,"s",)&amp;" (or "&amp;TEXT('BP5'!I21/9,"0%")&amp;" academic effort)",),IF(AND('BP5'!I21&gt;0,'BP5'!J21&gt;0)," and ",),IF('BP5'!J21&gt;0,TEXT('BP5'!J21,"0.00")&amp;" summer month"&amp;IF('BP5'!J21&gt;1,"s",)&amp;" (or "&amp;TEXT('BP5'!J21/3,"0%")&amp;" summer effort)",))))),"")),"")</f>
        <v/>
      </c>
      <c r="N13" s="222" t="str">
        <f>IF(AND('BP1'!M21&gt;0,'BP1'!$A$5&gt;0),TEXT('BP1'!M21,"0.00")&amp;" cost-shared month"&amp;IF('BP1'!M21&gt;1,"s",)&amp;" (or "&amp;TEXT('BP1'!M21/'BP1'!G21,"0%")&amp;" cost-shared effort)","")</f>
        <v/>
      </c>
      <c r="O13" s="222" t="str">
        <f>IF(AND('BP2'!M21&gt;0,'BP2'!$A$5&gt;0),TEXT('BP2'!M21,"0.00")&amp;" cost-shared month"&amp;IF('BP2'!M21&gt;1,"s",)&amp;" (or "&amp;TEXT('BP2'!M21/'BP2'!G21,"0%")&amp;" cost-shared effort)","")</f>
        <v/>
      </c>
      <c r="P13" s="222" t="str">
        <f>IF(AND('BP3'!M21&gt;0,'BP3'!$A$5&gt;0),TEXT('BP3'!M21,"0.00")&amp;" cost-shared month"&amp;IF('BP3'!M21&gt;1,"s",)&amp;" (or "&amp;TEXT('BP3'!M21/'BP3'!G21,"0%")&amp;" cost-shared effort)","")</f>
        <v/>
      </c>
      <c r="Q13" s="222" t="str">
        <f>IF(AND('BP4'!M21&gt;0,'BP4'!$A$5&gt;0),TEXT('BP4'!M21,"0.00")&amp;" cost-shared month"&amp;IF('BP4'!M21&gt;1,"s",)&amp;" (or "&amp;TEXT('BP4'!M21/'BP4'!G21,"0%")&amp;" cost-shared effort)","")</f>
        <v/>
      </c>
      <c r="R13" s="222" t="str">
        <f>IF(AND('BP5'!M21&gt;0,'BP5'!$A$5&gt;0),TEXT('BP5'!M21,"0.00")&amp;" cost-shared month"&amp;IF('BP5'!M21&gt;1,"s",)&amp;" (or "&amp;TEXT('BP5'!M21/'BP5'!G21,"0%")&amp;" cost-shared effort)","")</f>
        <v/>
      </c>
      <c r="S13" s="208" t="str">
        <f>IF(AND('BP1'!$K$5=2,I13&lt;&gt;J13),"Note: Effort changes in the outyears!","")&amp;IF(AND('BP1'!$K$5=3,OR(I13&lt;&gt;J13,I13&lt;&gt;K13,J13&lt;&gt;K13)),"Note: Effort changes in the outyears!","")&amp;IF(AND('BP1'!$K$5=4,OR(I13&lt;&gt;J13,I13&lt;&gt;K13,I13&lt;&gt;L13,J13&lt;&gt;K13,J13&lt;&gt;L13,K13&lt;&gt;L13)),"Note: Effort changes in the outyears!","")&amp;IF(AND('BP1'!$K$5=5,OR(I13&lt;&gt;J13,I13&lt;&gt;K13,I13&lt;&gt;L13,I13&lt;&gt;M13,J13&lt;&gt;K13,J13&lt;&gt;L13,J13&lt;&gt;M13,K13&lt;&gt;L13,K13&lt;&gt;M13,L13&lt;&gt;M13)),"Note: Effort changes in the outyears!","")</f>
        <v/>
      </c>
      <c r="T13" s="208" t="str">
        <f>IF(AND('BP1'!$K$5=2,N13&lt;&gt;O13),"Note: Effort changes in the outyears!","")&amp;IF(AND('BP1'!$K$5=3,OR(N13&lt;&gt;O13,N13&lt;&gt;P13,O13&lt;&gt;P13)),"Note: Effort changes in the outyears!","")&amp;IF(AND('BP1'!$K$5=4,OR(N13&lt;&gt;O13,N13&lt;&gt;P13,N13&lt;&gt;Q13,O13&lt;&gt;P13,O13&lt;&gt;Q13,P13&lt;&gt;Q13)),"Note: Effort changes in the outyears!","")&amp;IF(AND('BP1'!$K$5=5,OR(N13&lt;&gt;O13,N13&lt;&gt;P13,N13&lt;&gt;Q13,N13&lt;&gt;R13,O13&lt;&gt;P13,O13&lt;&gt;Q13,O13&lt;&gt;R13,P13&lt;&gt;Q13,P13&lt;&gt;R13,Q13&lt;&gt;R13)),"Note: Effort changes in the outyears!","")</f>
        <v/>
      </c>
      <c r="U13" s="597" t="str">
        <f t="shared" si="0"/>
        <v>Blank</v>
      </c>
    </row>
    <row r="14" spans="1:28" ht="60" customHeight="1">
      <c r="A14" s="895" t="str">
        <f>IF('Cumulative Budget'!H22+'Cumulative Budget'!I22+'Cumulative Budget'!J22&gt;0,IF(S14="Note: Effort changes in the outyears!",IF(I14&lt;&gt;"",I14&amp;" in Budget Period 1","")&amp;IF(AND(I14&lt;&gt;"",J14&lt;&gt;""),"; ","")&amp;IF(J14&lt;&gt;"",J14&amp;" in Budget Period 2","")&amp;IF(AND(OR(I14&lt;&gt;"",J14&lt;&gt;""),K14&lt;&gt;""),"; ","")&amp;IF(K14&lt;&gt;"",K14&amp;" in Budget Period 3","")&amp;IF(AND(OR(I14&lt;&gt;"",J14&lt;&gt;"",K14&lt;&gt;""),L14&lt;&gt;""),"; ","")&amp;IF(L14&lt;&gt;"",L14&amp;" in Budget Period 4","")&amp;IF(AND(OR(I14&lt;&gt;"",J14&lt;&gt;"",K14&lt;&gt;"",L14&lt;&gt;""),M14&lt;&gt;""),"; ","")&amp;IF(M14&lt;&gt;"",M14&amp;" in Budget Period 5","")&amp;" of "&amp;'BP1'!B22&amp;"'s salary is requested. ",I14&amp;" of "&amp;'BP1'!B22&amp;"'s salary is requested"&amp;IF('BP1'!$K$5&gt;1," each budget period for "&amp;'BP1'!$K$5&amp;" budget periods. ",". ")),"")&amp;IF('Cumulative Budget'!M22&gt;0,IF(T14="Note: Effort changes in the outyears!",IF(N14&lt;&gt;"",N14&amp;" in Budget Period 1","")&amp;IF(AND(N14&lt;&gt;"",O14&lt;&gt;""),"; ","")&amp;IF(O14&lt;&gt;"",O14&amp;" in Budget Period 2","")&amp;IF(AND(OR(N14&lt;&gt;"",O14&lt;&gt;""),P14&lt;&gt;""),"; ","")&amp;IF(P14&lt;&gt;"",P14&amp;" in Budget Period 3","")&amp;IF(AND(OR(N14&lt;&gt;"",O14&lt;&gt;"",P14&lt;&gt;""),Q14&lt;&gt;""),"; ","")&amp;IF(Q14&lt;&gt;"",Q14&amp;" in Budget Period 4","")&amp;IF(AND(OR(N14&lt;&gt;"",O14&lt;&gt;"",P14&lt;&gt;"",Q14&lt;&gt;""),R14&lt;&gt;""),"; ","")&amp;IF(R14&lt;&gt;"",R14&amp;" in Budget Period 5","")&amp;" of "&amp;'BP1'!B22&amp;"'s salary is requested. ",N14&amp;" of "&amp;'BP1'!B22&amp;"'s salary is requested"&amp;IF('BP1'!$K$5&gt;1," each budget period for "&amp;'BP1'!$K$5&amp;" budget periods. ",". ")),"")&amp;IF(OR('BP1'!G22=10,'BP1'!G22=11),'BP1'!B22&amp;" currently has a"&amp;IF('BP1'!G22=11,"n "," ")&amp;'BP1'!G22&amp;"-month appointment. ","")&amp;IF(AND('BP1'!$K$5&gt;1,'BP1'!$K$7&gt;0,OR('Cumulative Budget'!H22+'Cumulative Budget'!I22+'Cumulative Budget'!J22+'Cumulative Budget'!M22&gt;0)),"Salary is inflated by "&amp;('BP1'!$K$7*100)&amp;"% annually each September. ","")&amp;IF(ISBLANK('BP1'!R22),"",'BP1'!R22)</f>
        <v/>
      </c>
      <c r="B14" s="895"/>
      <c r="C14" s="895"/>
      <c r="D14" s="895"/>
      <c r="E14" s="895"/>
      <c r="F14" s="895"/>
      <c r="G14" s="895"/>
      <c r="H14" s="895"/>
      <c r="I14" s="222" t="str">
        <f>IF(SUM('Cumulative Budget'!H22:J22)&gt;0,(IF('BP1'!$K$5&gt;0,((IF('BP1'!H22&gt;0,CONCATENATE(IF('BP1'!H22&gt;0,TEXT('BP1'!H22,"0.00")&amp;" calendar month"&amp;IF('BP1'!H22&gt;1,"s",)&amp;" (or "&amp;TEXT('BP1'!H22/'BP1'!G22,"0%")&amp;" calendar effort)",)),CONCATENATE(IF('BP1'!I22&gt;0,TEXT('BP1'!I22,"0.00")&amp;" academic month"&amp;IF('BP1'!I22&gt;1,"s",)&amp;" (or "&amp;TEXT('BP1'!I22/9,"0%")&amp;" academic effort)",),IF(AND('BP1'!I22&gt;0,'BP1'!J22&gt;0)," and ",),IF('BP1'!J22&gt;0,TEXT('BP1'!J22,"0.00")&amp;" summer month"&amp;IF('BP1'!J22&gt;1,"s",)&amp;" (or "&amp;TEXT('BP1'!J22/3,"0%")&amp;" summer effort)",))))),"")),"")</f>
        <v/>
      </c>
      <c r="J14" s="222" t="str">
        <f>IF(SUM('Cumulative Budget'!H22:J22)&gt;0,(IF('BP1'!$K$5&gt;1,((IF('BP2'!H22&gt;0,CONCATENATE(IF('BP2'!H22&gt;0,TEXT('BP2'!H22,"0.00")&amp;" calendar month"&amp;IF('BP2'!H22&gt;1,"s",)&amp;" (or "&amp;TEXT('BP2'!H22/'BP2'!G22,"0%")&amp;" calendar effort)",)),CONCATENATE(IF('BP2'!I22&gt;0,TEXT('BP2'!I22,"0.00")&amp;" academic month"&amp;IF('BP2'!I22&gt;1,"s",)&amp;" (or "&amp;TEXT('BP2'!I22/9,"0%")&amp;" academic effort)",),IF(AND('BP2'!I22&gt;0,'BP2'!J22&gt;0)," and ",),IF('BP2'!J22&gt;0,TEXT('BP2'!J22,"0.00")&amp;" summer month"&amp;IF('BP2'!J22&gt;1,"s",)&amp;" (or "&amp;TEXT('BP2'!J22/3,"0%")&amp;" summer effort)",))))),"")),"")</f>
        <v/>
      </c>
      <c r="K14" s="222" t="str">
        <f>IF(SUM('Cumulative Budget'!H22:J22)&gt;0,(IF('BP1'!$K$5&gt;2,((IF('BP3'!H22&gt;0,CONCATENATE(IF('BP3'!H22&gt;0,TEXT('BP3'!H22,"0.00")&amp;" calendar month"&amp;IF('BP3'!H22&gt;1,"s",)&amp;" (or "&amp;TEXT('BP3'!H22/'BP3'!G22,"0%")&amp;" calendar effort)",)),CONCATENATE(IF('BP3'!I22&gt;0,TEXT('BP3'!I22,"0.00")&amp;" academic month"&amp;IF('BP3'!I22&gt;1,"s",)&amp;" (or "&amp;TEXT('BP3'!I22/9,"0%")&amp;" academic effort)",),IF(AND('BP3'!I22&gt;0,'BP3'!J22&gt;0)," and ",),IF('BP3'!J22&gt;0,TEXT('BP3'!J22,"0.00")&amp;" summer month"&amp;IF('BP3'!J22&gt;1,"s",)&amp;" (or "&amp;TEXT('BP3'!J22/3,"0%")&amp;" summer effort)",))))),"")),"")</f>
        <v/>
      </c>
      <c r="L14" s="222" t="str">
        <f>IF(SUM('Cumulative Budget'!H22:J22)&gt;0,(IF('BP1'!$K$5&gt;3,((IF('BP4'!H22&gt;0,CONCATENATE(IF('BP4'!H22&gt;0,TEXT('BP4'!H22,"0.00")&amp;" calendar month"&amp;IF('BP4'!H22&gt;1,"s",)&amp;" (or "&amp;TEXT('BP4'!H22/'BP4'!G22,"0%")&amp;" calendar effort)",)),CONCATENATE(IF('BP4'!I22&gt;0,TEXT('BP4'!I22,"0.00")&amp;" academic month"&amp;IF('BP4'!I22&gt;1,"s",)&amp;" (or "&amp;TEXT('BP4'!I22/9,"0%")&amp;" academic effort)",),IF(AND('BP4'!I22&gt;0,'BP4'!J22&gt;0)," and ",),IF('BP4'!J22&gt;0,TEXT('BP4'!J22,"0.00")&amp;" summer month"&amp;IF('BP4'!J22&gt;1,"s",)&amp;" (or "&amp;TEXT('BP4'!J22/3,"0%")&amp;" summer effort)",))))),"")),"")</f>
        <v/>
      </c>
      <c r="M14" s="222" t="str">
        <f>IF(SUM('Cumulative Budget'!H22:J22)&gt;0,(IF('BP1'!$K$5&gt;4,((IF('BP5'!H22&gt;0,CONCATENATE(IF('BP5'!H22&gt;0,TEXT('BP5'!H22,"0.00")&amp;" calendar month"&amp;IF('BP5'!H22&gt;1,"s",)&amp;" (or "&amp;TEXT('BP5'!H22/'BP5'!G22,"0%")&amp;" calendar effort)",)),CONCATENATE(IF('BP5'!I22&gt;0,TEXT('BP5'!I22,"0.00")&amp;" academic month"&amp;IF('BP5'!I22&gt;1,"s",)&amp;" (or "&amp;TEXT('BP5'!I22/9,"0%")&amp;" academic effort)",),IF(AND('BP5'!I22&gt;0,'BP5'!J22&gt;0)," and ",),IF('BP5'!J22&gt;0,TEXT('BP5'!J22,"0.00")&amp;" summer month"&amp;IF('BP5'!J22&gt;1,"s",)&amp;" (or "&amp;TEXT('BP5'!J22/3,"0%")&amp;" summer effort)",))))),"")),"")</f>
        <v/>
      </c>
      <c r="N14" s="222" t="str">
        <f>IF(AND('BP1'!M22&gt;0,'BP1'!$A$5&gt;0),TEXT('BP1'!M22,"0.00")&amp;" cost-shared month"&amp;IF('BP1'!M22&gt;1,"s",)&amp;" (or "&amp;TEXT('BP1'!M22/'BP1'!G22,"0%")&amp;" cost-shared effort)","")</f>
        <v/>
      </c>
      <c r="O14" s="222" t="str">
        <f>IF(AND('BP2'!M22&gt;0,'BP2'!$A$5&gt;0),TEXT('BP2'!M22,"0.00")&amp;" cost-shared month"&amp;IF('BP2'!M22&gt;1,"s",)&amp;" (or "&amp;TEXT('BP2'!M22/'BP2'!G22,"0%")&amp;" cost-shared effort)","")</f>
        <v/>
      </c>
      <c r="P14" s="222" t="str">
        <f>IF(AND('BP3'!M22&gt;0,'BP3'!$A$5&gt;0),TEXT('BP3'!M22,"0.00")&amp;" cost-shared month"&amp;IF('BP3'!M22&gt;1,"s",)&amp;" (or "&amp;TEXT('BP3'!M22/'BP3'!G22,"0%")&amp;" cost-shared effort)","")</f>
        <v/>
      </c>
      <c r="Q14" s="222" t="str">
        <f>IF(AND('BP4'!M22&gt;0,'BP4'!$A$5&gt;0),TEXT('BP4'!M22,"0.00")&amp;" cost-shared month"&amp;IF('BP4'!M22&gt;1,"s",)&amp;" (or "&amp;TEXT('BP4'!M22/'BP4'!G22,"0%")&amp;" cost-shared effort)","")</f>
        <v/>
      </c>
      <c r="R14" s="222" t="str">
        <f>IF(AND('BP5'!M22&gt;0,'BP5'!$A$5&gt;0),TEXT('BP5'!M22,"0.00")&amp;" cost-shared month"&amp;IF('BP5'!M22&gt;1,"s",)&amp;" (or "&amp;TEXT('BP5'!M22/'BP5'!G22,"0%")&amp;" cost-shared effort)","")</f>
        <v/>
      </c>
      <c r="S14" s="208" t="str">
        <f>IF(AND('BP1'!$K$5=2,I14&lt;&gt;J14),"Note: Effort changes in the outyears!","")&amp;IF(AND('BP1'!$K$5=3,OR(I14&lt;&gt;J14,I14&lt;&gt;K14,J14&lt;&gt;K14)),"Note: Effort changes in the outyears!","")&amp;IF(AND('BP1'!$K$5=4,OR(I14&lt;&gt;J14,I14&lt;&gt;K14,I14&lt;&gt;L14,J14&lt;&gt;K14,J14&lt;&gt;L14,K14&lt;&gt;L14)),"Note: Effort changes in the outyears!","")&amp;IF(AND('BP1'!$K$5=5,OR(I14&lt;&gt;J14,I14&lt;&gt;K14,I14&lt;&gt;L14,I14&lt;&gt;M14,J14&lt;&gt;K14,J14&lt;&gt;L14,J14&lt;&gt;M14,K14&lt;&gt;L14,K14&lt;&gt;M14,L14&lt;&gt;M14)),"Note: Effort changes in the outyears!","")</f>
        <v/>
      </c>
      <c r="T14" s="208" t="str">
        <f>IF(AND('BP1'!$K$5=2,N14&lt;&gt;O14),"Note: Effort changes in the outyears!","")&amp;IF(AND('BP1'!$K$5=3,OR(N14&lt;&gt;O14,N14&lt;&gt;P14,O14&lt;&gt;P14)),"Note: Effort changes in the outyears!","")&amp;IF(AND('BP1'!$K$5=4,OR(N14&lt;&gt;O14,N14&lt;&gt;P14,N14&lt;&gt;Q14,O14&lt;&gt;P14,O14&lt;&gt;Q14,P14&lt;&gt;Q14)),"Note: Effort changes in the outyears!","")&amp;IF(AND('BP1'!$K$5=5,OR(N14&lt;&gt;O14,N14&lt;&gt;P14,N14&lt;&gt;Q14,N14&lt;&gt;R14,O14&lt;&gt;P14,O14&lt;&gt;Q14,O14&lt;&gt;R14,P14&lt;&gt;Q14,P14&lt;&gt;R14,Q14&lt;&gt;R14)),"Note: Effort changes in the outyears!","")</f>
        <v/>
      </c>
      <c r="U14" s="597" t="str">
        <f t="shared" si="0"/>
        <v>Blank</v>
      </c>
    </row>
    <row r="15" spans="1:28" ht="60" customHeight="1">
      <c r="A15" s="895" t="str">
        <f>IF('Cumulative Budget'!H23+'Cumulative Budget'!I23+'Cumulative Budget'!J23&gt;0,IF(S15="Note: Effort changes in the outyears!",IF(I15&lt;&gt;"",I15&amp;" in Budget Period 1","")&amp;IF(AND(I15&lt;&gt;"",J15&lt;&gt;""),"; ","")&amp;IF(J15&lt;&gt;"",J15&amp;" in Budget Period 2","")&amp;IF(AND(OR(I15&lt;&gt;"",J15&lt;&gt;""),K15&lt;&gt;""),"; ","")&amp;IF(K15&lt;&gt;"",K15&amp;" in Budget Period 3","")&amp;IF(AND(OR(I15&lt;&gt;"",J15&lt;&gt;"",K15&lt;&gt;""),L15&lt;&gt;""),"; ","")&amp;IF(L15&lt;&gt;"",L15&amp;" in Budget Period 4","")&amp;IF(AND(OR(I15&lt;&gt;"",J15&lt;&gt;"",K15&lt;&gt;"",L15&lt;&gt;""),M15&lt;&gt;""),"; ","")&amp;IF(M15&lt;&gt;"",M15&amp;" in Budget Period 5","")&amp;" of "&amp;'BP1'!B23&amp;"'s salary is requested. ",I15&amp;" of "&amp;'BP1'!B23&amp;"'s salary is requested"&amp;IF('BP1'!$K$5&gt;1," each budget period for "&amp;'BP1'!$K$5&amp;" budget periods. ",". ")),"")&amp;IF('Cumulative Budget'!M23&gt;0,IF(T15="Note: Effort changes in the outyears!",IF(N15&lt;&gt;"",N15&amp;" in Budget Period 1","")&amp;IF(AND(N15&lt;&gt;"",O15&lt;&gt;""),"; ","")&amp;IF(O15&lt;&gt;"",O15&amp;" in Budget Period 2","")&amp;IF(AND(OR(N15&lt;&gt;"",O15&lt;&gt;""),P15&lt;&gt;""),"; ","")&amp;IF(P15&lt;&gt;"",P15&amp;" in Budget Period 3","")&amp;IF(AND(OR(N15&lt;&gt;"",O15&lt;&gt;"",P15&lt;&gt;""),Q15&lt;&gt;""),"; ","")&amp;IF(Q15&lt;&gt;"",Q15&amp;" in Budget Period 4","")&amp;IF(AND(OR(N15&lt;&gt;"",O15&lt;&gt;"",P15&lt;&gt;"",Q15&lt;&gt;""),R15&lt;&gt;""),"; ","")&amp;IF(R15&lt;&gt;"",R15&amp;" in Budget Period 5","")&amp;" of "&amp;'BP1'!B23&amp;"'s salary is requested. ",N15&amp;" of "&amp;'BP1'!B23&amp;"'s salary is requested"&amp;IF('BP1'!$K$5&gt;1," each budget period for "&amp;'BP1'!$K$5&amp;" budget periods. ",". ")),"")&amp;IF(OR('BP1'!G23=10,'BP1'!G23=11),'BP1'!B23&amp;" currently has a"&amp;IF('BP1'!G23=11,"n "," ")&amp;'BP1'!G23&amp;"-month appointment. ","")&amp;IF(AND('BP1'!$K$5&gt;1,'BP1'!$K$7&gt;0,OR('Cumulative Budget'!H23+'Cumulative Budget'!I23+'Cumulative Budget'!J23+'Cumulative Budget'!M23&gt;0)),"Salary is inflated by "&amp;('BP1'!$K$7*100)&amp;"% annually each September. ","")&amp;IF(ISBLANK('BP1'!R23),"",'BP1'!R23)</f>
        <v/>
      </c>
      <c r="B15" s="895"/>
      <c r="C15" s="895"/>
      <c r="D15" s="895"/>
      <c r="E15" s="895"/>
      <c r="F15" s="895"/>
      <c r="G15" s="895"/>
      <c r="H15" s="895"/>
      <c r="I15" s="222" t="str">
        <f>IF(SUM('Cumulative Budget'!H23:J23)&gt;0,(IF('BP1'!$K$5&gt;0,((IF('BP1'!H23&gt;0,CONCATENATE(IF('BP1'!H23&gt;0,TEXT('BP1'!H23,"0.00")&amp;" calendar month"&amp;IF('BP1'!H23&gt;1,"s",)&amp;" (or "&amp;TEXT('BP1'!H23/'BP1'!G23,"0%")&amp;" calendar effort)",)),CONCATENATE(IF('BP1'!I23&gt;0,TEXT('BP1'!I23,"0.00")&amp;" academic month"&amp;IF('BP1'!I23&gt;1,"s",)&amp;" (or "&amp;TEXT('BP1'!I23/9,"0%")&amp;" academic effort)",),IF(AND('BP1'!I23&gt;0,'BP1'!J23&gt;0)," and ",),IF('BP1'!J23&gt;0,TEXT('BP1'!J23,"0.00")&amp;" summer month"&amp;IF('BP1'!J23&gt;1,"s",)&amp;" (or "&amp;TEXT('BP1'!J23/3,"0%")&amp;" summer effort)",))))),"")),"")</f>
        <v/>
      </c>
      <c r="J15" s="222" t="str">
        <f>IF(SUM('Cumulative Budget'!H23:J23)&gt;0,(IF('BP1'!$K$5&gt;1,((IF('BP2'!H23&gt;0,CONCATENATE(IF('BP2'!H23&gt;0,TEXT('BP2'!H23,"0.00")&amp;" calendar month"&amp;IF('BP2'!H23&gt;1,"s",)&amp;" (or "&amp;TEXT('BP2'!H23/'BP2'!G23,"0%")&amp;" calendar effort)",)),CONCATENATE(IF('BP2'!I23&gt;0,TEXT('BP2'!I23,"0.00")&amp;" academic month"&amp;IF('BP2'!I23&gt;1,"s",)&amp;" (or "&amp;TEXT('BP2'!I23/9,"0%")&amp;" academic effort)",),IF(AND('BP2'!I23&gt;0,'BP2'!J23&gt;0)," and ",),IF('BP2'!J23&gt;0,TEXT('BP2'!J23,"0.00")&amp;" summer month"&amp;IF('BP2'!J23&gt;1,"s",)&amp;" (or "&amp;TEXT('BP2'!J23/3,"0%")&amp;" summer effort)",))))),"")),"")</f>
        <v/>
      </c>
      <c r="K15" s="222" t="str">
        <f>IF(SUM('Cumulative Budget'!H23:J23)&gt;0,(IF('BP1'!$K$5&gt;2,((IF('BP3'!H23&gt;0,CONCATENATE(IF('BP3'!H23&gt;0,TEXT('BP3'!H23,"0.00")&amp;" calendar month"&amp;IF('BP3'!H23&gt;1,"s",)&amp;" (or "&amp;TEXT('BP3'!H23/'BP3'!G23,"0%")&amp;" calendar effort)",)),CONCATENATE(IF('BP3'!I23&gt;0,TEXT('BP3'!I23,"0.00")&amp;" academic month"&amp;IF('BP3'!I23&gt;1,"s",)&amp;" (or "&amp;TEXT('BP3'!I23/9,"0%")&amp;" academic effort)",),IF(AND('BP3'!I23&gt;0,'BP3'!J23&gt;0)," and ",),IF('BP3'!J23&gt;0,TEXT('BP3'!J23,"0.00")&amp;" summer month"&amp;IF('BP3'!J23&gt;1,"s",)&amp;" (or "&amp;TEXT('BP3'!J23/3,"0%")&amp;" summer effort)",))))),"")),"")</f>
        <v/>
      </c>
      <c r="L15" s="222" t="str">
        <f>IF(SUM('Cumulative Budget'!H23:J23)&gt;0,(IF('BP1'!$K$5&gt;3,((IF('BP4'!H23&gt;0,CONCATENATE(IF('BP4'!H23&gt;0,TEXT('BP4'!H23,"0.00")&amp;" calendar month"&amp;IF('BP4'!H23&gt;1,"s",)&amp;" (or "&amp;TEXT('BP4'!H23/'BP4'!G23,"0%")&amp;" calendar effort)",)),CONCATENATE(IF('BP4'!I23&gt;0,TEXT('BP4'!I23,"0.00")&amp;" academic month"&amp;IF('BP4'!I23&gt;1,"s",)&amp;" (or "&amp;TEXT('BP4'!I23/9,"0%")&amp;" academic effort)",),IF(AND('BP4'!I23&gt;0,'BP4'!J23&gt;0)," and ",),IF('BP4'!J23&gt;0,TEXT('BP4'!J23,"0.00")&amp;" summer month"&amp;IF('BP4'!J23&gt;1,"s",)&amp;" (or "&amp;TEXT('BP4'!J23/3,"0%")&amp;" summer effort)",))))),"")),"")</f>
        <v/>
      </c>
      <c r="M15" s="222" t="str">
        <f>IF(SUM('Cumulative Budget'!H23:J23)&gt;0,(IF('BP1'!$K$5&gt;4,((IF('BP5'!H23&gt;0,CONCATENATE(IF('BP5'!H23&gt;0,TEXT('BP5'!H23,"0.00")&amp;" calendar month"&amp;IF('BP5'!H23&gt;1,"s",)&amp;" (or "&amp;TEXT('BP5'!H23/'BP5'!G23,"0%")&amp;" calendar effort)",)),CONCATENATE(IF('BP5'!I23&gt;0,TEXT('BP5'!I23,"0.00")&amp;" academic month"&amp;IF('BP5'!I23&gt;1,"s",)&amp;" (or "&amp;TEXT('BP5'!I23/9,"0%")&amp;" academic effort)",),IF(AND('BP5'!I23&gt;0,'BP5'!J23&gt;0)," and ",),IF('BP5'!J23&gt;0,TEXT('BP5'!J23,"0.00")&amp;" summer month"&amp;IF('BP5'!J23&gt;1,"s",)&amp;" (or "&amp;TEXT('BP5'!J23/3,"0%")&amp;" summer effort)",))))),"")),"")</f>
        <v/>
      </c>
      <c r="N15" s="222" t="str">
        <f>IF(AND('BP1'!M23&gt;0,'BP1'!$A$5&gt;0),TEXT('BP1'!M23,"0.00")&amp;" cost-shared month"&amp;IF('BP1'!M23&gt;1,"s",)&amp;" (or "&amp;TEXT('BP1'!M23/'BP1'!G23,"0%")&amp;" cost-shared effort)","")</f>
        <v/>
      </c>
      <c r="O15" s="222" t="str">
        <f>IF(AND('BP2'!M23&gt;0,'BP2'!$A$5&gt;0),TEXT('BP2'!M23,"0.00")&amp;" cost-shared month"&amp;IF('BP2'!M23&gt;1,"s",)&amp;" (or "&amp;TEXT('BP2'!M23/'BP2'!G23,"0%")&amp;" cost-shared effort)","")</f>
        <v/>
      </c>
      <c r="P15" s="222" t="str">
        <f>IF(AND('BP3'!M23&gt;0,'BP3'!$A$5&gt;0),TEXT('BP3'!M23,"0.00")&amp;" cost-shared month"&amp;IF('BP3'!M23&gt;1,"s",)&amp;" (or "&amp;TEXT('BP3'!M23/'BP3'!G23,"0%")&amp;" cost-shared effort)","")</f>
        <v/>
      </c>
      <c r="Q15" s="222" t="str">
        <f>IF(AND('BP4'!M23&gt;0,'BP4'!$A$5&gt;0),TEXT('BP4'!M23,"0.00")&amp;" cost-shared month"&amp;IF('BP4'!M23&gt;1,"s",)&amp;" (or "&amp;TEXT('BP4'!M23/'BP4'!G23,"0%")&amp;" cost-shared effort)","")</f>
        <v/>
      </c>
      <c r="R15" s="222" t="str">
        <f>IF(AND('BP5'!M23&gt;0,'BP5'!$A$5&gt;0),TEXT('BP5'!M23,"0.00")&amp;" cost-shared month"&amp;IF('BP5'!M23&gt;1,"s",)&amp;" (or "&amp;TEXT('BP5'!M23/'BP5'!G23,"0%")&amp;" cost-shared effort)","")</f>
        <v/>
      </c>
      <c r="S15" s="208" t="str">
        <f>IF(AND('BP1'!$K$5=2,I15&lt;&gt;J15),"Note: Effort changes in the outyears!","")&amp;IF(AND('BP1'!$K$5=3,OR(I15&lt;&gt;J15,I15&lt;&gt;K15,J15&lt;&gt;K15)),"Note: Effort changes in the outyears!","")&amp;IF(AND('BP1'!$K$5=4,OR(I15&lt;&gt;J15,I15&lt;&gt;K15,I15&lt;&gt;L15,J15&lt;&gt;K15,J15&lt;&gt;L15,K15&lt;&gt;L15)),"Note: Effort changes in the outyears!","")&amp;IF(AND('BP1'!$K$5=5,OR(I15&lt;&gt;J15,I15&lt;&gt;K15,I15&lt;&gt;L15,I15&lt;&gt;M15,J15&lt;&gt;K15,J15&lt;&gt;L15,J15&lt;&gt;M15,K15&lt;&gt;L15,K15&lt;&gt;M15,L15&lt;&gt;M15)),"Note: Effort changes in the outyears!","")</f>
        <v/>
      </c>
      <c r="T15" s="208" t="str">
        <f>IF(AND('BP1'!$K$5=2,N15&lt;&gt;O15),"Note: Effort changes in the outyears!","")&amp;IF(AND('BP1'!$K$5=3,OR(N15&lt;&gt;O15,N15&lt;&gt;P15,O15&lt;&gt;P15)),"Note: Effort changes in the outyears!","")&amp;IF(AND('BP1'!$K$5=4,OR(N15&lt;&gt;O15,N15&lt;&gt;P15,N15&lt;&gt;Q15,O15&lt;&gt;P15,O15&lt;&gt;Q15,P15&lt;&gt;Q15)),"Note: Effort changes in the outyears!","")&amp;IF(AND('BP1'!$K$5=5,OR(N15&lt;&gt;O15,N15&lt;&gt;P15,N15&lt;&gt;Q15,N15&lt;&gt;R15,O15&lt;&gt;P15,O15&lt;&gt;Q15,O15&lt;&gt;R15,P15&lt;&gt;Q15,P15&lt;&gt;R15,Q15&lt;&gt;R15)),"Note: Effort changes in the outyears!","")</f>
        <v/>
      </c>
      <c r="U15" s="597" t="str">
        <f t="shared" si="0"/>
        <v>Blank</v>
      </c>
    </row>
    <row r="16" spans="1:28" ht="60" customHeight="1">
      <c r="A16" s="895" t="str">
        <f>IF('Cumulative Budget'!H24+'Cumulative Budget'!I24+'Cumulative Budget'!J24&gt;0,IF(S16="Note: Effort changes in the outyears!",IF(I16&lt;&gt;"",I16&amp;" in Budget Period 1","")&amp;IF(AND(I16&lt;&gt;"",J16&lt;&gt;""),"; ","")&amp;IF(J16&lt;&gt;"",J16&amp;" in Budget Period 2","")&amp;IF(AND(OR(I16&lt;&gt;"",J16&lt;&gt;""),K16&lt;&gt;""),"; ","")&amp;IF(K16&lt;&gt;"",K16&amp;" in Budget Period 3","")&amp;IF(AND(OR(I16&lt;&gt;"",J16&lt;&gt;"",K16&lt;&gt;""),L16&lt;&gt;""),"; ","")&amp;IF(L16&lt;&gt;"",L16&amp;" in Budget Period 4","")&amp;IF(AND(OR(I16&lt;&gt;"",J16&lt;&gt;"",K16&lt;&gt;"",L16&lt;&gt;""),M16&lt;&gt;""),"; ","")&amp;IF(M16&lt;&gt;"",M16&amp;" in Budget Period 5","")&amp;" of "&amp;'BP1'!B24&amp;"'s salary is requested. ",I16&amp;" of "&amp;'BP1'!B24&amp;"'s salary is requested"&amp;IF('BP1'!$K$5&gt;1," each budget period for "&amp;'BP1'!$K$5&amp;" budget periods. ",". ")),"")&amp;IF('Cumulative Budget'!M24&gt;0,IF(T16="Note: Effort changes in the outyears!",IF(N16&lt;&gt;"",N16&amp;" in Budget Period 1","")&amp;IF(AND(N16&lt;&gt;"",O16&lt;&gt;""),"; ","")&amp;IF(O16&lt;&gt;"",O16&amp;" in Budget Period 2","")&amp;IF(AND(OR(N16&lt;&gt;"",O16&lt;&gt;""),P16&lt;&gt;""),"; ","")&amp;IF(P16&lt;&gt;"",P16&amp;" in Budget Period 3","")&amp;IF(AND(OR(N16&lt;&gt;"",O16&lt;&gt;"",P16&lt;&gt;""),Q16&lt;&gt;""),"; ","")&amp;IF(Q16&lt;&gt;"",Q16&amp;" in Budget Period 4","")&amp;IF(AND(OR(N16&lt;&gt;"",O16&lt;&gt;"",P16&lt;&gt;"",Q16&lt;&gt;""),R16&lt;&gt;""),"; ","")&amp;IF(R16&lt;&gt;"",R16&amp;" in Budget Period 5","")&amp;" of "&amp;'BP1'!B24&amp;"'s salary is requested. ",N16&amp;" of "&amp;'BP1'!B24&amp;"'s salary is requested"&amp;IF('BP1'!$K$5&gt;1," each budget period for "&amp;'BP1'!$K$5&amp;" budget periods. ",". ")),"")&amp;IF(OR('BP1'!G24=10,'BP1'!G24=11),'BP1'!B24&amp;" currently has a"&amp;IF('BP1'!G24=11,"n "," ")&amp;'BP1'!G24&amp;"-month appointment. ","")&amp;IF(AND('BP1'!$K$5&gt;1,'BP1'!$K$7&gt;0,OR('Cumulative Budget'!H24+'Cumulative Budget'!I24+'Cumulative Budget'!J24+'Cumulative Budget'!M24&gt;0)),"Salary is inflated by "&amp;('BP1'!$K$7*100)&amp;"% annually each September. ","")&amp;IF(ISBLANK('BP1'!R24),"",'BP1'!R24)</f>
        <v/>
      </c>
      <c r="B16" s="895"/>
      <c r="C16" s="895"/>
      <c r="D16" s="895"/>
      <c r="E16" s="895"/>
      <c r="F16" s="895"/>
      <c r="G16" s="895"/>
      <c r="H16" s="895"/>
      <c r="I16" s="222" t="str">
        <f>IF(SUM('Cumulative Budget'!H24:J24)&gt;0,(IF('BP1'!$K$5&gt;0,((IF('BP1'!H24&gt;0,CONCATENATE(IF('BP1'!H24&gt;0,TEXT('BP1'!H24,"0.00")&amp;" calendar month"&amp;IF('BP1'!H24&gt;1,"s",)&amp;" (or "&amp;TEXT('BP1'!H24/'BP1'!G24,"0%")&amp;" calendar effort)",)),CONCATENATE(IF('BP1'!I24&gt;0,TEXT('BP1'!I24,"0.00")&amp;" academic month"&amp;IF('BP1'!I24&gt;1,"s",)&amp;" (or "&amp;TEXT('BP1'!I24/9,"0%")&amp;" academic effort)",),IF(AND('BP1'!I24&gt;0,'BP1'!J24&gt;0)," and ",),IF('BP1'!J24&gt;0,TEXT('BP1'!J24,"0.00")&amp;" summer month"&amp;IF('BP1'!J24&gt;1,"s",)&amp;" (or "&amp;TEXT('BP1'!J24/3,"0%")&amp;" summer effort)",))))),"")),"")</f>
        <v/>
      </c>
      <c r="J16" s="222" t="str">
        <f>IF(SUM('Cumulative Budget'!H24:J24)&gt;0,(IF('BP1'!$K$5&gt;1,((IF('BP2'!H24&gt;0,CONCATENATE(IF('BP2'!H24&gt;0,TEXT('BP2'!H24,"0.00")&amp;" calendar month"&amp;IF('BP2'!H24&gt;1,"s",)&amp;" (or "&amp;TEXT('BP2'!H24/'BP2'!G24,"0%")&amp;" calendar effort)",)),CONCATENATE(IF('BP2'!I24&gt;0,TEXT('BP2'!I24,"0.00")&amp;" academic month"&amp;IF('BP2'!I24&gt;1,"s",)&amp;" (or "&amp;TEXT('BP2'!I24/9,"0%")&amp;" academic effort)",),IF(AND('BP2'!I24&gt;0,'BP2'!J24&gt;0)," and ",),IF('BP2'!J24&gt;0,TEXT('BP2'!J24,"0.00")&amp;" summer month"&amp;IF('BP2'!J24&gt;1,"s",)&amp;" (or "&amp;TEXT('BP2'!J24/3,"0%")&amp;" summer effort)",))))),"")),"")</f>
        <v/>
      </c>
      <c r="K16" s="222" t="str">
        <f>IF(SUM('Cumulative Budget'!H24:J24)&gt;0,(IF('BP1'!$K$5&gt;2,((IF('BP3'!H24&gt;0,CONCATENATE(IF('BP3'!H24&gt;0,TEXT('BP3'!H24,"0.00")&amp;" calendar month"&amp;IF('BP3'!H24&gt;1,"s",)&amp;" (or "&amp;TEXT('BP3'!H24/'BP3'!G24,"0%")&amp;" calendar effort)",)),CONCATENATE(IF('BP3'!I24&gt;0,TEXT('BP3'!I24,"0.00")&amp;" academic month"&amp;IF('BP3'!I24&gt;1,"s",)&amp;" (or "&amp;TEXT('BP3'!I24/9,"0%")&amp;" academic effort)",),IF(AND('BP3'!I24&gt;0,'BP3'!J24&gt;0)," and ",),IF('BP3'!J24&gt;0,TEXT('BP3'!J24,"0.00")&amp;" summer month"&amp;IF('BP3'!J24&gt;1,"s",)&amp;" (or "&amp;TEXT('BP3'!J24/3,"0%")&amp;" summer effort)",))))),"")),"")</f>
        <v/>
      </c>
      <c r="L16" s="222" t="str">
        <f>IF(SUM('Cumulative Budget'!H24:J24)&gt;0,(IF('BP1'!$K$5&gt;3,((IF('BP4'!H24&gt;0,CONCATENATE(IF('BP4'!H24&gt;0,TEXT('BP4'!H24,"0.00")&amp;" calendar month"&amp;IF('BP4'!H24&gt;1,"s",)&amp;" (or "&amp;TEXT('BP4'!H24/'BP4'!G24,"0%")&amp;" calendar effort)",)),CONCATENATE(IF('BP4'!I24&gt;0,TEXT('BP4'!I24,"0.00")&amp;" academic month"&amp;IF('BP4'!I24&gt;1,"s",)&amp;" (or "&amp;TEXT('BP4'!I24/9,"0%")&amp;" academic effort)",),IF(AND('BP4'!I24&gt;0,'BP4'!J24&gt;0)," and ",),IF('BP4'!J24&gt;0,TEXT('BP4'!J24,"0.00")&amp;" summer month"&amp;IF('BP4'!J24&gt;1,"s",)&amp;" (or "&amp;TEXT('BP4'!J24/3,"0%")&amp;" summer effort)",))))),"")),"")</f>
        <v/>
      </c>
      <c r="M16" s="222" t="str">
        <f>IF(SUM('Cumulative Budget'!H24:J24)&gt;0,(IF('BP1'!$K$5&gt;4,((IF('BP5'!H24&gt;0,CONCATENATE(IF('BP5'!H24&gt;0,TEXT('BP5'!H24,"0.00")&amp;" calendar month"&amp;IF('BP5'!H24&gt;1,"s",)&amp;" (or "&amp;TEXT('BP5'!H24/'BP5'!G24,"0%")&amp;" calendar effort)",)),CONCATENATE(IF('BP5'!I24&gt;0,TEXT('BP5'!I24,"0.00")&amp;" academic month"&amp;IF('BP5'!I24&gt;1,"s",)&amp;" (or "&amp;TEXT('BP5'!I24/9,"0%")&amp;" academic effort)",),IF(AND('BP5'!I24&gt;0,'BP5'!J24&gt;0)," and ",),IF('BP5'!J24&gt;0,TEXT('BP5'!J24,"0.00")&amp;" summer month"&amp;IF('BP5'!J24&gt;1,"s",)&amp;" (or "&amp;TEXT('BP5'!J24/3,"0%")&amp;" summer effort)",))))),"")),"")</f>
        <v/>
      </c>
      <c r="N16" s="222" t="str">
        <f>IF(AND('BP1'!M24&gt;0,'BP1'!$A$5&gt;0),TEXT('BP1'!M24,"0.00")&amp;" cost-shared month"&amp;IF('BP1'!M24&gt;1,"s",)&amp;" (or "&amp;TEXT('BP1'!M24/'BP1'!G24,"0%")&amp;" cost-shared effort)","")</f>
        <v/>
      </c>
      <c r="O16" s="222" t="str">
        <f>IF(AND('BP2'!M24&gt;0,'BP2'!$A$5&gt;0),TEXT('BP2'!M24,"0.00")&amp;" cost-shared month"&amp;IF('BP2'!M24&gt;1,"s",)&amp;" (or "&amp;TEXT('BP2'!M24/'BP2'!G24,"0%")&amp;" cost-shared effort)","")</f>
        <v/>
      </c>
      <c r="P16" s="222" t="str">
        <f>IF(AND('BP3'!M24&gt;0,'BP3'!$A$5&gt;0),TEXT('BP3'!M24,"0.00")&amp;" cost-shared month"&amp;IF('BP3'!M24&gt;1,"s",)&amp;" (or "&amp;TEXT('BP3'!M24/'BP3'!G24,"0%")&amp;" cost-shared effort)","")</f>
        <v/>
      </c>
      <c r="Q16" s="222" t="str">
        <f>IF(AND('BP4'!M24&gt;0,'BP4'!$A$5&gt;0),TEXT('BP4'!M24,"0.00")&amp;" cost-shared month"&amp;IF('BP4'!M24&gt;1,"s",)&amp;" (or "&amp;TEXT('BP4'!M24/'BP4'!G24,"0%")&amp;" cost-shared effort)","")</f>
        <v/>
      </c>
      <c r="R16" s="222" t="str">
        <f>IF(AND('BP5'!M24&gt;0,'BP5'!$A$5&gt;0),TEXT('BP5'!M24,"0.00")&amp;" cost-shared month"&amp;IF('BP5'!M24&gt;1,"s",)&amp;" (or "&amp;TEXT('BP5'!M24/'BP5'!G24,"0%")&amp;" cost-shared effort)","")</f>
        <v/>
      </c>
      <c r="S16" s="208" t="str">
        <f>IF(AND('BP1'!$K$5=2,I16&lt;&gt;J16),"Note: Effort changes in the outyears!","")&amp;IF(AND('BP1'!$K$5=3,OR(I16&lt;&gt;J16,I16&lt;&gt;K16,J16&lt;&gt;K16)),"Note: Effort changes in the outyears!","")&amp;IF(AND('BP1'!$K$5=4,OR(I16&lt;&gt;J16,I16&lt;&gt;K16,I16&lt;&gt;L16,J16&lt;&gt;K16,J16&lt;&gt;L16,K16&lt;&gt;L16)),"Note: Effort changes in the outyears!","")&amp;IF(AND('BP1'!$K$5=5,OR(I16&lt;&gt;J16,I16&lt;&gt;K16,I16&lt;&gt;L16,I16&lt;&gt;M16,J16&lt;&gt;K16,J16&lt;&gt;L16,J16&lt;&gt;M16,K16&lt;&gt;L16,K16&lt;&gt;M16,L16&lt;&gt;M16)),"Note: Effort changes in the outyears!","")</f>
        <v/>
      </c>
      <c r="T16" s="208" t="str">
        <f>IF(AND('BP1'!$K$5=2,N16&lt;&gt;O16),"Note: Effort changes in the outyears!","")&amp;IF(AND('BP1'!$K$5=3,OR(N16&lt;&gt;O16,N16&lt;&gt;P16,O16&lt;&gt;P16)),"Note: Effort changes in the outyears!","")&amp;IF(AND('BP1'!$K$5=4,OR(N16&lt;&gt;O16,N16&lt;&gt;P16,N16&lt;&gt;Q16,O16&lt;&gt;P16,O16&lt;&gt;Q16,P16&lt;&gt;Q16)),"Note: Effort changes in the outyears!","")&amp;IF(AND('BP1'!$K$5=5,OR(N16&lt;&gt;O16,N16&lt;&gt;P16,N16&lt;&gt;Q16,N16&lt;&gt;R16,O16&lt;&gt;P16,O16&lt;&gt;Q16,O16&lt;&gt;R16,P16&lt;&gt;Q16,P16&lt;&gt;R16,Q16&lt;&gt;R16)),"Note: Effort changes in the outyears!","")</f>
        <v/>
      </c>
      <c r="U16" s="597" t="str">
        <f t="shared" si="0"/>
        <v>Blank</v>
      </c>
    </row>
    <row r="17" spans="1:21" ht="60" customHeight="1">
      <c r="A17" s="895" t="str">
        <f>IF('Cumulative Budget'!H25+'Cumulative Budget'!I25+'Cumulative Budget'!J25&gt;0,IF(S17="Note: Effort changes in the outyears!",IF(I17&lt;&gt;"",I17&amp;" in Budget Period 1","")&amp;IF(AND(I17&lt;&gt;"",J17&lt;&gt;""),"; ","")&amp;IF(J17&lt;&gt;"",J17&amp;" in Budget Period 2","")&amp;IF(AND(OR(I17&lt;&gt;"",J17&lt;&gt;""),K17&lt;&gt;""),"; ","")&amp;IF(K17&lt;&gt;"",K17&amp;" in Budget Period 3","")&amp;IF(AND(OR(I17&lt;&gt;"",J17&lt;&gt;"",K17&lt;&gt;""),L17&lt;&gt;""),"; ","")&amp;IF(L17&lt;&gt;"",L17&amp;" in Budget Period 4","")&amp;IF(AND(OR(I17&lt;&gt;"",J17&lt;&gt;"",K17&lt;&gt;"",L17&lt;&gt;""),M17&lt;&gt;""),"; ","")&amp;IF(M17&lt;&gt;"",M17&amp;" in Budget Period 5","")&amp;" of "&amp;'BP1'!B25&amp;"'s salary is requested. ",I17&amp;" of "&amp;'BP1'!B25&amp;"'s salary is requested"&amp;IF('BP1'!$K$5&gt;1," each budget period for "&amp;'BP1'!$K$5&amp;" budget periods. ",". ")),"")&amp;IF('Cumulative Budget'!M25&gt;0,IF(T17="Note: Effort changes in the outyears!",IF(N17&lt;&gt;"",N17&amp;" in Budget Period 1","")&amp;IF(AND(N17&lt;&gt;"",O17&lt;&gt;""),"; ","")&amp;IF(O17&lt;&gt;"",O17&amp;" in Budget Period 2","")&amp;IF(AND(OR(N17&lt;&gt;"",O17&lt;&gt;""),P17&lt;&gt;""),"; ","")&amp;IF(P17&lt;&gt;"",P17&amp;" in Budget Period 3","")&amp;IF(AND(OR(N17&lt;&gt;"",O17&lt;&gt;"",P17&lt;&gt;""),Q17&lt;&gt;""),"; ","")&amp;IF(Q17&lt;&gt;"",Q17&amp;" in Budget Period 4","")&amp;IF(AND(OR(N17&lt;&gt;"",O17&lt;&gt;"",P17&lt;&gt;"",Q17&lt;&gt;""),R17&lt;&gt;""),"; ","")&amp;IF(R17&lt;&gt;"",R17&amp;" in Budget Period 5","")&amp;" of "&amp;'BP1'!B25&amp;"'s salary is requested. ",N17&amp;" of "&amp;'BP1'!B25&amp;"'s salary is requested"&amp;IF('BP1'!$K$5&gt;1," each budget period for "&amp;'BP1'!$K$5&amp;" budget periods. ",". ")),"")&amp;IF(OR('BP1'!G25=10,'BP1'!G25=11),'BP1'!B25&amp;" currently has a"&amp;IF('BP1'!G25=11,"n "," ")&amp;'BP1'!G25&amp;"-month appointment. ","")&amp;IF(AND('BP1'!$K$5&gt;1,'BP1'!$K$7&gt;0,OR('Cumulative Budget'!H25+'Cumulative Budget'!I25+'Cumulative Budget'!J25+'Cumulative Budget'!M25&gt;0)),"Salary is inflated by "&amp;('BP1'!$K$7*100)&amp;"% annually each September. ","")&amp;IF(ISBLANK('BP1'!R25),"",'BP1'!R25)</f>
        <v/>
      </c>
      <c r="B17" s="895"/>
      <c r="C17" s="895"/>
      <c r="D17" s="895"/>
      <c r="E17" s="895"/>
      <c r="F17" s="895"/>
      <c r="G17" s="895"/>
      <c r="H17" s="895"/>
      <c r="I17" s="222" t="str">
        <f>IF(SUM('Cumulative Budget'!H25:J25)&gt;0,(IF('BP1'!$K$5&gt;0,((IF('BP1'!H25&gt;0,CONCATENATE(IF('BP1'!H25&gt;0,TEXT('BP1'!H25,"0.00")&amp;" calendar month"&amp;IF('BP1'!H25&gt;1,"s",)&amp;" (or "&amp;TEXT('BP1'!H25/'BP1'!G25,"0%")&amp;" calendar effort)",)),CONCATENATE(IF('BP1'!I25&gt;0,TEXT('BP1'!I25,"0.00")&amp;" academic month"&amp;IF('BP1'!I25&gt;1,"s",)&amp;" (or "&amp;TEXT('BP1'!I25/9,"0%")&amp;" academic effort)",),IF(AND('BP1'!I25&gt;0,'BP1'!J25&gt;0)," and ",),IF('BP1'!J25&gt;0,TEXT('BP1'!J25,"0.00")&amp;" summer month"&amp;IF('BP1'!J25&gt;1,"s",)&amp;" (or "&amp;TEXT('BP1'!J25/3,"0%")&amp;" summer effort)",))))),"")),"")</f>
        <v/>
      </c>
      <c r="J17" s="222" t="str">
        <f>IF(SUM('Cumulative Budget'!H25:J25)&gt;0,(IF('BP1'!$K$5&gt;1,((IF('BP2'!H25&gt;0,CONCATENATE(IF('BP2'!H25&gt;0,TEXT('BP2'!H25,"0.00")&amp;" calendar month"&amp;IF('BP2'!H25&gt;1,"s",)&amp;" (or "&amp;TEXT('BP2'!H25/'BP2'!G25,"0%")&amp;" calendar effort)",)),CONCATENATE(IF('BP2'!I25&gt;0,TEXT('BP2'!I25,"0.00")&amp;" academic month"&amp;IF('BP2'!I25&gt;1,"s",)&amp;" (or "&amp;TEXT('BP2'!I25/9,"0%")&amp;" academic effort)",),IF(AND('BP2'!I25&gt;0,'BP2'!J25&gt;0)," and ",),IF('BP2'!J25&gt;0,TEXT('BP2'!J25,"0.00")&amp;" summer month"&amp;IF('BP2'!J25&gt;1,"s",)&amp;" (or "&amp;TEXT('BP2'!J25/3,"0%")&amp;" summer effort)",))))),"")),"")</f>
        <v/>
      </c>
      <c r="K17" s="222" t="str">
        <f>IF(SUM('Cumulative Budget'!H25:J25)&gt;0,(IF('BP1'!$K$5&gt;2,((IF('BP3'!H25&gt;0,CONCATENATE(IF('BP3'!H25&gt;0,TEXT('BP3'!H25,"0.00")&amp;" calendar month"&amp;IF('BP3'!H25&gt;1,"s",)&amp;" (or "&amp;TEXT('BP3'!H25/'BP3'!G25,"0%")&amp;" calendar effort)",)),CONCATENATE(IF('BP3'!I25&gt;0,TEXT('BP3'!I25,"0.00")&amp;" academic month"&amp;IF('BP3'!I25&gt;1,"s",)&amp;" (or "&amp;TEXT('BP3'!I25/9,"0%")&amp;" academic effort)",),IF(AND('BP3'!I25&gt;0,'BP3'!J25&gt;0)," and ",),IF('BP3'!J25&gt;0,TEXT('BP3'!J25,"0.00")&amp;" summer month"&amp;IF('BP3'!J25&gt;1,"s",)&amp;" (or "&amp;TEXT('BP3'!J25/3,"0%")&amp;" summer effort)",))))),"")),"")</f>
        <v/>
      </c>
      <c r="L17" s="222" t="str">
        <f>IF(SUM('Cumulative Budget'!H25:J25)&gt;0,(IF('BP1'!$K$5&gt;3,((IF('BP4'!H25&gt;0,CONCATENATE(IF('BP4'!H25&gt;0,TEXT('BP4'!H25,"0.00")&amp;" calendar month"&amp;IF('BP4'!H25&gt;1,"s",)&amp;" (or "&amp;TEXT('BP4'!H25/'BP4'!G25,"0%")&amp;" calendar effort)",)),CONCATENATE(IF('BP4'!I25&gt;0,TEXT('BP4'!I25,"0.00")&amp;" academic month"&amp;IF('BP4'!I25&gt;1,"s",)&amp;" (or "&amp;TEXT('BP4'!I25/9,"0%")&amp;" academic effort)",),IF(AND('BP4'!I25&gt;0,'BP4'!J25&gt;0)," and ",),IF('BP4'!J25&gt;0,TEXT('BP4'!J25,"0.00")&amp;" summer month"&amp;IF('BP4'!J25&gt;1,"s",)&amp;" (or "&amp;TEXT('BP4'!J25/3,"0%")&amp;" summer effort)",))))),"")),"")</f>
        <v/>
      </c>
      <c r="M17" s="222" t="str">
        <f>IF(SUM('Cumulative Budget'!H25:J25)&gt;0,(IF('BP1'!$K$5&gt;4,((IF('BP5'!H25&gt;0,CONCATENATE(IF('BP5'!H25&gt;0,TEXT('BP5'!H25,"0.00")&amp;" calendar month"&amp;IF('BP5'!H25&gt;1,"s",)&amp;" (or "&amp;TEXT('BP5'!H25/'BP5'!G25,"0%")&amp;" calendar effort)",)),CONCATENATE(IF('BP5'!I25&gt;0,TEXT('BP5'!I25,"0.00")&amp;" academic month"&amp;IF('BP5'!I25&gt;1,"s",)&amp;" (or "&amp;TEXT('BP5'!I25/9,"0%")&amp;" academic effort)",),IF(AND('BP5'!I25&gt;0,'BP5'!J25&gt;0)," and ",),IF('BP5'!J25&gt;0,TEXT('BP5'!J25,"0.00")&amp;" summer month"&amp;IF('BP5'!J25&gt;1,"s",)&amp;" (or "&amp;TEXT('BP5'!J25/3,"0%")&amp;" summer effort)",))))),"")),"")</f>
        <v/>
      </c>
      <c r="N17" s="222" t="str">
        <f>IF(AND('BP1'!M25&gt;0,'BP1'!$A$5&gt;0),TEXT('BP1'!M25,"0.00")&amp;" cost-shared month"&amp;IF('BP1'!M25&gt;1,"s",)&amp;" (or "&amp;TEXT('BP1'!M25/'BP1'!G25,"0%")&amp;" cost-shared effort)","")</f>
        <v/>
      </c>
      <c r="O17" s="222" t="str">
        <f>IF(AND('BP2'!M25&gt;0,'BP2'!$A$5&gt;0),TEXT('BP2'!M25,"0.00")&amp;" cost-shared month"&amp;IF('BP2'!M25&gt;1,"s",)&amp;" (or "&amp;TEXT('BP2'!M25/'BP2'!G25,"0%")&amp;" cost-shared effort)","")</f>
        <v/>
      </c>
      <c r="P17" s="222" t="str">
        <f>IF(AND('BP3'!M25&gt;0,'BP3'!$A$5&gt;0),TEXT('BP3'!M25,"0.00")&amp;" cost-shared month"&amp;IF('BP3'!M25&gt;1,"s",)&amp;" (or "&amp;TEXT('BP3'!M25/'BP3'!G25,"0%")&amp;" cost-shared effort)","")</f>
        <v/>
      </c>
      <c r="Q17" s="222" t="str">
        <f>IF(AND('BP4'!M25&gt;0,'BP4'!$A$5&gt;0),TEXT('BP4'!M25,"0.00")&amp;" cost-shared month"&amp;IF('BP4'!M25&gt;1,"s",)&amp;" (or "&amp;TEXT('BP4'!M25/'BP4'!G25,"0%")&amp;" cost-shared effort)","")</f>
        <v/>
      </c>
      <c r="R17" s="222" t="str">
        <f>IF(AND('BP5'!M25&gt;0,'BP5'!$A$5&gt;0),TEXT('BP5'!M25,"0.00")&amp;" cost-shared month"&amp;IF('BP5'!M25&gt;1,"s",)&amp;" (or "&amp;TEXT('BP5'!M25/'BP5'!G25,"0%")&amp;" cost-shared effort)","")</f>
        <v/>
      </c>
      <c r="S17" s="208" t="str">
        <f>IF(AND('BP1'!$K$5=2,I17&lt;&gt;J17),"Note: Effort changes in the outyears!","")&amp;IF(AND('BP1'!$K$5=3,OR(I17&lt;&gt;J17,I17&lt;&gt;K17,J17&lt;&gt;K17)),"Note: Effort changes in the outyears!","")&amp;IF(AND('BP1'!$K$5=4,OR(I17&lt;&gt;J17,I17&lt;&gt;K17,I17&lt;&gt;L17,J17&lt;&gt;K17,J17&lt;&gt;L17,K17&lt;&gt;L17)),"Note: Effort changes in the outyears!","")&amp;IF(AND('BP1'!$K$5=5,OR(I17&lt;&gt;J17,I17&lt;&gt;K17,I17&lt;&gt;L17,I17&lt;&gt;M17,J17&lt;&gt;K17,J17&lt;&gt;L17,J17&lt;&gt;M17,K17&lt;&gt;L17,K17&lt;&gt;M17,L17&lt;&gt;M17)),"Note: Effort changes in the outyears!","")</f>
        <v/>
      </c>
      <c r="T17" s="208" t="str">
        <f>IF(AND('BP1'!$K$5=2,N17&lt;&gt;O17),"Note: Effort changes in the outyears!","")&amp;IF(AND('BP1'!$K$5=3,OR(N17&lt;&gt;O17,N17&lt;&gt;P17,O17&lt;&gt;P17)),"Note: Effort changes in the outyears!","")&amp;IF(AND('BP1'!$K$5=4,OR(N17&lt;&gt;O17,N17&lt;&gt;P17,N17&lt;&gt;Q17,O17&lt;&gt;P17,O17&lt;&gt;Q17,P17&lt;&gt;Q17)),"Note: Effort changes in the outyears!","")&amp;IF(AND('BP1'!$K$5=5,OR(N17&lt;&gt;O17,N17&lt;&gt;P17,N17&lt;&gt;Q17,N17&lt;&gt;R17,O17&lt;&gt;P17,O17&lt;&gt;Q17,O17&lt;&gt;R17,P17&lt;&gt;Q17,P17&lt;&gt;R17,Q17&lt;&gt;R17)),"Note: Effort changes in the outyears!","")</f>
        <v/>
      </c>
      <c r="U17" s="597" t="str">
        <f t="shared" si="0"/>
        <v>Blank</v>
      </c>
    </row>
    <row r="18" spans="1:21" ht="60" customHeight="1">
      <c r="A18" s="895" t="str">
        <f>IF('Cumulative Budget'!H26+'Cumulative Budget'!I26+'Cumulative Budget'!J26&gt;0,IF(S18="Note: Effort changes in the outyears!",IF(I18&lt;&gt;"",I18&amp;" in Budget Period 1","")&amp;IF(AND(I18&lt;&gt;"",J18&lt;&gt;""),"; ","")&amp;IF(J18&lt;&gt;"",J18&amp;" in Budget Period 2","")&amp;IF(AND(OR(I18&lt;&gt;"",J18&lt;&gt;""),K18&lt;&gt;""),"; ","")&amp;IF(K18&lt;&gt;"",K18&amp;" in Budget Period 3","")&amp;IF(AND(OR(I18&lt;&gt;"",J18&lt;&gt;"",K18&lt;&gt;""),L18&lt;&gt;""),"; ","")&amp;IF(L18&lt;&gt;"",L18&amp;" in Budget Period 4","")&amp;IF(AND(OR(I18&lt;&gt;"",J18&lt;&gt;"",K18&lt;&gt;"",L18&lt;&gt;""),M18&lt;&gt;""),"; ","")&amp;IF(M18&lt;&gt;"",M18&amp;" in Budget Period 5","")&amp;" of "&amp;'BP1'!B26&amp;"'s salary is requested. ",I18&amp;" of "&amp;'BP1'!B26&amp;"'s salary is requested"&amp;IF('BP1'!$K$5&gt;1," each budget period for "&amp;'BP1'!$K$5&amp;" budget periods. ",". ")),"")&amp;IF('Cumulative Budget'!M26&gt;0,IF(T18="Note: Effort changes in the outyears!",IF(N18&lt;&gt;"",N18&amp;" in Budget Period 1","")&amp;IF(AND(N18&lt;&gt;"",O18&lt;&gt;""),"; ","")&amp;IF(O18&lt;&gt;"",O18&amp;" in Budget Period 2","")&amp;IF(AND(OR(N18&lt;&gt;"",O18&lt;&gt;""),P18&lt;&gt;""),"; ","")&amp;IF(P18&lt;&gt;"",P18&amp;" in Budget Period 3","")&amp;IF(AND(OR(N18&lt;&gt;"",O18&lt;&gt;"",P18&lt;&gt;""),Q18&lt;&gt;""),"; ","")&amp;IF(Q18&lt;&gt;"",Q18&amp;" in Budget Period 4","")&amp;IF(AND(OR(N18&lt;&gt;"",O18&lt;&gt;"",P18&lt;&gt;"",Q18&lt;&gt;""),R18&lt;&gt;""),"; ","")&amp;IF(R18&lt;&gt;"",R18&amp;" in Budget Period 5","")&amp;" of "&amp;'BP1'!B26&amp;"'s salary is requested. ",N18&amp;" of "&amp;'BP1'!B26&amp;"'s salary is requested"&amp;IF('BP1'!$K$5&gt;1," each budget period for "&amp;'BP1'!$K$5&amp;" budget periods. ",". ")),"")&amp;IF(OR('BP1'!G26=10,'BP1'!G26=11),'BP1'!B26&amp;" currently has a"&amp;IF('BP1'!G26=11,"n "," ")&amp;'BP1'!G26&amp;"-month appointment. ","")&amp;IF(AND('BP1'!$K$5&gt;1,'BP1'!$K$7&gt;0,OR('Cumulative Budget'!H26+'Cumulative Budget'!I26+'Cumulative Budget'!J26+'Cumulative Budget'!M26&gt;0)),"Salary is inflated by "&amp;('BP1'!$K$7*100)&amp;"% annually each September. ","")&amp;IF(ISBLANK('BP1'!R26),"",'BP1'!R26)</f>
        <v/>
      </c>
      <c r="B18" s="895"/>
      <c r="C18" s="895"/>
      <c r="D18" s="895"/>
      <c r="E18" s="895"/>
      <c r="F18" s="895"/>
      <c r="G18" s="895"/>
      <c r="H18" s="895"/>
      <c r="I18" s="222" t="str">
        <f>IF(SUM('Cumulative Budget'!H26:J26)&gt;0,(IF('BP1'!$K$5&gt;0,((IF('BP1'!H26&gt;0,CONCATENATE(IF('BP1'!H26&gt;0,TEXT('BP1'!H26,"0.00")&amp;" calendar month"&amp;IF('BP1'!H26&gt;1,"s",)&amp;" (or "&amp;TEXT('BP1'!H26/'BP1'!G26,"0%")&amp;" calendar effort)",)),CONCATENATE(IF('BP1'!I26&gt;0,TEXT('BP1'!I26,"0.00")&amp;" academic month"&amp;IF('BP1'!I26&gt;1,"s",)&amp;" (or "&amp;TEXT('BP1'!I26/9,"0%")&amp;" academic effort)",),IF(AND('BP1'!I26&gt;0,'BP1'!J26&gt;0)," and ",),IF('BP1'!J26&gt;0,TEXT('BP1'!J26,"0.00")&amp;" summer month"&amp;IF('BP1'!J26&gt;1,"s",)&amp;" (or "&amp;TEXT('BP1'!J26/3,"0%")&amp;" summer effort)",))))),"")),"")</f>
        <v/>
      </c>
      <c r="J18" s="222" t="str">
        <f>IF(SUM('Cumulative Budget'!H26:J26)&gt;0,(IF('BP1'!$K$5&gt;1,((IF('BP2'!H26&gt;0,CONCATENATE(IF('BP2'!H26&gt;0,TEXT('BP2'!H26,"0.00")&amp;" calendar month"&amp;IF('BP2'!H26&gt;1,"s",)&amp;" (or "&amp;TEXT('BP2'!H26/'BP2'!G26,"0%")&amp;" calendar effort)",)),CONCATENATE(IF('BP2'!I26&gt;0,TEXT('BP2'!I26,"0.00")&amp;" academic month"&amp;IF('BP2'!I26&gt;1,"s",)&amp;" (or "&amp;TEXT('BP2'!I26/9,"0%")&amp;" academic effort)",),IF(AND('BP2'!I26&gt;0,'BP2'!J26&gt;0)," and ",),IF('BP2'!J26&gt;0,TEXT('BP2'!J26,"0.00")&amp;" summer month"&amp;IF('BP2'!J26&gt;1,"s",)&amp;" (or "&amp;TEXT('BP2'!J26/3,"0%")&amp;" summer effort)",))))),"")),"")</f>
        <v/>
      </c>
      <c r="K18" s="222" t="str">
        <f>IF(SUM('Cumulative Budget'!H26:J26)&gt;0,(IF('BP1'!$K$5&gt;2,((IF('BP3'!H26&gt;0,CONCATENATE(IF('BP3'!H26&gt;0,TEXT('BP3'!H26,"0.00")&amp;" calendar month"&amp;IF('BP3'!H26&gt;1,"s",)&amp;" (or "&amp;TEXT('BP3'!H26/'BP3'!G26,"0%")&amp;" calendar effort)",)),CONCATENATE(IF('BP3'!I26&gt;0,TEXT('BP3'!I26,"0.00")&amp;" academic month"&amp;IF('BP3'!I26&gt;1,"s",)&amp;" (or "&amp;TEXT('BP3'!I26/9,"0%")&amp;" academic effort)",),IF(AND('BP3'!I26&gt;0,'BP3'!J26&gt;0)," and ",),IF('BP3'!J26&gt;0,TEXT('BP3'!J26,"0.00")&amp;" summer month"&amp;IF('BP3'!J26&gt;1,"s",)&amp;" (or "&amp;TEXT('BP3'!J26/3,"0%")&amp;" summer effort)",))))),"")),"")</f>
        <v/>
      </c>
      <c r="L18" s="222" t="str">
        <f>IF(SUM('Cumulative Budget'!H26:J26)&gt;0,(IF('BP1'!$K$5&gt;3,((IF('BP4'!H26&gt;0,CONCATENATE(IF('BP4'!H26&gt;0,TEXT('BP4'!H26,"0.00")&amp;" calendar month"&amp;IF('BP4'!H26&gt;1,"s",)&amp;" (or "&amp;TEXT('BP4'!H26/'BP4'!G26,"0%")&amp;" calendar effort)",)),CONCATENATE(IF('BP4'!I26&gt;0,TEXT('BP4'!I26,"0.00")&amp;" academic month"&amp;IF('BP4'!I26&gt;1,"s",)&amp;" (or "&amp;TEXT('BP4'!I26/9,"0%")&amp;" academic effort)",),IF(AND('BP4'!I26&gt;0,'BP4'!J26&gt;0)," and ",),IF('BP4'!J26&gt;0,TEXT('BP4'!J26,"0.00")&amp;" summer month"&amp;IF('BP4'!J26&gt;1,"s",)&amp;" (or "&amp;TEXT('BP4'!J26/3,"0%")&amp;" summer effort)",))))),"")),"")</f>
        <v/>
      </c>
      <c r="M18" s="222" t="str">
        <f>IF(SUM('Cumulative Budget'!H26:J26)&gt;0,(IF('BP1'!$K$5&gt;4,((IF('BP5'!H26&gt;0,CONCATENATE(IF('BP5'!H26&gt;0,TEXT('BP5'!H26,"0.00")&amp;" calendar month"&amp;IF('BP5'!H26&gt;1,"s",)&amp;" (or "&amp;TEXT('BP5'!H26/'BP5'!G26,"0%")&amp;" calendar effort)",)),CONCATENATE(IF('BP5'!I26&gt;0,TEXT('BP5'!I26,"0.00")&amp;" academic month"&amp;IF('BP5'!I26&gt;1,"s",)&amp;" (or "&amp;TEXT('BP5'!I26/9,"0%")&amp;" academic effort)",),IF(AND('BP5'!I26&gt;0,'BP5'!J26&gt;0)," and ",),IF('BP5'!J26&gt;0,TEXT('BP5'!J26,"0.00")&amp;" summer month"&amp;IF('BP5'!J26&gt;1,"s",)&amp;" (or "&amp;TEXT('BP5'!J26/3,"0%")&amp;" summer effort)",))))),"")),"")</f>
        <v/>
      </c>
      <c r="N18" s="222" t="str">
        <f>IF(AND('BP1'!M26&gt;0,'BP1'!$A$5&gt;0),TEXT('BP1'!M26,"0.00")&amp;" cost-shared month"&amp;IF('BP1'!M26&gt;1,"s",)&amp;" (or "&amp;TEXT('BP1'!M26/'BP1'!G26,"0%")&amp;" cost-shared effort)","")</f>
        <v/>
      </c>
      <c r="O18" s="222" t="str">
        <f>IF(AND('BP2'!M26&gt;0,'BP2'!$A$5&gt;0),TEXT('BP2'!M26,"0.00")&amp;" cost-shared month"&amp;IF('BP2'!M26&gt;1,"s",)&amp;" (or "&amp;TEXT('BP2'!M26/'BP2'!G26,"0%")&amp;" cost-shared effort)","")</f>
        <v/>
      </c>
      <c r="P18" s="222" t="str">
        <f>IF(AND('BP3'!M26&gt;0,'BP3'!$A$5&gt;0),TEXT('BP3'!M26,"0.00")&amp;" cost-shared month"&amp;IF('BP3'!M26&gt;1,"s",)&amp;" (or "&amp;TEXT('BP3'!M26/'BP3'!G26,"0%")&amp;" cost-shared effort)","")</f>
        <v/>
      </c>
      <c r="Q18" s="222" t="str">
        <f>IF(AND('BP4'!M26&gt;0,'BP4'!$A$5&gt;0),TEXT('BP4'!M26,"0.00")&amp;" cost-shared month"&amp;IF('BP4'!M26&gt;1,"s",)&amp;" (or "&amp;TEXT('BP4'!M26/'BP4'!G26,"0%")&amp;" cost-shared effort)","")</f>
        <v/>
      </c>
      <c r="R18" s="222" t="str">
        <f>IF(AND('BP5'!M26&gt;0,'BP5'!$A$5&gt;0),TEXT('BP5'!M26,"0.00")&amp;" cost-shared month"&amp;IF('BP5'!M26&gt;1,"s",)&amp;" (or "&amp;TEXT('BP5'!M26/'BP5'!G26,"0%")&amp;" cost-shared effort)","")</f>
        <v/>
      </c>
      <c r="S18" s="208" t="str">
        <f>IF(AND('BP1'!$K$5=2,I18&lt;&gt;J18),"Note: Effort changes in the outyears!","")&amp;IF(AND('BP1'!$K$5=3,OR(I18&lt;&gt;J18,I18&lt;&gt;K18,J18&lt;&gt;K18)),"Note: Effort changes in the outyears!","")&amp;IF(AND('BP1'!$K$5=4,OR(I18&lt;&gt;J18,I18&lt;&gt;K18,I18&lt;&gt;L18,J18&lt;&gt;K18,J18&lt;&gt;L18,K18&lt;&gt;L18)),"Note: Effort changes in the outyears!","")&amp;IF(AND('BP1'!$K$5=5,OR(I18&lt;&gt;J18,I18&lt;&gt;K18,I18&lt;&gt;L18,I18&lt;&gt;M18,J18&lt;&gt;K18,J18&lt;&gt;L18,J18&lt;&gt;M18,K18&lt;&gt;L18,K18&lt;&gt;M18,L18&lt;&gt;M18)),"Note: Effort changes in the outyears!","")</f>
        <v/>
      </c>
      <c r="T18" s="208" t="str">
        <f>IF(AND('BP1'!$K$5=2,N18&lt;&gt;O18),"Note: Effort changes in the outyears!","")&amp;IF(AND('BP1'!$K$5=3,OR(N18&lt;&gt;O18,N18&lt;&gt;P18,O18&lt;&gt;P18)),"Note: Effort changes in the outyears!","")&amp;IF(AND('BP1'!$K$5=4,OR(N18&lt;&gt;O18,N18&lt;&gt;P18,N18&lt;&gt;Q18,O18&lt;&gt;P18,O18&lt;&gt;Q18,P18&lt;&gt;Q18)),"Note: Effort changes in the outyears!","")&amp;IF(AND('BP1'!$K$5=5,OR(N18&lt;&gt;O18,N18&lt;&gt;P18,N18&lt;&gt;Q18,N18&lt;&gt;R18,O18&lt;&gt;P18,O18&lt;&gt;Q18,O18&lt;&gt;R18,P18&lt;&gt;Q18,P18&lt;&gt;R18,Q18&lt;&gt;R18)),"Note: Effort changes in the outyears!","")</f>
        <v/>
      </c>
      <c r="U18" s="597" t="str">
        <f t="shared" si="0"/>
        <v>Blank</v>
      </c>
    </row>
    <row r="19" spans="1:21" ht="60" customHeight="1">
      <c r="A19" s="895" t="str">
        <f>IF('Cumulative Budget'!H27+'Cumulative Budget'!I27+'Cumulative Budget'!J27&gt;0,IF(S19="Note: Effort changes in the outyears!",IF(I19&lt;&gt;"",I19&amp;" in Budget Period 1","")&amp;IF(AND(I19&lt;&gt;"",J19&lt;&gt;""),"; ","")&amp;IF(J19&lt;&gt;"",J19&amp;" in Budget Period 2","")&amp;IF(AND(OR(I19&lt;&gt;"",J19&lt;&gt;""),K19&lt;&gt;""),"; ","")&amp;IF(K19&lt;&gt;"",K19&amp;" in Budget Period 3","")&amp;IF(AND(OR(I19&lt;&gt;"",J19&lt;&gt;"",K19&lt;&gt;""),L19&lt;&gt;""),"; ","")&amp;IF(L19&lt;&gt;"",L19&amp;" in Budget Period 4","")&amp;IF(AND(OR(I19&lt;&gt;"",J19&lt;&gt;"",K19&lt;&gt;"",L19&lt;&gt;""),M19&lt;&gt;""),"; ","")&amp;IF(M19&lt;&gt;"",M19&amp;" in Budget Period 5","")&amp;" of "&amp;'BP1'!B27&amp;"'s salary is requested. ",I19&amp;" of "&amp;'BP1'!B27&amp;"'s salary is requested"&amp;IF('BP1'!$K$5&gt;1," each budget period for "&amp;'BP1'!$K$5&amp;" budget periods. ",". ")),"")&amp;IF('Cumulative Budget'!M27&gt;0,IF(T19="Note: Effort changes in the outyears!",IF(N19&lt;&gt;"",N19&amp;" in Budget Period 1","")&amp;IF(AND(N19&lt;&gt;"",O19&lt;&gt;""),"; ","")&amp;IF(O19&lt;&gt;"",O19&amp;" in Budget Period 2","")&amp;IF(AND(OR(N19&lt;&gt;"",O19&lt;&gt;""),P19&lt;&gt;""),"; ","")&amp;IF(P19&lt;&gt;"",P19&amp;" in Budget Period 3","")&amp;IF(AND(OR(N19&lt;&gt;"",O19&lt;&gt;"",P19&lt;&gt;""),Q19&lt;&gt;""),"; ","")&amp;IF(Q19&lt;&gt;"",Q19&amp;" in Budget Period 4","")&amp;IF(AND(OR(N19&lt;&gt;"",O19&lt;&gt;"",P19&lt;&gt;"",Q19&lt;&gt;""),R19&lt;&gt;""),"; ","")&amp;IF(R19&lt;&gt;"",R19&amp;" in Budget Period 5","")&amp;" of "&amp;'BP1'!B27&amp;"'s salary is requested. ",N19&amp;" of "&amp;'BP1'!B27&amp;"'s salary is requested"&amp;IF('BP1'!$K$5&gt;1," each budget period for "&amp;'BP1'!$K$5&amp;" budget periods. ",". ")),"")&amp;IF(OR('BP1'!G27=10,'BP1'!G27=11),'BP1'!B27&amp;" currently has a"&amp;IF('BP1'!G27=11,"n "," ")&amp;'BP1'!G27&amp;"-month appointment. ","")&amp;IF(AND('BP1'!$K$5&gt;1,'BP1'!$K$7&gt;0,OR('Cumulative Budget'!H27+'Cumulative Budget'!I27+'Cumulative Budget'!J27+'Cumulative Budget'!M27&gt;0)),"Salary is inflated by "&amp;('BP1'!$K$7*100)&amp;"% annually each September. ","")&amp;IF(ISBLANK('BP1'!R27),"",'BP1'!R27)</f>
        <v/>
      </c>
      <c r="B19" s="895"/>
      <c r="C19" s="895"/>
      <c r="D19" s="895"/>
      <c r="E19" s="895"/>
      <c r="F19" s="895"/>
      <c r="G19" s="895"/>
      <c r="H19" s="895"/>
      <c r="I19" s="222" t="str">
        <f>IF(SUM('Cumulative Budget'!H27:J27)&gt;0,(IF('BP1'!$K$5&gt;0,((IF('BP1'!H27&gt;0,CONCATENATE(IF('BP1'!H27&gt;0,TEXT('BP1'!H27,"0.00")&amp;" calendar month"&amp;IF('BP1'!H27&gt;1,"s",)&amp;" (or "&amp;TEXT('BP1'!H27/'BP1'!G27,"0%")&amp;" calendar effort)",)),CONCATENATE(IF('BP1'!I27&gt;0,TEXT('BP1'!I27,"0.00")&amp;" academic month"&amp;IF('BP1'!I27&gt;1,"s",)&amp;" (or "&amp;TEXT('BP1'!I27/9,"0%")&amp;" academic effort)",),IF(AND('BP1'!I27&gt;0,'BP1'!J27&gt;0)," and ",),IF('BP1'!J27&gt;0,TEXT('BP1'!J27,"0.00")&amp;" summer month"&amp;IF('BP1'!J27&gt;1,"s",)&amp;" (or "&amp;TEXT('BP1'!J27/3,"0%")&amp;" summer effort)",))))),"")),"")</f>
        <v/>
      </c>
      <c r="J19" s="222" t="str">
        <f>IF(SUM('Cumulative Budget'!H27:J27)&gt;0,(IF('BP1'!$K$5&gt;1,((IF('BP2'!H27&gt;0,CONCATENATE(IF('BP2'!H27&gt;0,TEXT('BP2'!H27,"0.00")&amp;" calendar month"&amp;IF('BP2'!H27&gt;1,"s",)&amp;" (or "&amp;TEXT('BP2'!H27/'BP2'!G27,"0%")&amp;" calendar effort)",)),CONCATENATE(IF('BP2'!I27&gt;0,TEXT('BP2'!I27,"0.00")&amp;" academic month"&amp;IF('BP2'!I27&gt;1,"s",)&amp;" (or "&amp;TEXT('BP2'!I27/9,"0%")&amp;" academic effort)",),IF(AND('BP2'!I27&gt;0,'BP2'!J27&gt;0)," and ",),IF('BP2'!J27&gt;0,TEXT('BP2'!J27,"0.00")&amp;" summer month"&amp;IF('BP2'!J27&gt;1,"s",)&amp;" (or "&amp;TEXT('BP2'!J27/3,"0%")&amp;" summer effort)",))))),"")),"")</f>
        <v/>
      </c>
      <c r="K19" s="222" t="str">
        <f>IF(SUM('Cumulative Budget'!H27:J27)&gt;0,(IF('BP1'!$K$5&gt;2,((IF('BP3'!H27&gt;0,CONCATENATE(IF('BP3'!H27&gt;0,TEXT('BP3'!H27,"0.00")&amp;" calendar month"&amp;IF('BP3'!H27&gt;1,"s",)&amp;" (or "&amp;TEXT('BP3'!H27/'BP3'!G27,"0%")&amp;" calendar effort)",)),CONCATENATE(IF('BP3'!I27&gt;0,TEXT('BP3'!I27,"0.00")&amp;" academic month"&amp;IF('BP3'!I27&gt;1,"s",)&amp;" (or "&amp;TEXT('BP3'!I27/9,"0%")&amp;" academic effort)",),IF(AND('BP3'!I27&gt;0,'BP3'!J27&gt;0)," and ",),IF('BP3'!J27&gt;0,TEXT('BP3'!J27,"0.00")&amp;" summer month"&amp;IF('BP3'!J27&gt;1,"s",)&amp;" (or "&amp;TEXT('BP3'!J27/3,"0%")&amp;" summer effort)",))))),"")),"")</f>
        <v/>
      </c>
      <c r="L19" s="222" t="str">
        <f>IF(SUM('Cumulative Budget'!H27:J27)&gt;0,(IF('BP1'!$K$5&gt;3,((IF('BP4'!H27&gt;0,CONCATENATE(IF('BP4'!H27&gt;0,TEXT('BP4'!H27,"0.00")&amp;" calendar month"&amp;IF('BP4'!H27&gt;1,"s",)&amp;" (or "&amp;TEXT('BP4'!H27/'BP4'!G27,"0%")&amp;" calendar effort)",)),CONCATENATE(IF('BP4'!I27&gt;0,TEXT('BP4'!I27,"0.00")&amp;" academic month"&amp;IF('BP4'!I27&gt;1,"s",)&amp;" (or "&amp;TEXT('BP4'!I27/9,"0%")&amp;" academic effort)",),IF(AND('BP4'!I27&gt;0,'BP4'!J27&gt;0)," and ",),IF('BP4'!J27&gt;0,TEXT('BP4'!J27,"0.00")&amp;" summer month"&amp;IF('BP4'!J27&gt;1,"s",)&amp;" (or "&amp;TEXT('BP4'!J27/3,"0%")&amp;" summer effort)",))))),"")),"")</f>
        <v/>
      </c>
      <c r="M19" s="222" t="str">
        <f>IF(SUM('Cumulative Budget'!H27:J27)&gt;0,(IF('BP1'!$K$5&gt;4,((IF('BP5'!H27&gt;0,CONCATENATE(IF('BP5'!H27&gt;0,TEXT('BP5'!H27,"0.00")&amp;" calendar month"&amp;IF('BP5'!H27&gt;1,"s",)&amp;" (or "&amp;TEXT('BP5'!H27/'BP5'!G27,"0%")&amp;" calendar effort)",)),CONCATENATE(IF('BP5'!I27&gt;0,TEXT('BP5'!I27,"0.00")&amp;" academic month"&amp;IF('BP5'!I27&gt;1,"s",)&amp;" (or "&amp;TEXT('BP5'!I27/9,"0%")&amp;" academic effort)",),IF(AND('BP5'!I27&gt;0,'BP5'!J27&gt;0)," and ",),IF('BP5'!J27&gt;0,TEXT('BP5'!J27,"0.00")&amp;" summer month"&amp;IF('BP5'!J27&gt;1,"s",)&amp;" (or "&amp;TEXT('BP5'!J27/3,"0%")&amp;" summer effort)",))))),"")),"")</f>
        <v/>
      </c>
      <c r="N19" s="222" t="str">
        <f>IF(AND('BP1'!M27&gt;0,'BP1'!$A$5&gt;0),TEXT('BP1'!M27,"0.00")&amp;" cost-shared month"&amp;IF('BP1'!M27&gt;1,"s",)&amp;" (or "&amp;TEXT('BP1'!M27/'BP1'!G27,"0%")&amp;" cost-shared effort)","")</f>
        <v/>
      </c>
      <c r="O19" s="222" t="str">
        <f>IF(AND('BP2'!M27&gt;0,'BP2'!$A$5&gt;0),TEXT('BP2'!M27,"0.00")&amp;" cost-shared month"&amp;IF('BP2'!M27&gt;1,"s",)&amp;" (or "&amp;TEXT('BP2'!M27/'BP2'!G27,"0%")&amp;" cost-shared effort)","")</f>
        <v/>
      </c>
      <c r="P19" s="222" t="str">
        <f>IF(AND('BP3'!M27&gt;0,'BP3'!$A$5&gt;0),TEXT('BP3'!M27,"0.00")&amp;" cost-shared month"&amp;IF('BP3'!M27&gt;1,"s",)&amp;" (or "&amp;TEXT('BP3'!M27/'BP3'!G27,"0%")&amp;" cost-shared effort)","")</f>
        <v/>
      </c>
      <c r="Q19" s="222" t="str">
        <f>IF(AND('BP4'!M27&gt;0,'BP4'!$A$5&gt;0),TEXT('BP4'!M27,"0.00")&amp;" cost-shared month"&amp;IF('BP4'!M27&gt;1,"s",)&amp;" (or "&amp;TEXT('BP4'!M27/'BP4'!G27,"0%")&amp;" cost-shared effort)","")</f>
        <v/>
      </c>
      <c r="R19" s="222" t="str">
        <f>IF(AND('BP5'!M27&gt;0,'BP5'!$A$5&gt;0),TEXT('BP5'!M27,"0.00")&amp;" cost-shared month"&amp;IF('BP5'!M27&gt;1,"s",)&amp;" (or "&amp;TEXT('BP5'!M27/'BP5'!G27,"0%")&amp;" cost-shared effort)","")</f>
        <v/>
      </c>
      <c r="S19" s="208" t="str">
        <f>IF(AND('BP1'!$K$5=2,I19&lt;&gt;J19),"Note: Effort changes in the outyears!","")&amp;IF(AND('BP1'!$K$5=3,OR(I19&lt;&gt;J19,I19&lt;&gt;K19,J19&lt;&gt;K19)),"Note: Effort changes in the outyears!","")&amp;IF(AND('BP1'!$K$5=4,OR(I19&lt;&gt;J19,I19&lt;&gt;K19,I19&lt;&gt;L19,J19&lt;&gt;K19,J19&lt;&gt;L19,K19&lt;&gt;L19)),"Note: Effort changes in the outyears!","")&amp;IF(AND('BP1'!$K$5=5,OR(I19&lt;&gt;J19,I19&lt;&gt;K19,I19&lt;&gt;L19,I19&lt;&gt;M19,J19&lt;&gt;K19,J19&lt;&gt;L19,J19&lt;&gt;M19,K19&lt;&gt;L19,K19&lt;&gt;M19,L19&lt;&gt;M19)),"Note: Effort changes in the outyears!","")</f>
        <v/>
      </c>
      <c r="T19" s="208" t="str">
        <f>IF(AND('BP1'!$K$5=2,N19&lt;&gt;O19),"Note: Effort changes in the outyears!","")&amp;IF(AND('BP1'!$K$5=3,OR(N19&lt;&gt;O19,N19&lt;&gt;P19,O19&lt;&gt;P19)),"Note: Effort changes in the outyears!","")&amp;IF(AND('BP1'!$K$5=4,OR(N19&lt;&gt;O19,N19&lt;&gt;P19,N19&lt;&gt;Q19,O19&lt;&gt;P19,O19&lt;&gt;Q19,P19&lt;&gt;Q19)),"Note: Effort changes in the outyears!","")&amp;IF(AND('BP1'!$K$5=5,OR(N19&lt;&gt;O19,N19&lt;&gt;P19,N19&lt;&gt;Q19,N19&lt;&gt;R19,O19&lt;&gt;P19,O19&lt;&gt;Q19,O19&lt;&gt;R19,P19&lt;&gt;Q19,P19&lt;&gt;R19,Q19&lt;&gt;R19)),"Note: Effort changes in the outyears!","")</f>
        <v/>
      </c>
      <c r="U19" s="597" t="str">
        <f t="shared" si="0"/>
        <v>Blank</v>
      </c>
    </row>
    <row r="20" spans="1:21" ht="60" customHeight="1">
      <c r="A20" s="895" t="str">
        <f>IF('Cumulative Budget'!H28+'Cumulative Budget'!I28+'Cumulative Budget'!J28&gt;0,IF(S20="Note: Effort changes in the outyears!",IF(I20&lt;&gt;"",I20&amp;" in Budget Period 1","")&amp;IF(AND(I20&lt;&gt;"",J20&lt;&gt;""),"; ","")&amp;IF(J20&lt;&gt;"",J20&amp;" in Budget Period 2","")&amp;IF(AND(OR(I20&lt;&gt;"",J20&lt;&gt;""),K20&lt;&gt;""),"; ","")&amp;IF(K20&lt;&gt;"",K20&amp;" in Budget Period 3","")&amp;IF(AND(OR(I20&lt;&gt;"",J20&lt;&gt;"",K20&lt;&gt;""),L20&lt;&gt;""),"; ","")&amp;IF(L20&lt;&gt;"",L20&amp;" in Budget Period 4","")&amp;IF(AND(OR(I20&lt;&gt;"",J20&lt;&gt;"",K20&lt;&gt;"",L20&lt;&gt;""),M20&lt;&gt;""),"; ","")&amp;IF(M20&lt;&gt;"",M20&amp;" in Budget Period 5","")&amp;" of "&amp;'BP1'!B28&amp;"'s salary is requested. ",I20&amp;" of "&amp;'BP1'!B28&amp;"'s salary is requested"&amp;IF('BP1'!$K$5&gt;1," each budget period for "&amp;'BP1'!$K$5&amp;" budget periods. ",". ")),"")&amp;IF('Cumulative Budget'!M28&gt;0,IF(T20="Note: Effort changes in the outyears!",IF(N20&lt;&gt;"",N20&amp;" in Budget Period 1","")&amp;IF(AND(N20&lt;&gt;"",O20&lt;&gt;""),"; ","")&amp;IF(O20&lt;&gt;"",O20&amp;" in Budget Period 2","")&amp;IF(AND(OR(N20&lt;&gt;"",O20&lt;&gt;""),P20&lt;&gt;""),"; ","")&amp;IF(P20&lt;&gt;"",P20&amp;" in Budget Period 3","")&amp;IF(AND(OR(N20&lt;&gt;"",O20&lt;&gt;"",P20&lt;&gt;""),Q20&lt;&gt;""),"; ","")&amp;IF(Q20&lt;&gt;"",Q20&amp;" in Budget Period 4","")&amp;IF(AND(OR(N20&lt;&gt;"",O20&lt;&gt;"",P20&lt;&gt;"",Q20&lt;&gt;""),R20&lt;&gt;""),"; ","")&amp;IF(R20&lt;&gt;"",R20&amp;" in Budget Period 5","")&amp;" of "&amp;'BP1'!B28&amp;"'s salary is requested. ",N20&amp;" of "&amp;'BP1'!B28&amp;"'s salary is requested"&amp;IF('BP1'!$K$5&gt;1," each budget period for "&amp;'BP1'!$K$5&amp;" budget periods. ",". ")),"")&amp;IF(OR('BP1'!G28=10,'BP1'!G28=11),'BP1'!B28&amp;" currently has a"&amp;IF('BP1'!G28=11,"n "," ")&amp;'BP1'!G28&amp;"-month appointment. ","")&amp;IF(AND('BP1'!$K$5&gt;1,'BP1'!$K$7&gt;0,OR('Cumulative Budget'!H28+'Cumulative Budget'!I28+'Cumulative Budget'!J28+'Cumulative Budget'!M28&gt;0)),"Salary is inflated by "&amp;('BP1'!$K$7*100)&amp;"% annually each September. ","")&amp;IF(ISBLANK('BP1'!R28),"",'BP1'!R28)</f>
        <v/>
      </c>
      <c r="B20" s="895"/>
      <c r="C20" s="895"/>
      <c r="D20" s="895"/>
      <c r="E20" s="895"/>
      <c r="F20" s="895"/>
      <c r="G20" s="895"/>
      <c r="H20" s="895"/>
      <c r="I20" s="222" t="str">
        <f>IF(SUM('Cumulative Budget'!H28:J28)&gt;0,(IF('BP1'!$K$5&gt;0,((IF('BP1'!H28&gt;0,CONCATENATE(IF('BP1'!H28&gt;0,TEXT('BP1'!H28,"0.00")&amp;" calendar month"&amp;IF('BP1'!H28&gt;1,"s",)&amp;" (or "&amp;TEXT('BP1'!H28/'BP1'!G28,"0%")&amp;" calendar effort)",)),CONCATENATE(IF('BP1'!I28&gt;0,TEXT('BP1'!I28,"0.00")&amp;" academic month"&amp;IF('BP1'!I28&gt;1,"s",)&amp;" (or "&amp;TEXT('BP1'!I28/9,"0%")&amp;" academic effort)",),IF(AND('BP1'!I28&gt;0,'BP1'!J28&gt;0)," and ",),IF('BP1'!J28&gt;0,TEXT('BP1'!J28,"0.00")&amp;" summer month"&amp;IF('BP1'!J28&gt;1,"s",)&amp;" (or "&amp;TEXT('BP1'!J28/3,"0%")&amp;" summer effort)",))))),"")),"")</f>
        <v/>
      </c>
      <c r="J20" s="222" t="str">
        <f>IF(SUM('Cumulative Budget'!H28:J28)&gt;0,(IF('BP1'!$K$5&gt;1,((IF('BP2'!H28&gt;0,CONCATENATE(IF('BP2'!H28&gt;0,TEXT('BP2'!H28,"0.00")&amp;" calendar month"&amp;IF('BP2'!H28&gt;1,"s",)&amp;" (or "&amp;TEXT('BP2'!H28/'BP2'!G28,"0%")&amp;" calendar effort)",)),CONCATENATE(IF('BP2'!I28&gt;0,TEXT('BP2'!I28,"0.00")&amp;" academic month"&amp;IF('BP2'!I28&gt;1,"s",)&amp;" (or "&amp;TEXT('BP2'!I28/9,"0%")&amp;" academic effort)",),IF(AND('BP2'!I28&gt;0,'BP2'!J28&gt;0)," and ",),IF('BP2'!J28&gt;0,TEXT('BP2'!J28,"0.00")&amp;" summer month"&amp;IF('BP2'!J28&gt;1,"s",)&amp;" (or "&amp;TEXT('BP2'!J28/3,"0%")&amp;" summer effort)",))))),"")),"")</f>
        <v/>
      </c>
      <c r="K20" s="222" t="str">
        <f>IF(SUM('Cumulative Budget'!H28:J28)&gt;0,(IF('BP1'!$K$5&gt;2,((IF('BP3'!H28&gt;0,CONCATENATE(IF('BP3'!H28&gt;0,TEXT('BP3'!H28,"0.00")&amp;" calendar month"&amp;IF('BP3'!H28&gt;1,"s",)&amp;" (or "&amp;TEXT('BP3'!H28/'BP3'!G28,"0%")&amp;" calendar effort)",)),CONCATENATE(IF('BP3'!I28&gt;0,TEXT('BP3'!I28,"0.00")&amp;" academic month"&amp;IF('BP3'!I28&gt;1,"s",)&amp;" (or "&amp;TEXT('BP3'!I28/9,"0%")&amp;" academic effort)",),IF(AND('BP3'!I28&gt;0,'BP3'!J28&gt;0)," and ",),IF('BP3'!J28&gt;0,TEXT('BP3'!J28,"0.00")&amp;" summer month"&amp;IF('BP3'!J28&gt;1,"s",)&amp;" (or "&amp;TEXT('BP3'!J28/3,"0%")&amp;" summer effort)",))))),"")),"")</f>
        <v/>
      </c>
      <c r="L20" s="222" t="str">
        <f>IF(SUM('Cumulative Budget'!H28:J28)&gt;0,(IF('BP1'!$K$5&gt;3,((IF('BP4'!H28&gt;0,CONCATENATE(IF('BP4'!H28&gt;0,TEXT('BP4'!H28,"0.00")&amp;" calendar month"&amp;IF('BP4'!H28&gt;1,"s",)&amp;" (or "&amp;TEXT('BP4'!H28/'BP4'!G28,"0%")&amp;" calendar effort)",)),CONCATENATE(IF('BP4'!I28&gt;0,TEXT('BP4'!I28,"0.00")&amp;" academic month"&amp;IF('BP4'!I28&gt;1,"s",)&amp;" (or "&amp;TEXT('BP4'!I28/9,"0%")&amp;" academic effort)",),IF(AND('BP4'!I28&gt;0,'BP4'!J28&gt;0)," and ",),IF('BP4'!J28&gt;0,TEXT('BP4'!J28,"0.00")&amp;" summer month"&amp;IF('BP4'!J28&gt;1,"s",)&amp;" (or "&amp;TEXT('BP4'!J28/3,"0%")&amp;" summer effort)",))))),"")),"")</f>
        <v/>
      </c>
      <c r="M20" s="222" t="str">
        <f>IF(SUM('Cumulative Budget'!H28:J28)&gt;0,(IF('BP1'!$K$5&gt;4,((IF('BP5'!H28&gt;0,CONCATENATE(IF('BP5'!H28&gt;0,TEXT('BP5'!H28,"0.00")&amp;" calendar month"&amp;IF('BP5'!H28&gt;1,"s",)&amp;" (or "&amp;TEXT('BP5'!H28/'BP5'!G28,"0%")&amp;" calendar effort)",)),CONCATENATE(IF('BP5'!I28&gt;0,TEXT('BP5'!I28,"0.00")&amp;" academic month"&amp;IF('BP5'!I28&gt;1,"s",)&amp;" (or "&amp;TEXT('BP5'!I28/9,"0%")&amp;" academic effort)",),IF(AND('BP5'!I28&gt;0,'BP5'!J28&gt;0)," and ",),IF('BP5'!J28&gt;0,TEXT('BP5'!J28,"0.00")&amp;" summer month"&amp;IF('BP5'!J28&gt;1,"s",)&amp;" (or "&amp;TEXT('BP5'!J28/3,"0%")&amp;" summer effort)",))))),"")),"")</f>
        <v/>
      </c>
      <c r="N20" s="222" t="str">
        <f>IF(AND('BP1'!M28&gt;0,'BP1'!$A$5&gt;0),TEXT('BP1'!M28,"0.00")&amp;" cost-shared month"&amp;IF('BP1'!M28&gt;1,"s",)&amp;" (or "&amp;TEXT('BP1'!M28/'BP1'!G28,"0%")&amp;" cost-shared effort)","")</f>
        <v/>
      </c>
      <c r="O20" s="222" t="str">
        <f>IF(AND('BP2'!M28&gt;0,'BP2'!$A$5&gt;0),TEXT('BP2'!M28,"0.00")&amp;" cost-shared month"&amp;IF('BP2'!M28&gt;1,"s",)&amp;" (or "&amp;TEXT('BP2'!M28/'BP2'!G28,"0%")&amp;" cost-shared effort)","")</f>
        <v/>
      </c>
      <c r="P20" s="222" t="str">
        <f>IF(AND('BP3'!M28&gt;0,'BP3'!$A$5&gt;0),TEXT('BP3'!M28,"0.00")&amp;" cost-shared month"&amp;IF('BP3'!M28&gt;1,"s",)&amp;" (or "&amp;TEXT('BP3'!M28/'BP3'!G28,"0%")&amp;" cost-shared effort)","")</f>
        <v/>
      </c>
      <c r="Q20" s="222" t="str">
        <f>IF(AND('BP4'!M28&gt;0,'BP4'!$A$5&gt;0),TEXT('BP4'!M28,"0.00")&amp;" cost-shared month"&amp;IF('BP4'!M28&gt;1,"s",)&amp;" (or "&amp;TEXT('BP4'!M28/'BP4'!G28,"0%")&amp;" cost-shared effort)","")</f>
        <v/>
      </c>
      <c r="R20" s="222" t="str">
        <f>IF(AND('BP5'!M28&gt;0,'BP5'!$A$5&gt;0),TEXT('BP5'!M28,"0.00")&amp;" cost-shared month"&amp;IF('BP5'!M28&gt;1,"s",)&amp;" (or "&amp;TEXT('BP5'!M28/'BP5'!G28,"0%")&amp;" cost-shared effort)","")</f>
        <v/>
      </c>
      <c r="S20" s="208" t="str">
        <f>IF(AND('BP1'!$K$5=2,I20&lt;&gt;J20),"Note: Effort changes in the outyears!","")&amp;IF(AND('BP1'!$K$5=3,OR(I20&lt;&gt;J20,I20&lt;&gt;K20,J20&lt;&gt;K20)),"Note: Effort changes in the outyears!","")&amp;IF(AND('BP1'!$K$5=4,OR(I20&lt;&gt;J20,I20&lt;&gt;K20,I20&lt;&gt;L20,J20&lt;&gt;K20,J20&lt;&gt;L20,K20&lt;&gt;L20)),"Note: Effort changes in the outyears!","")&amp;IF(AND('BP1'!$K$5=5,OR(I20&lt;&gt;J20,I20&lt;&gt;K20,I20&lt;&gt;L20,I20&lt;&gt;M20,J20&lt;&gt;K20,J20&lt;&gt;L20,J20&lt;&gt;M20,K20&lt;&gt;L20,K20&lt;&gt;M20,L20&lt;&gt;M20)),"Note: Effort changes in the outyears!","")</f>
        <v/>
      </c>
      <c r="T20" s="208" t="str">
        <f>IF(AND('BP1'!$K$5=2,N20&lt;&gt;O20),"Note: Effort changes in the outyears!","")&amp;IF(AND('BP1'!$K$5=3,OR(N20&lt;&gt;O20,N20&lt;&gt;P20,O20&lt;&gt;P20)),"Note: Effort changes in the outyears!","")&amp;IF(AND('BP1'!$K$5=4,OR(N20&lt;&gt;O20,N20&lt;&gt;P20,N20&lt;&gt;Q20,O20&lt;&gt;P20,O20&lt;&gt;Q20,P20&lt;&gt;Q20)),"Note: Effort changes in the outyears!","")&amp;IF(AND('BP1'!$K$5=5,OR(N20&lt;&gt;O20,N20&lt;&gt;P20,N20&lt;&gt;Q20,N20&lt;&gt;R20,O20&lt;&gt;P20,O20&lt;&gt;Q20,O20&lt;&gt;R20,P20&lt;&gt;Q20,P20&lt;&gt;R20,Q20&lt;&gt;R20)),"Note: Effort changes in the outyears!","")</f>
        <v/>
      </c>
      <c r="U20" s="597" t="str">
        <f t="shared" si="0"/>
        <v>Blank</v>
      </c>
    </row>
    <row r="21" spans="1:21" ht="60" customHeight="1">
      <c r="A21" s="895" t="str">
        <f>IF('Cumulative Budget'!H29+'Cumulative Budget'!I29+'Cumulative Budget'!J29&gt;0,IF(S21="Note: Effort changes in the outyears!",IF(I21&lt;&gt;"",I21&amp;" in Budget Period 1","")&amp;IF(AND(I21&lt;&gt;"",J21&lt;&gt;""),"; ","")&amp;IF(J21&lt;&gt;"",J21&amp;" in Budget Period 2","")&amp;IF(AND(OR(I21&lt;&gt;"",J21&lt;&gt;""),K21&lt;&gt;""),"; ","")&amp;IF(K21&lt;&gt;"",K21&amp;" in Budget Period 3","")&amp;IF(AND(OR(I21&lt;&gt;"",J21&lt;&gt;"",K21&lt;&gt;""),L21&lt;&gt;""),"; ","")&amp;IF(L21&lt;&gt;"",L21&amp;" in Budget Period 4","")&amp;IF(AND(OR(I21&lt;&gt;"",J21&lt;&gt;"",K21&lt;&gt;"",L21&lt;&gt;""),M21&lt;&gt;""),"; ","")&amp;IF(M21&lt;&gt;"",M21&amp;" in Budget Period 5","")&amp;" of "&amp;'BP1'!B29&amp;"'s salary is requested. ",I21&amp;" of "&amp;'BP1'!B29&amp;"'s salary is requested"&amp;IF('BP1'!$K$5&gt;1," each budget period for "&amp;'BP1'!$K$5&amp;" budget periods. ",". ")),"")&amp;IF('Cumulative Budget'!M29&gt;0,IF(T21="Note: Effort changes in the outyears!",IF(N21&lt;&gt;"",N21&amp;" in Budget Period 1","")&amp;IF(AND(N21&lt;&gt;"",O21&lt;&gt;""),"; ","")&amp;IF(O21&lt;&gt;"",O21&amp;" in Budget Period 2","")&amp;IF(AND(OR(N21&lt;&gt;"",O21&lt;&gt;""),P21&lt;&gt;""),"; ","")&amp;IF(P21&lt;&gt;"",P21&amp;" in Budget Period 3","")&amp;IF(AND(OR(N21&lt;&gt;"",O21&lt;&gt;"",P21&lt;&gt;""),Q21&lt;&gt;""),"; ","")&amp;IF(Q21&lt;&gt;"",Q21&amp;" in Budget Period 4","")&amp;IF(AND(OR(N21&lt;&gt;"",O21&lt;&gt;"",P21&lt;&gt;"",Q21&lt;&gt;""),R21&lt;&gt;""),"; ","")&amp;IF(R21&lt;&gt;"",R21&amp;" in Budget Period 5","")&amp;" of "&amp;'BP1'!B29&amp;"'s salary is requested. ",N21&amp;" of "&amp;'BP1'!B29&amp;"'s salary is requested"&amp;IF('BP1'!$K$5&gt;1," each budget period for "&amp;'BP1'!$K$5&amp;" budget periods. ",". ")),"")&amp;IF(OR('BP1'!G29=10,'BP1'!G29=11),'BP1'!B29&amp;" currently has a"&amp;IF('BP1'!G29=11,"n "," ")&amp;'BP1'!G29&amp;"-month appointment. ","")&amp;IF(AND('BP1'!$K$5&gt;1,'BP1'!$K$7&gt;0,OR('Cumulative Budget'!H29+'Cumulative Budget'!I29+'Cumulative Budget'!J29+'Cumulative Budget'!M29&gt;0)),"Salary is inflated by "&amp;('BP1'!$K$7*100)&amp;"% annually each September. ","")&amp;IF(ISBLANK('BP1'!R29),"",'BP1'!R29)</f>
        <v/>
      </c>
      <c r="B21" s="895"/>
      <c r="C21" s="895"/>
      <c r="D21" s="895"/>
      <c r="E21" s="895"/>
      <c r="F21" s="895"/>
      <c r="G21" s="895"/>
      <c r="H21" s="895"/>
      <c r="I21" s="222" t="str">
        <f>IF(SUM('Cumulative Budget'!H29:J29)&gt;0,(IF('BP1'!$K$5&gt;0,((IF('BP1'!H29&gt;0,CONCATENATE(IF('BP1'!H29&gt;0,TEXT('BP1'!H29,"0.00")&amp;" calendar month"&amp;IF('BP1'!H29&gt;1,"s",)&amp;" (or "&amp;TEXT('BP1'!H29/'BP1'!G29,"0%")&amp;" calendar effort)",)),CONCATENATE(IF('BP1'!I29&gt;0,TEXT('BP1'!I29,"0.00")&amp;" academic month"&amp;IF('BP1'!I29&gt;1,"s",)&amp;" (or "&amp;TEXT('BP1'!I29/9,"0%")&amp;" academic effort)",),IF(AND('BP1'!I29&gt;0,'BP1'!J29&gt;0)," and ",),IF('BP1'!J29&gt;0,TEXT('BP1'!J29,"0.00")&amp;" summer month"&amp;IF('BP1'!J29&gt;1,"s",)&amp;" (or "&amp;TEXT('BP1'!J29/3,"0%")&amp;" summer effort)",))))),"")),"")</f>
        <v/>
      </c>
      <c r="J21" s="222" t="str">
        <f>IF(SUM('Cumulative Budget'!H29:J29)&gt;0,(IF('BP1'!$K$5&gt;1,((IF('BP2'!H29&gt;0,CONCATENATE(IF('BP2'!H29&gt;0,TEXT('BP2'!H29,"0.00")&amp;" calendar month"&amp;IF('BP2'!H29&gt;1,"s",)&amp;" (or "&amp;TEXT('BP2'!H29/'BP2'!G29,"0%")&amp;" calendar effort)",)),CONCATENATE(IF('BP2'!I29&gt;0,TEXT('BP2'!I29,"0.00")&amp;" academic month"&amp;IF('BP2'!I29&gt;1,"s",)&amp;" (or "&amp;TEXT('BP2'!I29/9,"0%")&amp;" academic effort)",),IF(AND('BP2'!I29&gt;0,'BP2'!J29&gt;0)," and ",),IF('BP2'!J29&gt;0,TEXT('BP2'!J29,"0.00")&amp;" summer month"&amp;IF('BP2'!J29&gt;1,"s",)&amp;" (or "&amp;TEXT('BP2'!J29/3,"0%")&amp;" summer effort)",))))),"")),"")</f>
        <v/>
      </c>
      <c r="K21" s="222" t="str">
        <f>IF(SUM('Cumulative Budget'!H29:J29)&gt;0,(IF('BP1'!$K$5&gt;2,((IF('BP3'!H29&gt;0,CONCATENATE(IF('BP3'!H29&gt;0,TEXT('BP3'!H29,"0.00")&amp;" calendar month"&amp;IF('BP3'!H29&gt;1,"s",)&amp;" (or "&amp;TEXT('BP3'!H29/'BP3'!G29,"0%")&amp;" calendar effort)",)),CONCATENATE(IF('BP3'!I29&gt;0,TEXT('BP3'!I29,"0.00")&amp;" academic month"&amp;IF('BP3'!I29&gt;1,"s",)&amp;" (or "&amp;TEXT('BP3'!I29/9,"0%")&amp;" academic effort)",),IF(AND('BP3'!I29&gt;0,'BP3'!J29&gt;0)," and ",),IF('BP3'!J29&gt;0,TEXT('BP3'!J29,"0.00")&amp;" summer month"&amp;IF('BP3'!J29&gt;1,"s",)&amp;" (or "&amp;TEXT('BP3'!J29/3,"0%")&amp;" summer effort)",))))),"")),"")</f>
        <v/>
      </c>
      <c r="L21" s="222" t="str">
        <f>IF(SUM('Cumulative Budget'!H29:J29)&gt;0,(IF('BP1'!$K$5&gt;3,((IF('BP4'!H29&gt;0,CONCATENATE(IF('BP4'!H29&gt;0,TEXT('BP4'!H29,"0.00")&amp;" calendar month"&amp;IF('BP4'!H29&gt;1,"s",)&amp;" (or "&amp;TEXT('BP4'!H29/'BP4'!G29,"0%")&amp;" calendar effort)",)),CONCATENATE(IF('BP4'!I29&gt;0,TEXT('BP4'!I29,"0.00")&amp;" academic month"&amp;IF('BP4'!I29&gt;1,"s",)&amp;" (or "&amp;TEXT('BP4'!I29/9,"0%")&amp;" academic effort)",),IF(AND('BP4'!I29&gt;0,'BP4'!J29&gt;0)," and ",),IF('BP4'!J29&gt;0,TEXT('BP4'!J29,"0.00")&amp;" summer month"&amp;IF('BP4'!J29&gt;1,"s",)&amp;" (or "&amp;TEXT('BP4'!J29/3,"0%")&amp;" summer effort)",))))),"")),"")</f>
        <v/>
      </c>
      <c r="M21" s="222" t="str">
        <f>IF(SUM('Cumulative Budget'!H29:J29)&gt;0,(IF('BP1'!$K$5&gt;4,((IF('BP5'!H29&gt;0,CONCATENATE(IF('BP5'!H29&gt;0,TEXT('BP5'!H29,"0.00")&amp;" calendar month"&amp;IF('BP5'!H29&gt;1,"s",)&amp;" (or "&amp;TEXT('BP5'!H29/'BP5'!G29,"0%")&amp;" calendar effort)",)),CONCATENATE(IF('BP5'!I29&gt;0,TEXT('BP5'!I29,"0.00")&amp;" academic month"&amp;IF('BP5'!I29&gt;1,"s",)&amp;" (or "&amp;TEXT('BP5'!I29/9,"0%")&amp;" academic effort)",),IF(AND('BP5'!I29&gt;0,'BP5'!J29&gt;0)," and ",),IF('BP5'!J29&gt;0,TEXT('BP5'!J29,"0.00")&amp;" summer month"&amp;IF('BP5'!J29&gt;1,"s",)&amp;" (or "&amp;TEXT('BP5'!J29/3,"0%")&amp;" summer effort)",))))),"")),"")</f>
        <v/>
      </c>
      <c r="N21" s="222" t="str">
        <f>IF(AND('BP1'!M29&gt;0,'BP1'!$A$5&gt;0),TEXT('BP1'!M29,"0.00")&amp;" cost-shared month"&amp;IF('BP1'!M29&gt;1,"s",)&amp;" (or "&amp;TEXT('BP1'!M29/'BP1'!G29,"0%")&amp;" cost-shared effort)","")</f>
        <v/>
      </c>
      <c r="O21" s="222" t="str">
        <f>IF(AND('BP2'!M29&gt;0,'BP2'!$A$5&gt;0),TEXT('BP2'!M29,"0.00")&amp;" cost-shared month"&amp;IF('BP2'!M29&gt;1,"s",)&amp;" (or "&amp;TEXT('BP2'!M29/'BP2'!G29,"0%")&amp;" cost-shared effort)","")</f>
        <v/>
      </c>
      <c r="P21" s="222" t="str">
        <f>IF(AND('BP3'!M29&gt;0,'BP3'!$A$5&gt;0),TEXT('BP3'!M29,"0.00")&amp;" cost-shared month"&amp;IF('BP3'!M29&gt;1,"s",)&amp;" (or "&amp;TEXT('BP3'!M29/'BP3'!G29,"0%")&amp;" cost-shared effort)","")</f>
        <v/>
      </c>
      <c r="Q21" s="222" t="str">
        <f>IF(AND('BP4'!M29&gt;0,'BP4'!$A$5&gt;0),TEXT('BP4'!M29,"0.00")&amp;" cost-shared month"&amp;IF('BP4'!M29&gt;1,"s",)&amp;" (or "&amp;TEXT('BP4'!M29/'BP4'!G29,"0%")&amp;" cost-shared effort)","")</f>
        <v/>
      </c>
      <c r="R21" s="222" t="str">
        <f>IF(AND('BP5'!M29&gt;0,'BP5'!$A$5&gt;0),TEXT('BP5'!M29,"0.00")&amp;" cost-shared month"&amp;IF('BP5'!M29&gt;1,"s",)&amp;" (or "&amp;TEXT('BP5'!M29/'BP5'!G29,"0%")&amp;" cost-shared effort)","")</f>
        <v/>
      </c>
      <c r="S21" s="208" t="str">
        <f>IF(AND('BP1'!$K$5=2,I21&lt;&gt;J21),"Note: Effort changes in the outyears!","")&amp;IF(AND('BP1'!$K$5=3,OR(I21&lt;&gt;J21,I21&lt;&gt;K21,J21&lt;&gt;K21)),"Note: Effort changes in the outyears!","")&amp;IF(AND('BP1'!$K$5=4,OR(I21&lt;&gt;J21,I21&lt;&gt;K21,I21&lt;&gt;L21,J21&lt;&gt;K21,J21&lt;&gt;L21,K21&lt;&gt;L21)),"Note: Effort changes in the outyears!","")&amp;IF(AND('BP1'!$K$5=5,OR(I21&lt;&gt;J21,I21&lt;&gt;K21,I21&lt;&gt;L21,I21&lt;&gt;M21,J21&lt;&gt;K21,J21&lt;&gt;L21,J21&lt;&gt;M21,K21&lt;&gt;L21,K21&lt;&gt;M21,L21&lt;&gt;M21)),"Note: Effort changes in the outyears!","")</f>
        <v/>
      </c>
      <c r="T21" s="208" t="str">
        <f>IF(AND('BP1'!$K$5=2,N21&lt;&gt;O21),"Note: Effort changes in the outyears!","")&amp;IF(AND('BP1'!$K$5=3,OR(N21&lt;&gt;O21,N21&lt;&gt;P21,O21&lt;&gt;P21)),"Note: Effort changes in the outyears!","")&amp;IF(AND('BP1'!$K$5=4,OR(N21&lt;&gt;O21,N21&lt;&gt;P21,N21&lt;&gt;Q21,O21&lt;&gt;P21,O21&lt;&gt;Q21,P21&lt;&gt;Q21)),"Note: Effort changes in the outyears!","")&amp;IF(AND('BP1'!$K$5=5,OR(N21&lt;&gt;O21,N21&lt;&gt;P21,N21&lt;&gt;Q21,N21&lt;&gt;R21,O21&lt;&gt;P21,O21&lt;&gt;Q21,O21&lt;&gt;R21,P21&lt;&gt;Q21,P21&lt;&gt;R21,Q21&lt;&gt;R21)),"Note: Effort changes in the outyears!","")</f>
        <v/>
      </c>
      <c r="U21" s="597" t="str">
        <f t="shared" si="0"/>
        <v>Blank</v>
      </c>
    </row>
    <row r="22" spans="1:21" ht="45" customHeight="1">
      <c r="A22" s="895" t="str">
        <f ca="1">IF(AND(U22="Populate",'Cumulative Budget'!P30&gt;0,'Cumulative Budget'!K30&gt;0),"PI and/or Co-I salary currently exceeds the HHS salary cap per recent guidelines. For any salary exceeding the salary cap, their direct salary in this application has been restricted according to Executive Level II of the Federal Pay Scale.","")</f>
        <v/>
      </c>
      <c r="B22" s="895"/>
      <c r="C22" s="895"/>
      <c r="D22" s="895"/>
      <c r="E22" s="895"/>
      <c r="F22" s="895"/>
      <c r="G22" s="895"/>
      <c r="H22" s="895"/>
      <c r="I22" s="222"/>
      <c r="J22" s="222"/>
      <c r="K22" s="222"/>
      <c r="L22" s="222"/>
      <c r="M22" s="222"/>
      <c r="N22" s="222"/>
      <c r="O22" s="222"/>
      <c r="P22" s="222"/>
      <c r="Q22" s="222"/>
      <c r="R22" s="222"/>
      <c r="S22" s="894" t="s">
        <v>976</v>
      </c>
      <c r="T22" s="894"/>
      <c r="U22" s="597" t="str">
        <f>IF('Appendix C-Grants.gov Form Info'!H5="NIH","Populate","Blank")</f>
        <v>Blank</v>
      </c>
    </row>
    <row r="23" spans="1:21" ht="15" customHeight="1">
      <c r="A23" s="896"/>
      <c r="B23" s="896"/>
      <c r="C23" s="896"/>
      <c r="D23" s="896"/>
      <c r="E23" s="896"/>
      <c r="F23" s="896"/>
      <c r="G23" s="896"/>
      <c r="H23" s="896"/>
      <c r="I23" s="222"/>
      <c r="J23" s="222"/>
      <c r="K23" s="222"/>
      <c r="L23" s="222"/>
      <c r="M23" s="222"/>
      <c r="N23" s="222"/>
      <c r="O23" s="222"/>
      <c r="P23" s="222"/>
      <c r="Q23" s="222"/>
      <c r="R23" s="222"/>
      <c r="S23" s="209"/>
      <c r="T23" s="209"/>
      <c r="U23" s="597" t="str">
        <f ca="1">IF(A6="","Blank","Populate")</f>
        <v>Blank</v>
      </c>
    </row>
    <row r="24" spans="1:21" ht="15" customHeight="1">
      <c r="A24" s="897" t="str">
        <f ca="1">IF(OR(SUM('Cumulative Budget'!K32:K40)&gt;0,SUM('Cumulative Budget'!N32:N40)&gt;0),"Other Personnel:","")</f>
        <v/>
      </c>
      <c r="B24" s="897"/>
      <c r="C24" s="897"/>
      <c r="D24" s="897"/>
      <c r="E24" s="897"/>
      <c r="F24" s="897"/>
      <c r="G24" s="897"/>
      <c r="H24" s="897"/>
      <c r="I24" s="222"/>
      <c r="J24" s="222"/>
      <c r="K24" s="222"/>
      <c r="L24" s="222"/>
      <c r="M24" s="222"/>
      <c r="N24" s="222"/>
      <c r="O24" s="222"/>
      <c r="P24" s="222"/>
      <c r="Q24" s="222"/>
      <c r="R24" s="222"/>
      <c r="S24" s="210"/>
      <c r="T24" s="210"/>
      <c r="U24" s="597" t="str">
        <f t="shared" ref="U24:U33" ca="1" si="1">IF(A24="","Blank","Populate")</f>
        <v>Blank</v>
      </c>
    </row>
    <row r="25" spans="1:21" ht="60" customHeight="1">
      <c r="A25" s="895" t="str">
        <f ca="1">IF('Cumulative Budget'!H32+'Cumulative Budget'!I32+'Cumulative Budget'!J32&gt;0,IF(S25="Note: Effort changes in the outyears!",IF(I25&lt;&gt;"",I25&amp;" in Budget Period 1","")&amp;IF(AND(I25&lt;&gt;"",J25&lt;&gt;""),"; ","")&amp;IF(J25&lt;&gt;"",J25&amp;" in Budget Period 2","")&amp;IF(AND(OR(I25&lt;&gt;"",J25&lt;&gt;""),K25&lt;&gt;""),"; ","")&amp;IF(K25&lt;&gt;"",K25&amp;" in Budget Period 3","")&amp;IF(AND(OR(I25&lt;&gt;"",J25&lt;&gt;"",K25&lt;&gt;""),L25&lt;&gt;""),"; ","")&amp;IF(L25&lt;&gt;"",L25&amp;" in Budget Period 4","")&amp;IF(AND(OR(I25&lt;&gt;"",J25&lt;&gt;"",K25&lt;&gt;"",L25&lt;&gt;""),M25&lt;&gt;""),"; ","")&amp;IF(M25&lt;&gt;"",M25&amp;" in Budget Period 5","")&amp;" for "&amp;ROUNDUP('BP1'!H32/'BP1'!G32,0)&amp;" "&amp;'BP1'!D32&amp;" is requested. ",I25&amp;" for "&amp;ROUNDUP('BP1'!H32/'BP1'!G32,0)&amp;" "&amp;'BP1'!D32&amp;" is requested"&amp;IF('BP1'!$K$5&gt;1," each budget period for "&amp;'BP1'!$K$5&amp;" budget periods. ",". ")),"")&amp;IF('Cumulative Budget'!N32&gt;0,IF(T25="Note: Effort changes in the outyears!",IF(N25&lt;&gt;"",N25&amp;" in Budget Period 1","")&amp;IF(AND(N25&lt;&gt;"",O25&lt;&gt;""),"; ","")&amp;IF(O25&lt;&gt;"",O25&amp;" in Budget Period 2","")&amp;IF(AND(OR(N25&lt;&gt;"",O25&lt;&gt;""),P25&lt;&gt;""),"; ","")&amp;IF(P25&lt;&gt;"",P25&amp;" in Budget Period 3","")&amp;IF(AND(OR(N25&lt;&gt;"",O25&lt;&gt;"",P25&lt;&gt;""),Q25&lt;&gt;""),"; ","")&amp;IF(Q25&lt;&gt;"",Q25&amp;" in Budget Period 4","")&amp;IF(AND(OR(N25&lt;&gt;"",O25&lt;&gt;"",P25&lt;&gt;"",Q25&lt;&gt;""),R25&lt;&gt;""),"; ","")&amp;IF(R25&lt;&gt;"",R25&amp;" in Budget Period 5","")&amp;" for "&amp;ROUNDUP('BP1'!M32/'BP1'!G32,0)&amp;" "&amp;'BP1'!D32&amp;" is requested. ",N25&amp;" for "&amp;ROUNDUP('BP1'!M32/'BP1'!G32,0)&amp;" "&amp;'BP1'!D32&amp;" is requested"&amp;IF('BP1'!$K$5&gt;1," each budget period for "&amp;'BP1'!$K$5&amp;" budget periods. ",". ")),"")&amp;IF(AND('BP1'!$K$5&gt;1,'BP1'!$K$7&gt;0,OR('Cumulative Budget'!H32+'Cumulative Budget'!M32&gt;0)),"Salary is inflated by "&amp;('BP1'!$K$7*100)&amp;"% annually each September. ","")&amp;IF(ISBLANK('BP1'!R32),"",'BP1'!R32)</f>
        <v/>
      </c>
      <c r="B25" s="895"/>
      <c r="C25" s="895"/>
      <c r="D25" s="895"/>
      <c r="E25" s="895"/>
      <c r="F25" s="895"/>
      <c r="G25" s="895"/>
      <c r="H25" s="895"/>
      <c r="I25" s="222" t="str">
        <f>IF(SUM('Cumulative Budget'!H32:J32)&gt;0,(IF('BP1'!$K$5&gt;0,((IF('BP1'!H32&gt;0,CONCATENATE(IF('BP1'!H32&gt;0,TEXT('BP1'!H32,"0.00")&amp;" calendar month"&amp;IF('BP1'!H32&gt;1,"s",)&amp;" (or "&amp;TEXT('BP1'!H32/'BP1'!G32/ROUNDUP('BP1'!H32/'BP1'!G32,0),"0%")&amp;" calendar effort"&amp;IF('BP1'!H32&gt;12," each","")&amp;")",)),CONCATENATE(IF('BP1'!I32&gt;0,TEXT('BP1'!I32,"0.00")&amp;" academic month"&amp;IF('BP1'!I32&gt;1,"s",)&amp;" (or "&amp;TEXT('BP1'!I32/9,"0%")&amp;" academic effort)",),IF(AND('BP1'!I32&gt;0,'BP1'!J32&gt;0)," and ",),IF('BP1'!J32&gt;0,TEXT('BP1'!J32,"0.00")&amp;" summer month"&amp;IF('BP1'!J32&gt;1,"s",)&amp;" (or "&amp;TEXT('BP1'!J32/3,"0%")&amp;" summer effort)",))))),"")),"")</f>
        <v/>
      </c>
      <c r="J25" s="222" t="str">
        <f>IF(SUM('Cumulative Budget'!H32:J32)&gt;0,(IF('BP1'!$K$5&gt;1,((IF('BP2'!H32&gt;0,CONCATENATE(IF('BP2'!H32&gt;0,TEXT('BP2'!H32,"0.00")&amp;" calendar month"&amp;IF('BP2'!H32&gt;1,"s",)&amp;" (or "&amp;TEXT('BP2'!H32/'BP2'!G32/ROUNDUP('BP2'!H32/'BP2'!G32,0),"0%")&amp;" calendar effort"&amp;IF('BP2'!H32&gt;12," each","")&amp;")",)),CONCATENATE(IF('BP2'!I32&gt;0,TEXT('BP2'!I32,"0.00")&amp;" academic month"&amp;IF('BP2'!I32&gt;1,"s",)&amp;" (or "&amp;TEXT('BP2'!I32/9,"0%")&amp;" academic effort)",),IF(AND('BP2'!I32&gt;0,'BP2'!J32&gt;0)," and ",),IF('BP2'!J32&gt;0,TEXT('BP2'!J32,"0.00")&amp;" summer month"&amp;IF('BP2'!J32&gt;1,"s",)&amp;" (or "&amp;TEXT('BP2'!J32/3,"0%")&amp;" summer effort)",))))),"")),"")</f>
        <v/>
      </c>
      <c r="K25" s="222" t="str">
        <f>IF(SUM('Cumulative Budget'!H32:J32)&gt;0,(IF('BP1'!$K$5&gt;2,((IF('BP3'!H32&gt;0,CONCATENATE(IF('BP3'!H32&gt;0,TEXT('BP3'!H32,"0.00")&amp;" calendar month"&amp;IF('BP3'!H32&gt;1,"s",)&amp;" (or "&amp;TEXT('BP3'!H32/'BP3'!G32/ROUNDUP('BP3'!H32/'BP3'!G32,0),"0%")&amp;" calendar effort"&amp;IF('BP3'!H32&gt;12," each","")&amp;")",)),CONCATENATE(IF('BP3'!I32&gt;0,TEXT('BP3'!I32,"0.00")&amp;" academic month"&amp;IF('BP3'!I32&gt;1,"s",)&amp;" (or "&amp;TEXT('BP3'!I32/9,"0%")&amp;" academic effort)",),IF(AND('BP3'!I32&gt;0,'BP3'!J32&gt;0)," and ",),IF('BP3'!J32&gt;0,TEXT('BP3'!J32,"0.00")&amp;" summer month"&amp;IF('BP3'!J32&gt;1,"s",)&amp;" (or "&amp;TEXT('BP3'!J32/3,"0%")&amp;" summer effort)",))))),"")),"")</f>
        <v/>
      </c>
      <c r="L25" s="222" t="str">
        <f>IF(SUM('Cumulative Budget'!H32:J32)&gt;0,(IF('BP1'!$K$5&gt;3,((IF('BP4'!H32&gt;0,CONCATENATE(IF('BP4'!H32&gt;0,TEXT('BP4'!H32,"0.00")&amp;" calendar month"&amp;IF('BP4'!H32&gt;1,"s",)&amp;" (or "&amp;TEXT('BP4'!H32/'BP4'!G32/ROUNDUP('BP4'!H32/'BP4'!G32,0),"0%")&amp;" calendar effort"&amp;IF('BP4'!H32&gt;12," each","")&amp;")",)),CONCATENATE(IF('BP4'!I32&gt;0,TEXT('BP4'!I32,"0.00")&amp;" academic month"&amp;IF('BP4'!I32&gt;1,"s",)&amp;" (or "&amp;TEXT('BP4'!I32/9,"0%")&amp;" academic effort)",),IF(AND('BP4'!I32&gt;0,'BP4'!J32&gt;0)," and ",),IF('BP4'!J32&gt;0,TEXT('BP4'!J32,"0.00")&amp;" summer month"&amp;IF('BP4'!J32&gt;1,"s",)&amp;" (or "&amp;TEXT('BP4'!J32/3,"0%")&amp;" summer effort)",))))),"")),"")</f>
        <v/>
      </c>
      <c r="M25" s="222" t="str">
        <f>IF(SUM('Cumulative Budget'!H32:J32)&gt;0,(IF('BP1'!$K$5&gt;4,((IF('BP5'!H32&gt;0,CONCATENATE(IF('BP5'!H32&gt;0,TEXT('BP5'!H32,"0.00")&amp;" calendar month"&amp;IF('BP5'!H32&gt;1,"s",)&amp;" (or "&amp;TEXT('BP5'!H32/'BP5'!G32/ROUNDUP('BP5'!H32/'BP5'!G32,0),"0%")&amp;" calendar effort"&amp;IF('BP5'!H32&gt;12," each","")&amp;")",)),CONCATENATE(IF('BP5'!I32&gt;0,TEXT('BP5'!I32,"0.00")&amp;" academic month"&amp;IF('BP5'!I32&gt;1,"s",)&amp;" (or "&amp;TEXT('BP5'!I32/9,"0%")&amp;" academic effort)",),IF(AND('BP5'!I32&gt;0,'BP5'!J32&gt;0)," and ",),IF('BP5'!J32&gt;0,TEXT('BP5'!J32,"0.00")&amp;" summer month"&amp;IF('BP5'!J32&gt;1,"s",)&amp;" (or "&amp;TEXT('BP5'!J32/3,"0%")&amp;" summer effort)",))))),"")),"")</f>
        <v/>
      </c>
      <c r="N25" s="222" t="str">
        <f>IF(AND('BP1'!M32&gt;0,'BP1'!$A$5&gt;0),TEXT('BP1'!M32,"0.00")&amp;" cost-shared month"&amp;IF('BP1'!M32&gt;1,"s",)&amp;" (or "&amp;TEXT('BP1'!M32/'BP1'!G32/ROUNDUP('BP1'!M32/'BP1'!G32,0),"0%")&amp;" cost-shared effort"&amp;IF('BP1'!M32&gt;12," each","")&amp;")","")</f>
        <v/>
      </c>
      <c r="O25" s="222" t="str">
        <f>IF(AND('BP2'!M32&gt;0,'BP2'!$A$5&gt;0),TEXT('BP2'!M32,"0.00")&amp;" cost-shared month"&amp;IF('BP2'!M32&gt;1,"s",)&amp;" (or "&amp;TEXT('BP2'!M32/'BP2'!G32/ROUNDUP('BP2'!M32/'BP2'!G32,0),"0%")&amp;" cost-shared effort"&amp;IF('BP2'!M32&gt;12," each","")&amp;")","")</f>
        <v/>
      </c>
      <c r="P25" s="222" t="str">
        <f>IF(AND('BP3'!M32&gt;0,'BP3'!$A$5&gt;0),TEXT('BP3'!M32,"0.00")&amp;" cost-shared month"&amp;IF('BP3'!M32&gt;1,"s",)&amp;" (or "&amp;TEXT('BP3'!M32/'BP3'!G32/ROUNDUP('BP3'!M32/'BP3'!G32,0),"0%")&amp;" cost-shared effort"&amp;IF('BP3'!M32&gt;12," each","")&amp;")","")</f>
        <v/>
      </c>
      <c r="Q25" s="222" t="str">
        <f>IF(AND('BP4'!M32&gt;0,'BP4'!$A$5&gt;0),TEXT('BP4'!M32,"0.00")&amp;" cost-shared month"&amp;IF('BP4'!M32&gt;1,"s",)&amp;" (or "&amp;TEXT('BP4'!M32/'BP4'!G32/ROUNDUP('BP4'!M32/'BP4'!G32,0),"0%")&amp;" cost-shared effort"&amp;IF('BP4'!M32&gt;12," each","")&amp;")","")</f>
        <v/>
      </c>
      <c r="R25" s="222" t="str">
        <f>IF(AND('BP5'!M32&gt;0,'BP5'!$A$5&gt;0),TEXT('BP5'!M32,"0.00")&amp;" cost-shared month"&amp;IF('BP5'!M32&gt;1,"s",)&amp;" (or "&amp;TEXT('BP5'!M32/'BP5'!G32/ROUNDUP('BP5'!M32/'BP5'!G32,0),"0%")&amp;" cost-shared effort"&amp;IF('BP5'!M32&gt;12," each","")&amp;")","")</f>
        <v/>
      </c>
      <c r="S25" s="208" t="str">
        <f>IF(AND('BP1'!$K$5=2,I25&lt;&gt;J25),"Note: Effort changes in the outyears!","")&amp;IF(AND('BP1'!$K$5=3,OR(I25&lt;&gt;J25,I25&lt;&gt;K25,J25&lt;&gt;K25)),"Note: Effort changes in the outyears!","")&amp;IF(AND('BP1'!$K$5=4,OR(I25&lt;&gt;J25,I25&lt;&gt;K25,I25&lt;&gt;L25,J25&lt;&gt;K25,J25&lt;&gt;L25,K25&lt;&gt;L25)),"Note: Effort changes in the outyears!","")&amp;IF(AND('BP1'!$K$5=5,OR(I25&lt;&gt;J25,I25&lt;&gt;K25,I25&lt;&gt;L25,I25&lt;&gt;M25,J25&lt;&gt;K25,J25&lt;&gt;L25,J25&lt;&gt;M25,K25&lt;&gt;L25,K25&lt;&gt;M25,L25&lt;&gt;M25)),"Note: Effort changes in the outyears!","")</f>
        <v/>
      </c>
      <c r="T25" s="208" t="str">
        <f>IF(AND('BP1'!$K$5=2,N25&lt;&gt;O25),"Note: Effort changes in the outyears!","")&amp;IF(AND('BP1'!$K$5=3,OR(N25&lt;&gt;O25,N25&lt;&gt;P25,O25&lt;&gt;P25)),"Note: Effort changes in the outyears!","")&amp;IF(AND('BP1'!$K$5=4,OR(N25&lt;&gt;O25,N25&lt;&gt;P25,N25&lt;&gt;Q25,O25&lt;&gt;P25,O25&lt;&gt;Q25,P25&lt;&gt;Q25)),"Note: Effort changes in the outyears!","")&amp;IF(AND('BP1'!$K$5=5,OR(N25&lt;&gt;O25,N25&lt;&gt;P25,N25&lt;&gt;Q25,N25&lt;&gt;R25,O25&lt;&gt;P25,O25&lt;&gt;Q25,O25&lt;&gt;R25,P25&lt;&gt;Q25,P25&lt;&gt;R25,Q25&lt;&gt;R25)),"Note: Effort changes in the outyears!","")</f>
        <v/>
      </c>
      <c r="U25" s="597" t="str">
        <f t="shared" ca="1" si="1"/>
        <v>Blank</v>
      </c>
    </row>
    <row r="26" spans="1:21" ht="60" customHeight="1">
      <c r="A26" s="895" t="str">
        <f ca="1">IF('Cumulative Budget'!H33+'Cumulative Budget'!I33+'Cumulative Budget'!J33&gt;0,IF(S26="Note: Effort changes in the outyears!",IF(I26&lt;&gt;"",I26&amp;" in Budget Period 1","")&amp;IF(AND(I26&lt;&gt;"",J26&lt;&gt;""),"; ","")&amp;IF(J26&lt;&gt;"",J26&amp;" in Budget Period 2","")&amp;IF(AND(OR(I26&lt;&gt;"",J26&lt;&gt;""),K26&lt;&gt;""),"; ","")&amp;IF(K26&lt;&gt;"",K26&amp;" in Budget Period 3","")&amp;IF(AND(OR(I26&lt;&gt;"",J26&lt;&gt;"",K26&lt;&gt;""),L26&lt;&gt;""),"; ","")&amp;IF(L26&lt;&gt;"",L26&amp;" in Budget Period 4","")&amp;IF(AND(OR(I26&lt;&gt;"",J26&lt;&gt;"",K26&lt;&gt;"",L26&lt;&gt;""),M26&lt;&gt;""),"; ","")&amp;IF(M26&lt;&gt;"",M26&amp;" in Budget Period 5","")&amp;" for "&amp;ROUNDUP('BP1'!H33/'BP1'!G33,0)&amp;" "&amp;'BP1'!D33&amp;" is requested. ",I26&amp;" for "&amp;ROUNDUP('BP1'!H33/'BP1'!G33,0)&amp;" "&amp;'BP1'!D33&amp;" is requested"&amp;IF('BP1'!$K$5&gt;1," each budget period for "&amp;'BP1'!$K$5&amp;" budget periods. ",". ")),"")&amp;IF('Cumulative Budget'!N33&gt;0,IF(T26="Note: Effort changes in the outyears!",IF(N26&lt;&gt;"",N26&amp;" in Budget Period 1","")&amp;IF(AND(N26&lt;&gt;"",O26&lt;&gt;""),"; ","")&amp;IF(O26&lt;&gt;"",O26&amp;" in Budget Period 2","")&amp;IF(AND(OR(N26&lt;&gt;"",O26&lt;&gt;""),P26&lt;&gt;""),"; ","")&amp;IF(P26&lt;&gt;"",P26&amp;" in Budget Period 3","")&amp;IF(AND(OR(N26&lt;&gt;"",O26&lt;&gt;"",P26&lt;&gt;""),Q26&lt;&gt;""),"; ","")&amp;IF(Q26&lt;&gt;"",Q26&amp;" in Budget Period 4","")&amp;IF(AND(OR(N26&lt;&gt;"",O26&lt;&gt;"",P26&lt;&gt;"",Q26&lt;&gt;""),R26&lt;&gt;""),"; ","")&amp;IF(R26&lt;&gt;"",R26&amp;" in Budget Period 5","")&amp;" for "&amp;ROUNDUP('BP1'!M33/'BP1'!G33,0)&amp;" "&amp;'BP1'!D33&amp;" is requested. ",N26&amp;" for "&amp;ROUNDUP('BP1'!M33/'BP1'!G33,0)&amp;" "&amp;'BP1'!D33&amp;" is requested"&amp;IF('BP1'!$K$5&gt;1," each budget period for "&amp;'BP1'!$K$5&amp;" budget periods. ",". ")),"")&amp;IF(AND('BP1'!$K$5&gt;1,'BP1'!$K$7&gt;0,OR('Cumulative Budget'!H33+'Cumulative Budget'!M33&gt;0)),"Salary is inflated by "&amp;('BP1'!$K$7*100)&amp;"% annually each September. ","")&amp;IF(ISBLANK('BP1'!R33),"",'BP1'!R33)</f>
        <v/>
      </c>
      <c r="B26" s="895"/>
      <c r="C26" s="895"/>
      <c r="D26" s="895"/>
      <c r="E26" s="895"/>
      <c r="F26" s="895"/>
      <c r="G26" s="895"/>
      <c r="H26" s="895"/>
      <c r="I26" s="222" t="str">
        <f>IF(SUM('Cumulative Budget'!H33:J33)&gt;0,(IF('BP1'!$K$5&gt;0,((IF('BP1'!H33&gt;0,CONCATENATE(IF('BP1'!H33&gt;0,TEXT('BP1'!H33,"0.00")&amp;" calendar month"&amp;IF('BP1'!H33&gt;1,"s",)&amp;" (or "&amp;TEXT('BP1'!H33/'BP1'!G33/ROUNDUP('BP1'!H33/'BP1'!G33,0),"0%")&amp;" calendar effort"&amp;IF('BP1'!H33&gt;12," each","")&amp;")",)),CONCATENATE(IF('BP1'!I33&gt;0,TEXT('BP1'!I33,"0.00")&amp;" academic month"&amp;IF('BP1'!I33&gt;1,"s",)&amp;" (or "&amp;TEXT('BP1'!I33/9,"0%")&amp;" academic effort)",),IF(AND('BP1'!I33&gt;0,'BP1'!J33&gt;0)," and ",),IF('BP1'!J33&gt;0,TEXT('BP1'!J33,"0.00")&amp;" summer month"&amp;IF('BP1'!J33&gt;1,"s",)&amp;" (or "&amp;TEXT('BP1'!J33/3,"0%")&amp;" summer effort)",))))),"")),"")</f>
        <v/>
      </c>
      <c r="J26" s="222" t="str">
        <f>IF(SUM('Cumulative Budget'!H33:J33)&gt;0,(IF('BP1'!$K$5&gt;1,((IF('BP2'!H33&gt;0,CONCATENATE(IF('BP2'!H33&gt;0,TEXT('BP2'!H33,"0.00")&amp;" calendar month"&amp;IF('BP2'!H33&gt;1,"s",)&amp;" (or "&amp;TEXT('BP2'!H33/'BP2'!G33/ROUNDUP('BP2'!H33/'BP2'!G33,0),"0%")&amp;" calendar effort"&amp;IF('BP2'!H33&gt;12," each","")&amp;")",)),CONCATENATE(IF('BP2'!I33&gt;0,TEXT('BP2'!I33,"0.00")&amp;" academic month"&amp;IF('BP2'!I33&gt;1,"s",)&amp;" (or "&amp;TEXT('BP2'!I33/9,"0%")&amp;" academic effort)",),IF(AND('BP2'!I33&gt;0,'BP2'!J33&gt;0)," and ",),IF('BP2'!J33&gt;0,TEXT('BP2'!J33,"0.00")&amp;" summer month"&amp;IF('BP2'!J33&gt;1,"s",)&amp;" (or "&amp;TEXT('BP2'!J33/3,"0%")&amp;" summer effort)",))))),"")),"")</f>
        <v/>
      </c>
      <c r="K26" s="222" t="str">
        <f>IF(SUM('Cumulative Budget'!H33:J33)&gt;0,(IF('BP1'!$K$5&gt;2,((IF('BP3'!H33&gt;0,CONCATENATE(IF('BP3'!H33&gt;0,TEXT('BP3'!H33,"0.00")&amp;" calendar month"&amp;IF('BP3'!H33&gt;1,"s",)&amp;" (or "&amp;TEXT('BP3'!H33/'BP3'!G33/ROUNDUP('BP3'!H33/'BP3'!G33,0),"0%")&amp;" calendar effort"&amp;IF('BP3'!H33&gt;12," each","")&amp;")",)),CONCATENATE(IF('BP3'!I33&gt;0,TEXT('BP3'!I33,"0.00")&amp;" academic month"&amp;IF('BP3'!I33&gt;1,"s",)&amp;" (or "&amp;TEXT('BP3'!I33/9,"0%")&amp;" academic effort)",),IF(AND('BP3'!I33&gt;0,'BP3'!J33&gt;0)," and ",),IF('BP3'!J33&gt;0,TEXT('BP3'!J33,"0.00")&amp;" summer month"&amp;IF('BP3'!J33&gt;1,"s",)&amp;" (or "&amp;TEXT('BP3'!J33/3,"0%")&amp;" summer effort)",))))),"")),"")</f>
        <v/>
      </c>
      <c r="L26" s="222" t="str">
        <f>IF(SUM('Cumulative Budget'!H33:J33)&gt;0,(IF('BP1'!$K$5&gt;3,((IF('BP4'!H33&gt;0,CONCATENATE(IF('BP4'!H33&gt;0,TEXT('BP4'!H33,"0.00")&amp;" calendar month"&amp;IF('BP4'!H33&gt;1,"s",)&amp;" (or "&amp;TEXT('BP4'!H33/'BP4'!G33/ROUNDUP('BP4'!H33/'BP4'!G33,0),"0%")&amp;" calendar effort"&amp;IF('BP4'!H33&gt;12," each","")&amp;")",)),CONCATENATE(IF('BP4'!I33&gt;0,TEXT('BP4'!I33,"0.00")&amp;" academic month"&amp;IF('BP4'!I33&gt;1,"s",)&amp;" (or "&amp;TEXT('BP4'!I33/9,"0%")&amp;" academic effort)",),IF(AND('BP4'!I33&gt;0,'BP4'!J33&gt;0)," and ",),IF('BP4'!J33&gt;0,TEXT('BP4'!J33,"0.00")&amp;" summer month"&amp;IF('BP4'!J33&gt;1,"s",)&amp;" (or "&amp;TEXT('BP4'!J33/3,"0%")&amp;" summer effort)",))))),"")),"")</f>
        <v/>
      </c>
      <c r="M26" s="222" t="str">
        <f>IF(SUM('Cumulative Budget'!H33:J33)&gt;0,(IF('BP1'!$K$5&gt;4,((IF('BP5'!H33&gt;0,CONCATENATE(IF('BP5'!H33&gt;0,TEXT('BP5'!H33,"0.00")&amp;" calendar month"&amp;IF('BP5'!H33&gt;1,"s",)&amp;" (or "&amp;TEXT('BP5'!H33/'BP5'!G33/ROUNDUP('BP5'!H33/'BP5'!G33,0),"0%")&amp;" calendar effort"&amp;IF('BP5'!H33&gt;12," each","")&amp;")",)),CONCATENATE(IF('BP5'!I33&gt;0,TEXT('BP5'!I33,"0.00")&amp;" academic month"&amp;IF('BP5'!I33&gt;1,"s",)&amp;" (or "&amp;TEXT('BP5'!I33/9,"0%")&amp;" academic effort)",),IF(AND('BP5'!I33&gt;0,'BP5'!J33&gt;0)," and ",),IF('BP5'!J33&gt;0,TEXT('BP5'!J33,"0.00")&amp;" summer month"&amp;IF('BP5'!J33&gt;1,"s",)&amp;" (or "&amp;TEXT('BP5'!J33/3,"0%")&amp;" summer effort)",))))),"")),"")</f>
        <v/>
      </c>
      <c r="N26" s="222" t="str">
        <f>IF(AND('BP1'!M33&gt;0,'BP1'!$A$5&gt;0),TEXT('BP1'!M33,"0.00")&amp;" cost-shared month"&amp;IF('BP1'!M33&gt;1,"s",)&amp;" (or "&amp;TEXT('BP1'!M33/'BP1'!G33/ROUNDUP('BP1'!M33/'BP1'!G33,0),"0%")&amp;" cost-shared effort"&amp;IF('BP1'!M33&gt;12," each","")&amp;")","")</f>
        <v/>
      </c>
      <c r="O26" s="222" t="str">
        <f>IF(AND('BP2'!M33&gt;0,'BP2'!$A$5&gt;0),TEXT('BP2'!M33,"0.00")&amp;" cost-shared month"&amp;IF('BP2'!M33&gt;1,"s",)&amp;" (or "&amp;TEXT('BP2'!M33/'BP2'!G33/ROUNDUP('BP2'!M33/'BP2'!G33,0),"0%")&amp;" cost-shared effort"&amp;IF('BP2'!M33&gt;12," each","")&amp;")","")</f>
        <v/>
      </c>
      <c r="P26" s="222" t="str">
        <f>IF(AND('BP3'!M33&gt;0,'BP3'!$A$5&gt;0),TEXT('BP3'!M33,"0.00")&amp;" cost-shared month"&amp;IF('BP3'!M33&gt;1,"s",)&amp;" (or "&amp;TEXT('BP3'!M33/'BP3'!G33/ROUNDUP('BP3'!M33/'BP3'!G33,0),"0%")&amp;" cost-shared effort"&amp;IF('BP3'!M33&gt;12," each","")&amp;")","")</f>
        <v/>
      </c>
      <c r="Q26" s="222" t="str">
        <f>IF(AND('BP4'!M33&gt;0,'BP4'!$A$5&gt;0),TEXT('BP4'!M33,"0.00")&amp;" cost-shared month"&amp;IF('BP4'!M33&gt;1,"s",)&amp;" (or "&amp;TEXT('BP4'!M33/'BP4'!G33/ROUNDUP('BP4'!M33/'BP4'!G33,0),"0%")&amp;" cost-shared effort"&amp;IF('BP4'!M33&gt;12," each","")&amp;")","")</f>
        <v/>
      </c>
      <c r="R26" s="222" t="str">
        <f>IF(AND('BP5'!M33&gt;0,'BP5'!$A$5&gt;0),TEXT('BP5'!M33,"0.00")&amp;" cost-shared month"&amp;IF('BP5'!M33&gt;1,"s",)&amp;" (or "&amp;TEXT('BP5'!M33/'BP5'!G33/ROUNDUP('BP5'!M33/'BP5'!G33,0),"0%")&amp;" cost-shared effort"&amp;IF('BP5'!M33&gt;12," each","")&amp;")","")</f>
        <v/>
      </c>
      <c r="S26" s="208" t="str">
        <f>IF(AND('BP1'!$K$5=2,I26&lt;&gt;J26),"Note: Effort changes in the outyears!","")&amp;IF(AND('BP1'!$K$5=3,OR(I26&lt;&gt;J26,I26&lt;&gt;K26,J26&lt;&gt;K26)),"Note: Effort changes in the outyears!","")&amp;IF(AND('BP1'!$K$5=4,OR(I26&lt;&gt;J26,I26&lt;&gt;K26,I26&lt;&gt;L26,J26&lt;&gt;K26,J26&lt;&gt;L26,K26&lt;&gt;L26)),"Note: Effort changes in the outyears!","")&amp;IF(AND('BP1'!$K$5=5,OR(I26&lt;&gt;J26,I26&lt;&gt;K26,I26&lt;&gt;L26,I26&lt;&gt;M26,J26&lt;&gt;K26,J26&lt;&gt;L26,J26&lt;&gt;M26,K26&lt;&gt;L26,K26&lt;&gt;M26,L26&lt;&gt;M26)),"Note: Effort changes in the outyears!","")</f>
        <v/>
      </c>
      <c r="T26" s="208" t="str">
        <f>IF(AND('BP1'!$K$5=2,N26&lt;&gt;O26),"Note: Effort changes in the outyears!","")&amp;IF(AND('BP1'!$K$5=3,OR(N26&lt;&gt;O26,N26&lt;&gt;P26,O26&lt;&gt;P26)),"Note: Effort changes in the outyears!","")&amp;IF(AND('BP1'!$K$5=4,OR(N26&lt;&gt;O26,N26&lt;&gt;P26,N26&lt;&gt;Q26,O26&lt;&gt;P26,O26&lt;&gt;Q26,P26&lt;&gt;Q26)),"Note: Effort changes in the outyears!","")&amp;IF(AND('BP1'!$K$5=5,OR(N26&lt;&gt;O26,N26&lt;&gt;P26,N26&lt;&gt;Q26,N26&lt;&gt;R26,O26&lt;&gt;P26,O26&lt;&gt;Q26,O26&lt;&gt;R26,P26&lt;&gt;Q26,P26&lt;&gt;R26,Q26&lt;&gt;R26)),"Note: Effort changes in the outyears!","")</f>
        <v/>
      </c>
      <c r="U26" s="597" t="str">
        <f t="shared" ca="1" si="1"/>
        <v>Blank</v>
      </c>
    </row>
    <row r="27" spans="1:21" ht="60" customHeight="1">
      <c r="A27" s="895" t="str">
        <f ca="1">IF('Cumulative Budget'!H34+'Cumulative Budget'!I34+'Cumulative Budget'!J34&gt;0,IF(S27="Note: Effort changes in the outyears!",IF(I27&lt;&gt;"",I27&amp;" in Budget Period 1","")&amp;IF(AND(I27&lt;&gt;"",J27&lt;&gt;""),"; ","")&amp;IF(J27&lt;&gt;"",J27&amp;" in Budget Period 2","")&amp;IF(AND(OR(I27&lt;&gt;"",J27&lt;&gt;""),K27&lt;&gt;""),"; ","")&amp;IF(K27&lt;&gt;"",K27&amp;" in Budget Period 3","")&amp;IF(AND(OR(I27&lt;&gt;"",J27&lt;&gt;"",K27&lt;&gt;""),L27&lt;&gt;""),"; ","")&amp;IF(L27&lt;&gt;"",L27&amp;" in Budget Period 4","")&amp;IF(AND(OR(I27&lt;&gt;"",J27&lt;&gt;"",K27&lt;&gt;"",L27&lt;&gt;""),M27&lt;&gt;""),"; ","")&amp;IF(M27&lt;&gt;"",M27&amp;" in Budget Period 5","")&amp;" for "&amp;ROUNDUP('BP1'!H34/'BP1'!G34,0)&amp;" "&amp;'BP1'!D34&amp;" is requested. ",I27&amp;" for "&amp;ROUNDUP('BP1'!H34/'BP1'!G34,0)&amp;" "&amp;'BP1'!D34&amp;" is requested"&amp;IF('BP1'!$K$5&gt;1," each budget period for "&amp;'BP1'!$K$5&amp;" budget periods. ",". ")),"")&amp;IF('Cumulative Budget'!N34&gt;0,IF(T27="Note: Effort changes in the outyears!",IF(N27&lt;&gt;"",N27&amp;" in Budget Period 1","")&amp;IF(AND(N27&lt;&gt;"",O27&lt;&gt;""),"; ","")&amp;IF(O27&lt;&gt;"",O27&amp;" in Budget Period 2","")&amp;IF(AND(OR(N27&lt;&gt;"",O27&lt;&gt;""),P27&lt;&gt;""),"; ","")&amp;IF(P27&lt;&gt;"",P27&amp;" in Budget Period 3","")&amp;IF(AND(OR(N27&lt;&gt;"",O27&lt;&gt;"",P27&lt;&gt;""),Q27&lt;&gt;""),"; ","")&amp;IF(Q27&lt;&gt;"",Q27&amp;" in Budget Period 4","")&amp;IF(AND(OR(N27&lt;&gt;"",O27&lt;&gt;"",P27&lt;&gt;"",Q27&lt;&gt;""),R27&lt;&gt;""),"; ","")&amp;IF(R27&lt;&gt;"",R27&amp;" in Budget Period 5","")&amp;" for "&amp;ROUNDUP('BP1'!M34/'BP1'!G34,0)&amp;" "&amp;'BP1'!D34&amp;" is requested. ",N27&amp;" for "&amp;ROUNDUP('BP1'!M34/'BP1'!G34,0)&amp;" "&amp;'BP1'!D34&amp;" is requested"&amp;IF('BP1'!$K$5&gt;1," each budget period for "&amp;'BP1'!$K$5&amp;" budget periods. ",". ")),"")&amp;IF(AND('BP1'!$K$5&gt;1,'BP1'!$K$7&gt;0,OR('Cumulative Budget'!H34+'Cumulative Budget'!M34&gt;0)),"Salary is inflated by "&amp;('BP1'!$K$7*100)&amp;"% annually each September. ","")&amp;IF(ISBLANK('BP1'!R34),"",'BP1'!R34)</f>
        <v/>
      </c>
      <c r="B27" s="895"/>
      <c r="C27" s="895"/>
      <c r="D27" s="895"/>
      <c r="E27" s="895"/>
      <c r="F27" s="895"/>
      <c r="G27" s="895"/>
      <c r="H27" s="895"/>
      <c r="I27" s="222" t="str">
        <f>IF(SUM('Cumulative Budget'!H34:J34)&gt;0,(IF('BP1'!$K$5&gt;0,((IF('BP1'!H34&gt;0,CONCATENATE(IF('BP1'!H34&gt;0,TEXT('BP1'!H34,"0.00")&amp;" calendar month"&amp;IF('BP1'!H34&gt;1,"s",)&amp;" (or "&amp;TEXT('BP1'!H34/'BP1'!G34/ROUNDUP('BP1'!H34/'BP1'!G34,0),"0%")&amp;" calendar effort"&amp;IF('BP1'!H34&gt;12," each","")&amp;")",)),CONCATENATE(IF('BP1'!I34&gt;0,TEXT('BP1'!I34,"0.00")&amp;" academic month"&amp;IF('BP1'!I34&gt;1,"s",)&amp;" (or "&amp;TEXT('BP1'!I34/9,"0%")&amp;" academic effort)",),IF(AND('BP1'!I34&gt;0,'BP1'!J34&gt;0)," and ",),IF('BP1'!J34&gt;0,TEXT('BP1'!J34,"0.00")&amp;" summer month"&amp;IF('BP1'!J34&gt;1,"s",)&amp;" (or "&amp;TEXT('BP1'!J34/3,"0%")&amp;" summer effort)",))))),"")),"")</f>
        <v/>
      </c>
      <c r="J27" s="222" t="str">
        <f>IF(SUM('Cumulative Budget'!H34:J34)&gt;0,(IF('BP1'!$K$5&gt;1,((IF('BP2'!H34&gt;0,CONCATENATE(IF('BP2'!H34&gt;0,TEXT('BP2'!H34,"0.00")&amp;" calendar month"&amp;IF('BP2'!H34&gt;1,"s",)&amp;" (or "&amp;TEXT('BP2'!H34/'BP2'!G34/ROUNDUP('BP2'!H34/'BP2'!G34,0),"0%")&amp;" calendar effort"&amp;IF('BP2'!H34&gt;12," each","")&amp;")",)),CONCATENATE(IF('BP2'!I34&gt;0,TEXT('BP2'!I34,"0.00")&amp;" academic month"&amp;IF('BP2'!I34&gt;1,"s",)&amp;" (or "&amp;TEXT('BP2'!I34/9,"0%")&amp;" academic effort)",),IF(AND('BP2'!I34&gt;0,'BP2'!J34&gt;0)," and ",),IF('BP2'!J34&gt;0,TEXT('BP2'!J34,"0.00")&amp;" summer month"&amp;IF('BP2'!J34&gt;1,"s",)&amp;" (or "&amp;TEXT('BP2'!J34/3,"0%")&amp;" summer effort)",))))),"")),"")</f>
        <v/>
      </c>
      <c r="K27" s="222" t="str">
        <f>IF(SUM('Cumulative Budget'!H34:J34)&gt;0,(IF('BP1'!$K$5&gt;2,((IF('BP3'!H34&gt;0,CONCATENATE(IF('BP3'!H34&gt;0,TEXT('BP3'!H34,"0.00")&amp;" calendar month"&amp;IF('BP3'!H34&gt;1,"s",)&amp;" (or "&amp;TEXT('BP3'!H34/'BP3'!G34/ROUNDUP('BP3'!H34/'BP3'!G34,0),"0%")&amp;" calendar effort"&amp;IF('BP3'!H34&gt;12," each","")&amp;")",)),CONCATENATE(IF('BP3'!I34&gt;0,TEXT('BP3'!I34,"0.00")&amp;" academic month"&amp;IF('BP3'!I34&gt;1,"s",)&amp;" (or "&amp;TEXT('BP3'!I34/9,"0%")&amp;" academic effort)",),IF(AND('BP3'!I34&gt;0,'BP3'!J34&gt;0)," and ",),IF('BP3'!J34&gt;0,TEXT('BP3'!J34,"0.00")&amp;" summer month"&amp;IF('BP3'!J34&gt;1,"s",)&amp;" (or "&amp;TEXT('BP3'!J34/3,"0%")&amp;" summer effort)",))))),"")),"")</f>
        <v/>
      </c>
      <c r="L27" s="222" t="str">
        <f>IF(SUM('Cumulative Budget'!H34:J34)&gt;0,(IF('BP1'!$K$5&gt;3,((IF('BP4'!H34&gt;0,CONCATENATE(IF('BP4'!H34&gt;0,TEXT('BP4'!H34,"0.00")&amp;" calendar month"&amp;IF('BP4'!H34&gt;1,"s",)&amp;" (or "&amp;TEXT('BP4'!H34/'BP4'!G34/ROUNDUP('BP4'!H34/'BP4'!G34,0),"0%")&amp;" calendar effort"&amp;IF('BP4'!H34&gt;12," each","")&amp;")",)),CONCATENATE(IF('BP4'!I34&gt;0,TEXT('BP4'!I34,"0.00")&amp;" academic month"&amp;IF('BP4'!I34&gt;1,"s",)&amp;" (or "&amp;TEXT('BP4'!I34/9,"0%")&amp;" academic effort)",),IF(AND('BP4'!I34&gt;0,'BP4'!J34&gt;0)," and ",),IF('BP4'!J34&gt;0,TEXT('BP4'!J34,"0.00")&amp;" summer month"&amp;IF('BP4'!J34&gt;1,"s",)&amp;" (or "&amp;TEXT('BP4'!J34/3,"0%")&amp;" summer effort)",))))),"")),"")</f>
        <v/>
      </c>
      <c r="M27" s="222" t="str">
        <f>IF(SUM('Cumulative Budget'!H34:J34)&gt;0,(IF('BP1'!$K$5&gt;4,((IF('BP5'!H34&gt;0,CONCATENATE(IF('BP5'!H34&gt;0,TEXT('BP5'!H34,"0.00")&amp;" calendar month"&amp;IF('BP5'!H34&gt;1,"s",)&amp;" (or "&amp;TEXT('BP5'!H34/'BP5'!G34/ROUNDUP('BP5'!H34/'BP5'!G34,0),"0%")&amp;" calendar effort"&amp;IF('BP5'!H34&gt;12," each","")&amp;")",)),CONCATENATE(IF('BP5'!I34&gt;0,TEXT('BP5'!I34,"0.00")&amp;" academic month"&amp;IF('BP5'!I34&gt;1,"s",)&amp;" (or "&amp;TEXT('BP5'!I34/9,"0%")&amp;" academic effort)",),IF(AND('BP5'!I34&gt;0,'BP5'!J34&gt;0)," and ",),IF('BP5'!J34&gt;0,TEXT('BP5'!J34,"0.00")&amp;" summer month"&amp;IF('BP5'!J34&gt;1,"s",)&amp;" (or "&amp;TEXT('BP5'!J34/3,"0%")&amp;" summer effort)",))))),"")),"")</f>
        <v/>
      </c>
      <c r="N27" s="222" t="str">
        <f>IF(AND('BP1'!M34&gt;0,'BP1'!$A$5&gt;0),TEXT('BP1'!M34,"0.00")&amp;" cost-shared month"&amp;IF('BP1'!M34&gt;1,"s",)&amp;" (or "&amp;TEXT('BP1'!M34/'BP1'!G34/ROUNDUP('BP1'!M34/'BP1'!G34,0),"0%")&amp;" cost-shared effort"&amp;IF('BP1'!M34&gt;12," each","")&amp;")","")</f>
        <v/>
      </c>
      <c r="O27" s="222" t="str">
        <f>IF(AND('BP2'!M34&gt;0,'BP2'!$A$5&gt;0),TEXT('BP2'!M34,"0.00")&amp;" cost-shared month"&amp;IF('BP2'!M34&gt;1,"s",)&amp;" (or "&amp;TEXT('BP2'!M34/'BP2'!G34/ROUNDUP('BP2'!M34/'BP2'!G34,0),"0%")&amp;" cost-shared effort"&amp;IF('BP2'!M34&gt;12," each","")&amp;")","")</f>
        <v/>
      </c>
      <c r="P27" s="222" t="str">
        <f>IF(AND('BP3'!M34&gt;0,'BP3'!$A$5&gt;0),TEXT('BP3'!M34,"0.00")&amp;" cost-shared month"&amp;IF('BP3'!M34&gt;1,"s",)&amp;" (or "&amp;TEXT('BP3'!M34/'BP3'!G34/ROUNDUP('BP3'!M34/'BP3'!G34,0),"0%")&amp;" cost-shared effort"&amp;IF('BP3'!M34&gt;12," each","")&amp;")","")</f>
        <v/>
      </c>
      <c r="Q27" s="222" t="str">
        <f>IF(AND('BP4'!M34&gt;0,'BP4'!$A$5&gt;0),TEXT('BP4'!M34,"0.00")&amp;" cost-shared month"&amp;IF('BP4'!M34&gt;1,"s",)&amp;" (or "&amp;TEXT('BP4'!M34/'BP4'!G34/ROUNDUP('BP4'!M34/'BP4'!G34,0),"0%")&amp;" cost-shared effort"&amp;IF('BP4'!M34&gt;12," each","")&amp;")","")</f>
        <v/>
      </c>
      <c r="R27" s="222" t="str">
        <f>IF(AND('BP5'!M34&gt;0,'BP5'!$A$5&gt;0),TEXT('BP5'!M34,"0.00")&amp;" cost-shared month"&amp;IF('BP5'!M34&gt;1,"s",)&amp;" (or "&amp;TEXT('BP5'!M34/'BP5'!G34/ROUNDUP('BP5'!M34/'BP5'!G34,0),"0%")&amp;" cost-shared effort"&amp;IF('BP5'!M34&gt;12," each","")&amp;")","")</f>
        <v/>
      </c>
      <c r="S27" s="208" t="str">
        <f>IF(AND('BP1'!$K$5=2,I27&lt;&gt;J27),"Note: Effort changes in the outyears!","")&amp;IF(AND('BP1'!$K$5=3,OR(I27&lt;&gt;J27,I27&lt;&gt;K27,J27&lt;&gt;K27)),"Note: Effort changes in the outyears!","")&amp;IF(AND('BP1'!$K$5=4,OR(I27&lt;&gt;J27,I27&lt;&gt;K27,I27&lt;&gt;L27,J27&lt;&gt;K27,J27&lt;&gt;L27,K27&lt;&gt;L27)),"Note: Effort changes in the outyears!","")&amp;IF(AND('BP1'!$K$5=5,OR(I27&lt;&gt;J27,I27&lt;&gt;K27,I27&lt;&gt;L27,I27&lt;&gt;M27,J27&lt;&gt;K27,J27&lt;&gt;L27,J27&lt;&gt;M27,K27&lt;&gt;L27,K27&lt;&gt;M27,L27&lt;&gt;M27)),"Note: Effort changes in the outyears!","")</f>
        <v/>
      </c>
      <c r="T27" s="208" t="str">
        <f>IF(AND('BP1'!$K$5=2,N27&lt;&gt;O27),"Note: Effort changes in the outyears!","")&amp;IF(AND('BP1'!$K$5=3,OR(N27&lt;&gt;O27,N27&lt;&gt;P27,O27&lt;&gt;P27)),"Note: Effort changes in the outyears!","")&amp;IF(AND('BP1'!$K$5=4,OR(N27&lt;&gt;O27,N27&lt;&gt;P27,N27&lt;&gt;Q27,O27&lt;&gt;P27,O27&lt;&gt;Q27,P27&lt;&gt;Q27)),"Note: Effort changes in the outyears!","")&amp;IF(AND('BP1'!$K$5=5,OR(N27&lt;&gt;O27,N27&lt;&gt;P27,N27&lt;&gt;Q27,N27&lt;&gt;R27,O27&lt;&gt;P27,O27&lt;&gt;Q27,O27&lt;&gt;R27,P27&lt;&gt;Q27,P27&lt;&gt;R27,Q27&lt;&gt;R27)),"Note: Effort changes in the outyears!","")</f>
        <v/>
      </c>
      <c r="U27" s="597" t="str">
        <f t="shared" ca="1" si="1"/>
        <v>Blank</v>
      </c>
    </row>
    <row r="28" spans="1:21" ht="60" customHeight="1">
      <c r="A28" s="895" t="str">
        <f ca="1">IF('Cumulative Budget'!H35+'Cumulative Budget'!I35+'Cumulative Budget'!J35&gt;0,IF(S28="Note: Effort changes in the outyears!",IF(I28&lt;&gt;"",I28&amp;" in Budget Period 1","")&amp;IF(AND(I28&lt;&gt;"",J28&lt;&gt;""),"; ","")&amp;IF(J28&lt;&gt;"",J28&amp;" in Budget Period 2","")&amp;IF(AND(OR(I28&lt;&gt;"",J28&lt;&gt;""),K28&lt;&gt;""),"; ","")&amp;IF(K28&lt;&gt;"",K28&amp;" in Budget Period 3","")&amp;IF(AND(OR(I28&lt;&gt;"",J28&lt;&gt;"",K28&lt;&gt;""),L28&lt;&gt;""),"; ","")&amp;IF(L28&lt;&gt;"",L28&amp;" in Budget Period 4","")&amp;IF(AND(OR(I28&lt;&gt;"",J28&lt;&gt;"",K28&lt;&gt;"",L28&lt;&gt;""),M28&lt;&gt;""),"; ","")&amp;IF(M28&lt;&gt;"",M28&amp;" in Budget Period 5","")&amp;" for "&amp;ROUNDUP('BP1'!H35/'BP1'!G35,0)&amp;" "&amp;'BP1'!D35&amp;" is requested. ",I28&amp;" for "&amp;ROUNDUP('BP1'!H35/'BP1'!G35,0)&amp;" "&amp;'BP1'!D35&amp;" is requested"&amp;IF('BP1'!$K$5&gt;1," each budget period for "&amp;'BP1'!$K$5&amp;" budget periods. ",". ")),"")&amp;IF('Cumulative Budget'!N35&gt;0,IF(T28="Note: Effort changes in the outyears!",IF(N28&lt;&gt;"",N28&amp;" in Budget Period 1","")&amp;IF(AND(N28&lt;&gt;"",O28&lt;&gt;""),"; ","")&amp;IF(O28&lt;&gt;"",O28&amp;" in Budget Period 2","")&amp;IF(AND(OR(N28&lt;&gt;"",O28&lt;&gt;""),P28&lt;&gt;""),"; ","")&amp;IF(P28&lt;&gt;"",P28&amp;" in Budget Period 3","")&amp;IF(AND(OR(N28&lt;&gt;"",O28&lt;&gt;"",P28&lt;&gt;""),Q28&lt;&gt;""),"; ","")&amp;IF(Q28&lt;&gt;"",Q28&amp;" in Budget Period 4","")&amp;IF(AND(OR(N28&lt;&gt;"",O28&lt;&gt;"",P28&lt;&gt;"",Q28&lt;&gt;""),R28&lt;&gt;""),"; ","")&amp;IF(R28&lt;&gt;"",R28&amp;" in Budget Period 5","")&amp;" for "&amp;ROUNDUP('BP1'!M35/'BP1'!G35,0)&amp;" "&amp;'BP1'!D35&amp;" is requested. ",N28&amp;" for "&amp;ROUNDUP('BP1'!M35/'BP1'!G35,0)&amp;" "&amp;'BP1'!D35&amp;" is requested"&amp;IF('BP1'!$K$5&gt;1," each budget period for "&amp;'BP1'!$K$5&amp;" budget periods. ",". ")),"")&amp;IF(AND('BP1'!$K$5&gt;1,'BP1'!$K$7&gt;0,OR('Cumulative Budget'!H35+'Cumulative Budget'!M35&gt;0)),"Salary is inflated by "&amp;('BP1'!$K$7*100)&amp;"% annually each September. ","")&amp;IF(ISBLANK('BP1'!R35),"",'BP1'!R35)</f>
        <v/>
      </c>
      <c r="B28" s="895"/>
      <c r="C28" s="895"/>
      <c r="D28" s="895"/>
      <c r="E28" s="895"/>
      <c r="F28" s="895"/>
      <c r="G28" s="895"/>
      <c r="H28" s="895"/>
      <c r="I28" s="222" t="str">
        <f>IF(SUM('Cumulative Budget'!H35:J35)&gt;0,(IF('BP1'!$K$5&gt;0,((IF('BP1'!H35&gt;0,CONCATENATE(IF('BP1'!H35&gt;0,TEXT('BP1'!H35,"0.00")&amp;" calendar month"&amp;IF('BP1'!H35&gt;1,"s",)&amp;" (or "&amp;TEXT('BP1'!H35/'BP1'!G35/ROUNDUP('BP1'!H35/'BP1'!G35,0),"0%")&amp;" calendar effort"&amp;IF('BP1'!H35&gt;12," each","")&amp;")",)),CONCATENATE(IF('BP1'!I35&gt;0,TEXT('BP1'!I35,"0.00")&amp;" academic month"&amp;IF('BP1'!I35&gt;1,"s",)&amp;" (or "&amp;TEXT('BP1'!I35/9,"0%")&amp;" academic effort)",),IF(AND('BP1'!I35&gt;0,'BP1'!J35&gt;0)," and ",),IF('BP1'!J35&gt;0,TEXT('BP1'!J35,"0.00")&amp;" summer month"&amp;IF('BP1'!J35&gt;1,"s",)&amp;" (or "&amp;TEXT('BP1'!J35/3,"0%")&amp;" summer effort)",))))),"")),"")</f>
        <v/>
      </c>
      <c r="J28" s="222" t="str">
        <f>IF(SUM('Cumulative Budget'!H35:J35)&gt;0,(IF('BP1'!$K$5&gt;1,((IF('BP2'!H35&gt;0,CONCATENATE(IF('BP2'!H35&gt;0,TEXT('BP2'!H35,"0.00")&amp;" calendar month"&amp;IF('BP2'!H35&gt;1,"s",)&amp;" (or "&amp;TEXT('BP2'!H35/'BP2'!G35/ROUNDUP('BP2'!H35/'BP2'!G35,0),"0%")&amp;" calendar effort"&amp;IF('BP2'!H35&gt;12," each","")&amp;")",)),CONCATENATE(IF('BP2'!I35&gt;0,TEXT('BP2'!I35,"0.00")&amp;" academic month"&amp;IF('BP2'!I35&gt;1,"s",)&amp;" (or "&amp;TEXT('BP2'!I35/9,"0%")&amp;" academic effort)",),IF(AND('BP2'!I35&gt;0,'BP2'!J35&gt;0)," and ",),IF('BP2'!J35&gt;0,TEXT('BP2'!J35,"0.00")&amp;" summer month"&amp;IF('BP2'!J35&gt;1,"s",)&amp;" (or "&amp;TEXT('BP2'!J35/3,"0%")&amp;" summer effort)",))))),"")),"")</f>
        <v/>
      </c>
      <c r="K28" s="222" t="str">
        <f>IF(SUM('Cumulative Budget'!H35:J35)&gt;0,(IF('BP1'!$K$5&gt;2,((IF('BP3'!H35&gt;0,CONCATENATE(IF('BP3'!H35&gt;0,TEXT('BP3'!H35,"0.00")&amp;" calendar month"&amp;IF('BP3'!H35&gt;1,"s",)&amp;" (or "&amp;TEXT('BP3'!H35/'BP3'!G35/ROUNDUP('BP3'!H35/'BP3'!G35,0),"0%")&amp;" calendar effort"&amp;IF('BP3'!H35&gt;12," each","")&amp;")",)),CONCATENATE(IF('BP3'!I35&gt;0,TEXT('BP3'!I35,"0.00")&amp;" academic month"&amp;IF('BP3'!I35&gt;1,"s",)&amp;" (or "&amp;TEXT('BP3'!I35/9,"0%")&amp;" academic effort)",),IF(AND('BP3'!I35&gt;0,'BP3'!J35&gt;0)," and ",),IF('BP3'!J35&gt;0,TEXT('BP3'!J35,"0.00")&amp;" summer month"&amp;IF('BP3'!J35&gt;1,"s",)&amp;" (or "&amp;TEXT('BP3'!J35/3,"0%")&amp;" summer effort)",))))),"")),"")</f>
        <v/>
      </c>
      <c r="L28" s="222" t="str">
        <f>IF(SUM('Cumulative Budget'!H35:J35)&gt;0,(IF('BP1'!$K$5&gt;3,((IF('BP4'!H35&gt;0,CONCATENATE(IF('BP4'!H35&gt;0,TEXT('BP4'!H35,"0.00")&amp;" calendar month"&amp;IF('BP4'!H35&gt;1,"s",)&amp;" (or "&amp;TEXT('BP4'!H35/'BP4'!G35/ROUNDUP('BP4'!H35/'BP4'!G35,0),"0%")&amp;" calendar effort"&amp;IF('BP4'!H35&gt;12," each","")&amp;")",)),CONCATENATE(IF('BP4'!I35&gt;0,TEXT('BP4'!I35,"0.00")&amp;" academic month"&amp;IF('BP4'!I35&gt;1,"s",)&amp;" (or "&amp;TEXT('BP4'!I35/9,"0%")&amp;" academic effort)",),IF(AND('BP4'!I35&gt;0,'BP4'!J35&gt;0)," and ",),IF('BP4'!J35&gt;0,TEXT('BP4'!J35,"0.00")&amp;" summer month"&amp;IF('BP4'!J35&gt;1,"s",)&amp;" (or "&amp;TEXT('BP4'!J35/3,"0%")&amp;" summer effort)",))))),"")),"")</f>
        <v/>
      </c>
      <c r="M28" s="222" t="str">
        <f>IF(SUM('Cumulative Budget'!H35:J35)&gt;0,(IF('BP1'!$K$5&gt;4,((IF('BP5'!H35&gt;0,CONCATENATE(IF('BP5'!H35&gt;0,TEXT('BP5'!H35,"0.00")&amp;" calendar month"&amp;IF('BP5'!H35&gt;1,"s",)&amp;" (or "&amp;TEXT('BP5'!H35/'BP5'!G35/ROUNDUP('BP5'!H35/'BP5'!G35,0),"0%")&amp;" calendar effort"&amp;IF('BP5'!H35&gt;12," each","")&amp;")",)),CONCATENATE(IF('BP5'!I35&gt;0,TEXT('BP5'!I35,"0.00")&amp;" academic month"&amp;IF('BP5'!I35&gt;1,"s",)&amp;" (or "&amp;TEXT('BP5'!I35/9,"0%")&amp;" academic effort)",),IF(AND('BP5'!I35&gt;0,'BP5'!J35&gt;0)," and ",),IF('BP5'!J35&gt;0,TEXT('BP5'!J35,"0.00")&amp;" summer month"&amp;IF('BP5'!J35&gt;1,"s",)&amp;" (or "&amp;TEXT('BP5'!J35/3,"0%")&amp;" summer effort)",))))),"")),"")</f>
        <v/>
      </c>
      <c r="N28" s="222" t="str">
        <f>IF(AND('BP1'!M35&gt;0,'BP1'!$A$5&gt;0),TEXT('BP1'!M35,"0.00")&amp;" cost-shared month"&amp;IF('BP1'!M35&gt;1,"s",)&amp;" (or "&amp;TEXT('BP1'!M35/'BP1'!G35/ROUNDUP('BP1'!M35/'BP1'!G35,0),"0%")&amp;" cost-shared effort"&amp;IF('BP1'!M35&gt;12," each","")&amp;")","")</f>
        <v/>
      </c>
      <c r="O28" s="222" t="str">
        <f>IF(AND('BP2'!M35&gt;0,'BP2'!$A$5&gt;0),TEXT('BP2'!M35,"0.00")&amp;" cost-shared month"&amp;IF('BP2'!M35&gt;1,"s",)&amp;" (or "&amp;TEXT('BP2'!M35/'BP2'!G35/ROUNDUP('BP2'!M35/'BP2'!G35,0),"0%")&amp;" cost-shared effort"&amp;IF('BP2'!M35&gt;12," each","")&amp;")","")</f>
        <v/>
      </c>
      <c r="P28" s="222" t="str">
        <f>IF(AND('BP3'!M35&gt;0,'BP3'!$A$5&gt;0),TEXT('BP3'!M35,"0.00")&amp;" cost-shared month"&amp;IF('BP3'!M35&gt;1,"s",)&amp;" (or "&amp;TEXT('BP3'!M35/'BP3'!G35/ROUNDUP('BP3'!M35/'BP3'!G35,0),"0%")&amp;" cost-shared effort"&amp;IF('BP3'!M35&gt;12," each","")&amp;")","")</f>
        <v/>
      </c>
      <c r="Q28" s="222" t="str">
        <f>IF(AND('BP4'!M35&gt;0,'BP4'!$A$5&gt;0),TEXT('BP4'!M35,"0.00")&amp;" cost-shared month"&amp;IF('BP4'!M35&gt;1,"s",)&amp;" (or "&amp;TEXT('BP4'!M35/'BP4'!G35/ROUNDUP('BP4'!M35/'BP4'!G35,0),"0%")&amp;" cost-shared effort"&amp;IF('BP4'!M35&gt;12," each","")&amp;")","")</f>
        <v/>
      </c>
      <c r="R28" s="222" t="str">
        <f>IF(AND('BP5'!M35&gt;0,'BP5'!$A$5&gt;0),TEXT('BP5'!M35,"0.00")&amp;" cost-shared month"&amp;IF('BP5'!M35&gt;1,"s",)&amp;" (or "&amp;TEXT('BP5'!M35/'BP5'!G35/ROUNDUP('BP5'!M35/'BP5'!G35,0),"0%")&amp;" cost-shared effort"&amp;IF('BP5'!M35&gt;12," each","")&amp;")","")</f>
        <v/>
      </c>
      <c r="S28" s="208" t="str">
        <f>IF(AND('BP1'!$K$5=2,I28&lt;&gt;J28),"Note: Effort changes in the outyears!","")&amp;IF(AND('BP1'!$K$5=3,OR(I28&lt;&gt;J28,I28&lt;&gt;K28,J28&lt;&gt;K28)),"Note: Effort changes in the outyears!","")&amp;IF(AND('BP1'!$K$5=4,OR(I28&lt;&gt;J28,I28&lt;&gt;K28,I28&lt;&gt;L28,J28&lt;&gt;K28,J28&lt;&gt;L28,K28&lt;&gt;L28)),"Note: Effort changes in the outyears!","")&amp;IF(AND('BP1'!$K$5=5,OR(I28&lt;&gt;J28,I28&lt;&gt;K28,I28&lt;&gt;L28,I28&lt;&gt;M28,J28&lt;&gt;K28,J28&lt;&gt;L28,J28&lt;&gt;M28,K28&lt;&gt;L28,K28&lt;&gt;M28,L28&lt;&gt;M28)),"Note: Effort changes in the outyears!","")</f>
        <v/>
      </c>
      <c r="T28" s="208" t="str">
        <f>IF(AND('BP1'!$K$5=2,N28&lt;&gt;O28),"Note: Effort changes in the outyears!","")&amp;IF(AND('BP1'!$K$5=3,OR(N28&lt;&gt;O28,N28&lt;&gt;P28,O28&lt;&gt;P28)),"Note: Effort changes in the outyears!","")&amp;IF(AND('BP1'!$K$5=4,OR(N28&lt;&gt;O28,N28&lt;&gt;P28,N28&lt;&gt;Q28,O28&lt;&gt;P28,O28&lt;&gt;Q28,P28&lt;&gt;Q28)),"Note: Effort changes in the outyears!","")&amp;IF(AND('BP1'!$K$5=5,OR(N28&lt;&gt;O28,N28&lt;&gt;P28,N28&lt;&gt;Q28,N28&lt;&gt;R28,O28&lt;&gt;P28,O28&lt;&gt;Q28,O28&lt;&gt;R28,P28&lt;&gt;Q28,P28&lt;&gt;R28,Q28&lt;&gt;R28)),"Note: Effort changes in the outyears!","")</f>
        <v/>
      </c>
      <c r="U28" s="597" t="str">
        <f t="shared" ca="1" si="1"/>
        <v>Blank</v>
      </c>
    </row>
    <row r="29" spans="1:21" ht="60" customHeight="1">
      <c r="A29" s="895" t="str">
        <f ca="1">IF('Cumulative Budget'!H36+'Cumulative Budget'!I36+'Cumulative Budget'!J36&gt;0,IF(S29="Note: Effort changes in the outyears!",IF(I29&lt;&gt;"",I29&amp;" in Budget Period 1","")&amp;IF(AND(I29&lt;&gt;"",J29&lt;&gt;""),"; ","")&amp;IF(J29&lt;&gt;"",J29&amp;" in Budget Period 2","")&amp;IF(AND(OR(I29&lt;&gt;"",J29&lt;&gt;""),K29&lt;&gt;""),"; ","")&amp;IF(K29&lt;&gt;"",K29&amp;" in Budget Period 3","")&amp;IF(AND(OR(I29&lt;&gt;"",J29&lt;&gt;"",K29&lt;&gt;""),L29&lt;&gt;""),"; ","")&amp;IF(L29&lt;&gt;"",L29&amp;" in Budget Period 4","")&amp;IF(AND(OR(I29&lt;&gt;"",J29&lt;&gt;"",K29&lt;&gt;"",L29&lt;&gt;""),M29&lt;&gt;""),"; ","")&amp;IF(M29&lt;&gt;"",M29&amp;" in Budget Period 5","")&amp;" for "&amp;ROUNDUP('BP1'!H36/'BP1'!G36,0)&amp;" "&amp;'BP1'!D36&amp;" is requested. ",I29&amp;" for "&amp;ROUNDUP('BP1'!H36/'BP1'!G36,0)&amp;" "&amp;'BP1'!D36&amp;" is requested"&amp;IF('BP1'!$K$5&gt;1," each budget period for "&amp;'BP1'!$K$5&amp;" budget periods. ",". ")),"")&amp;IF('Cumulative Budget'!N36&gt;0,IF(T29="Note: Effort changes in the outyears!",IF(N29&lt;&gt;"",N29&amp;" in Budget Period 1","")&amp;IF(AND(N29&lt;&gt;"",O29&lt;&gt;""),"; ","")&amp;IF(O29&lt;&gt;"",O29&amp;" in Budget Period 2","")&amp;IF(AND(OR(N29&lt;&gt;"",O29&lt;&gt;""),P29&lt;&gt;""),"; ","")&amp;IF(P29&lt;&gt;"",P29&amp;" in Budget Period 3","")&amp;IF(AND(OR(N29&lt;&gt;"",O29&lt;&gt;"",P29&lt;&gt;""),Q29&lt;&gt;""),"; ","")&amp;IF(Q29&lt;&gt;"",Q29&amp;" in Budget Period 4","")&amp;IF(AND(OR(N29&lt;&gt;"",O29&lt;&gt;"",P29&lt;&gt;"",Q29&lt;&gt;""),R29&lt;&gt;""),"; ","")&amp;IF(R29&lt;&gt;"",R29&amp;" in Budget Period 5","")&amp;" for "&amp;ROUNDUP('BP1'!M36/'BP1'!G36,0)&amp;" "&amp;'BP1'!D36&amp;" is requested. ",N29&amp;" for "&amp;ROUNDUP('BP1'!M36/'BP1'!G36,0)&amp;" "&amp;'BP1'!D36&amp;" is requested"&amp;IF('BP1'!$K$5&gt;1," each budget period for "&amp;'BP1'!$K$5&amp;" budget periods. ",". ")),"")&amp;IF(AND('BP1'!$K$5&gt;1,'BP1'!$K$7&gt;0,OR('Cumulative Budget'!H36+'Cumulative Budget'!M36&gt;0)),"Salary is inflated by "&amp;('BP1'!$K$7*100)&amp;"% annually each September. ","")&amp;IF(ISBLANK('BP1'!R36),"",'BP1'!R36)</f>
        <v/>
      </c>
      <c r="B29" s="895"/>
      <c r="C29" s="895"/>
      <c r="D29" s="895"/>
      <c r="E29" s="895"/>
      <c r="F29" s="895"/>
      <c r="G29" s="895"/>
      <c r="H29" s="895"/>
      <c r="I29" s="222" t="str">
        <f>IF(SUM('Cumulative Budget'!H36:J36)&gt;0,(IF('BP1'!$K$5&gt;0,((IF('BP1'!H36&gt;0,CONCATENATE(IF('BP1'!H36&gt;0,TEXT('BP1'!H36,"0.00")&amp;" calendar month"&amp;IF('BP1'!H36&gt;1,"s",)&amp;" (or "&amp;TEXT('BP1'!H36/'BP1'!G36/ROUNDUP('BP1'!H36/'BP1'!G36,0),"0%")&amp;" calendar effort"&amp;IF('BP1'!H36&gt;12," each","")&amp;")",)),CONCATENATE(IF('BP1'!I36&gt;0,TEXT('BP1'!I36,"0.00")&amp;" academic month"&amp;IF('BP1'!I36&gt;1,"s",)&amp;" (or "&amp;TEXT('BP1'!I36/9,"0%")&amp;" academic effort)",),IF(AND('BP1'!I36&gt;0,'BP1'!J36&gt;0)," and ",),IF('BP1'!J36&gt;0,TEXT('BP1'!J36,"0.00")&amp;" summer month"&amp;IF('BP1'!J36&gt;1,"s",)&amp;" (or "&amp;TEXT('BP1'!J36/3,"0%")&amp;" summer effort)",))))),"")),"")</f>
        <v/>
      </c>
      <c r="J29" s="222" t="str">
        <f>IF(SUM('Cumulative Budget'!H36:J36)&gt;0,(IF('BP1'!$K$5&gt;1,((IF('BP2'!H36&gt;0,CONCATENATE(IF('BP2'!H36&gt;0,TEXT('BP2'!H36,"0.00")&amp;" calendar month"&amp;IF('BP2'!H36&gt;1,"s",)&amp;" (or "&amp;TEXT('BP2'!H36/'BP2'!G36/ROUNDUP('BP2'!H36/'BP2'!G36,0),"0%")&amp;" calendar effort"&amp;IF('BP2'!H36&gt;12," each","")&amp;")",)),CONCATENATE(IF('BP2'!I36&gt;0,TEXT('BP2'!I36,"0.00")&amp;" academic month"&amp;IF('BP2'!I36&gt;1,"s",)&amp;" (or "&amp;TEXT('BP2'!I36/9,"0%")&amp;" academic effort)",),IF(AND('BP2'!I36&gt;0,'BP2'!J36&gt;0)," and ",),IF('BP2'!J36&gt;0,TEXT('BP2'!J36,"0.00")&amp;" summer month"&amp;IF('BP2'!J36&gt;1,"s",)&amp;" (or "&amp;TEXT('BP2'!J36/3,"0%")&amp;" summer effort)",))))),"")),"")</f>
        <v/>
      </c>
      <c r="K29" s="222" t="str">
        <f>IF(SUM('Cumulative Budget'!H36:J36)&gt;0,(IF('BP1'!$K$5&gt;2,((IF('BP3'!H36&gt;0,CONCATENATE(IF('BP3'!H36&gt;0,TEXT('BP3'!H36,"0.00")&amp;" calendar month"&amp;IF('BP3'!H36&gt;1,"s",)&amp;" (or "&amp;TEXT('BP3'!H36/'BP3'!G36/ROUNDUP('BP3'!H36/'BP3'!G36,0),"0%")&amp;" calendar effort"&amp;IF('BP3'!H36&gt;12," each","")&amp;")",)),CONCATENATE(IF('BP3'!I36&gt;0,TEXT('BP3'!I36,"0.00")&amp;" academic month"&amp;IF('BP3'!I36&gt;1,"s",)&amp;" (or "&amp;TEXT('BP3'!I36/9,"0%")&amp;" academic effort)",),IF(AND('BP3'!I36&gt;0,'BP3'!J36&gt;0)," and ",),IF('BP3'!J36&gt;0,TEXT('BP3'!J36,"0.00")&amp;" summer month"&amp;IF('BP3'!J36&gt;1,"s",)&amp;" (or "&amp;TEXT('BP3'!J36/3,"0%")&amp;" summer effort)",))))),"")),"")</f>
        <v/>
      </c>
      <c r="L29" s="222" t="str">
        <f>IF(SUM('Cumulative Budget'!H36:J36)&gt;0,(IF('BP1'!$K$5&gt;3,((IF('BP4'!H36&gt;0,CONCATENATE(IF('BP4'!H36&gt;0,TEXT('BP4'!H36,"0.00")&amp;" calendar month"&amp;IF('BP4'!H36&gt;1,"s",)&amp;" (or "&amp;TEXT('BP4'!H36/'BP4'!G36/ROUNDUP('BP4'!H36/'BP4'!G36,0),"0%")&amp;" calendar effort"&amp;IF('BP4'!H36&gt;12," each","")&amp;")",)),CONCATENATE(IF('BP4'!I36&gt;0,TEXT('BP4'!I36,"0.00")&amp;" academic month"&amp;IF('BP4'!I36&gt;1,"s",)&amp;" (or "&amp;TEXT('BP4'!I36/9,"0%")&amp;" academic effort)",),IF(AND('BP4'!I36&gt;0,'BP4'!J36&gt;0)," and ",),IF('BP4'!J36&gt;0,TEXT('BP4'!J36,"0.00")&amp;" summer month"&amp;IF('BP4'!J36&gt;1,"s",)&amp;" (or "&amp;TEXT('BP4'!J36/3,"0%")&amp;" summer effort)",))))),"")),"")</f>
        <v/>
      </c>
      <c r="M29" s="222" t="str">
        <f>IF(SUM('Cumulative Budget'!H36:J36)&gt;0,(IF('BP1'!$K$5&gt;4,((IF('BP5'!H36&gt;0,CONCATENATE(IF('BP5'!H36&gt;0,TEXT('BP5'!H36,"0.00")&amp;" calendar month"&amp;IF('BP5'!H36&gt;1,"s",)&amp;" (or "&amp;TEXT('BP5'!H36/'BP5'!G36/ROUNDUP('BP5'!H36/'BP5'!G36,0),"0%")&amp;" calendar effort"&amp;IF('BP5'!H36&gt;12," each","")&amp;")",)),CONCATENATE(IF('BP5'!I36&gt;0,TEXT('BP5'!I36,"0.00")&amp;" academic month"&amp;IF('BP5'!I36&gt;1,"s",)&amp;" (or "&amp;TEXT('BP5'!I36/9,"0%")&amp;" academic effort)",),IF(AND('BP5'!I36&gt;0,'BP5'!J36&gt;0)," and ",),IF('BP5'!J36&gt;0,TEXT('BP5'!J36,"0.00")&amp;" summer month"&amp;IF('BP5'!J36&gt;1,"s",)&amp;" (or "&amp;TEXT('BP5'!J36/3,"0%")&amp;" summer effort)",))))),"")),"")</f>
        <v/>
      </c>
      <c r="N29" s="222" t="str">
        <f>IF(AND('BP1'!M36&gt;0,'BP1'!$A$5&gt;0),TEXT('BP1'!M36,"0.00")&amp;" cost-shared month"&amp;IF('BP1'!M36&gt;1,"s",)&amp;" (or "&amp;TEXT('BP1'!M36/'BP1'!G36/ROUNDUP('BP1'!M36/'BP1'!G36,0),"0%")&amp;" cost-shared effort"&amp;IF('BP1'!M36&gt;12," each","")&amp;")","")</f>
        <v/>
      </c>
      <c r="O29" s="222" t="str">
        <f>IF(AND('BP2'!M36&gt;0,'BP2'!$A$5&gt;0),TEXT('BP2'!M36,"0.00")&amp;" cost-shared month"&amp;IF('BP2'!M36&gt;1,"s",)&amp;" (or "&amp;TEXT('BP2'!M36/'BP2'!G36/ROUNDUP('BP2'!M36/'BP2'!G36,0),"0%")&amp;" cost-shared effort"&amp;IF('BP2'!M36&gt;12," each","")&amp;")","")</f>
        <v/>
      </c>
      <c r="P29" s="222" t="str">
        <f>IF(AND('BP3'!M36&gt;0,'BP3'!$A$5&gt;0),TEXT('BP3'!M36,"0.00")&amp;" cost-shared month"&amp;IF('BP3'!M36&gt;1,"s",)&amp;" (or "&amp;TEXT('BP3'!M36/'BP3'!G36/ROUNDUP('BP3'!M36/'BP3'!G36,0),"0%")&amp;" cost-shared effort"&amp;IF('BP3'!M36&gt;12," each","")&amp;")","")</f>
        <v/>
      </c>
      <c r="Q29" s="222" t="str">
        <f>IF(AND('BP4'!M36&gt;0,'BP4'!$A$5&gt;0),TEXT('BP4'!M36,"0.00")&amp;" cost-shared month"&amp;IF('BP4'!M36&gt;1,"s",)&amp;" (or "&amp;TEXT('BP4'!M36/'BP4'!G36/ROUNDUP('BP4'!M36/'BP4'!G36,0),"0%")&amp;" cost-shared effort"&amp;IF('BP4'!M36&gt;12," each","")&amp;")","")</f>
        <v/>
      </c>
      <c r="R29" s="222" t="str">
        <f>IF(AND('BP5'!M36&gt;0,'BP5'!$A$5&gt;0),TEXT('BP5'!M36,"0.00")&amp;" cost-shared month"&amp;IF('BP5'!M36&gt;1,"s",)&amp;" (or "&amp;TEXT('BP5'!M36/'BP5'!G36/ROUNDUP('BP5'!M36/'BP5'!G36,0),"0%")&amp;" cost-shared effort"&amp;IF('BP5'!M36&gt;12," each","")&amp;")","")</f>
        <v/>
      </c>
      <c r="S29" s="208" t="str">
        <f>IF(AND('BP1'!$K$5=2,I29&lt;&gt;J29),"Note: Effort changes in the outyears!","")&amp;IF(AND('BP1'!$K$5=3,OR(I29&lt;&gt;J29,I29&lt;&gt;K29,J29&lt;&gt;K29)),"Note: Effort changes in the outyears!","")&amp;IF(AND('BP1'!$K$5=4,OR(I29&lt;&gt;J29,I29&lt;&gt;K29,I29&lt;&gt;L29,J29&lt;&gt;K29,J29&lt;&gt;L29,K29&lt;&gt;L29)),"Note: Effort changes in the outyears!","")&amp;IF(AND('BP1'!$K$5=5,OR(I29&lt;&gt;J29,I29&lt;&gt;K29,I29&lt;&gt;L29,I29&lt;&gt;M29,J29&lt;&gt;K29,J29&lt;&gt;L29,J29&lt;&gt;M29,K29&lt;&gt;L29,K29&lt;&gt;M29,L29&lt;&gt;M29)),"Note: Effort changes in the outyears!","")</f>
        <v/>
      </c>
      <c r="T29" s="208" t="str">
        <f>IF(AND('BP1'!$K$5=2,N29&lt;&gt;O29),"Note: Effort changes in the outyears!","")&amp;IF(AND('BP1'!$K$5=3,OR(N29&lt;&gt;O29,N29&lt;&gt;P29,O29&lt;&gt;P29)),"Note: Effort changes in the outyears!","")&amp;IF(AND('BP1'!$K$5=4,OR(N29&lt;&gt;O29,N29&lt;&gt;P29,N29&lt;&gt;Q29,O29&lt;&gt;P29,O29&lt;&gt;Q29,P29&lt;&gt;Q29)),"Note: Effort changes in the outyears!","")&amp;IF(AND('BP1'!$K$5=5,OR(N29&lt;&gt;O29,N29&lt;&gt;P29,N29&lt;&gt;Q29,N29&lt;&gt;R29,O29&lt;&gt;P29,O29&lt;&gt;Q29,O29&lt;&gt;R29,P29&lt;&gt;Q29,P29&lt;&gt;R29,Q29&lt;&gt;R29)),"Note: Effort changes in the outyears!","")</f>
        <v/>
      </c>
      <c r="U29" s="597" t="str">
        <f t="shared" ca="1" si="1"/>
        <v>Blank</v>
      </c>
    </row>
    <row r="30" spans="1:21" ht="60" customHeight="1">
      <c r="A30" s="895" t="str">
        <f ca="1">IF('Cumulative Budget'!H37+'Cumulative Budget'!I37+'Cumulative Budget'!J37&gt;0,IF(S30="Note: Effort changes in the outyears!",IF(I30&lt;&gt;"",I30&amp;" in Budget Period 1","")&amp;IF(AND(I30&lt;&gt;"",J30&lt;&gt;""),"; ","")&amp;IF(J30&lt;&gt;"",J30&amp;" in Budget Period 2","")&amp;IF(AND(OR(I30&lt;&gt;"",J30&lt;&gt;""),K30&lt;&gt;""),"; ","")&amp;IF(K30&lt;&gt;"",K30&amp;" in Budget Period 3","")&amp;IF(AND(OR(I30&lt;&gt;"",J30&lt;&gt;"",K30&lt;&gt;""),L30&lt;&gt;""),"; ","")&amp;IF(L30&lt;&gt;"",L30&amp;" in Budget Period 4","")&amp;IF(AND(OR(I30&lt;&gt;"",J30&lt;&gt;"",K30&lt;&gt;"",L30&lt;&gt;""),M30&lt;&gt;""),"; ","")&amp;IF(M30&lt;&gt;"",M30&amp;" in Budget Period 5","")&amp;" for "&amp;ROUNDUP('BP1'!H37/'BP1'!G37,0)&amp;" "&amp;'BP1'!D37&amp;" is requested. ",I30&amp;" for "&amp;ROUNDUP('BP1'!H37/'BP1'!G37,0)&amp;" "&amp;'BP1'!D37&amp;" is requested"&amp;IF('BP1'!$K$5&gt;1," each budget period for "&amp;'BP1'!$K$5&amp;" budget periods. ",". ")),"")&amp;IF('Cumulative Budget'!N37&gt;0,IF(T30="Note: Effort changes in the outyears!",IF(N30&lt;&gt;"",N30&amp;" in Budget Period 1","")&amp;IF(AND(N30&lt;&gt;"",O30&lt;&gt;""),"; ","")&amp;IF(O30&lt;&gt;"",O30&amp;" in Budget Period 2","")&amp;IF(AND(OR(N30&lt;&gt;"",O30&lt;&gt;""),P30&lt;&gt;""),"; ","")&amp;IF(P30&lt;&gt;"",P30&amp;" in Budget Period 3","")&amp;IF(AND(OR(N30&lt;&gt;"",O30&lt;&gt;"",P30&lt;&gt;""),Q30&lt;&gt;""),"; ","")&amp;IF(Q30&lt;&gt;"",Q30&amp;" in Budget Period 4","")&amp;IF(AND(OR(N30&lt;&gt;"",O30&lt;&gt;"",P30&lt;&gt;"",Q30&lt;&gt;""),R30&lt;&gt;""),"; ","")&amp;IF(R30&lt;&gt;"",R30&amp;" in Budget Period 5","")&amp;" for "&amp;ROUNDUP('BP1'!M37/'BP1'!G37,0)&amp;" "&amp;'BP1'!D37&amp;" is requested. ",N30&amp;" for "&amp;ROUNDUP('BP1'!M37/'BP1'!G37,0)&amp;" "&amp;'BP1'!D37&amp;" is requested"&amp;IF('BP1'!$K$5&gt;1," each budget period for "&amp;'BP1'!$K$5&amp;" budget periods. ",". ")),"")&amp;IF(AND('BP1'!$K$5&gt;1,'BP1'!$K$7&gt;0,OR('Cumulative Budget'!H37+'Cumulative Budget'!M37&gt;0)),"Salary is inflated by "&amp;('BP1'!$K$7*100)&amp;"% annually each September. ","")&amp;IF(ISBLANK('BP1'!R37),"",'BP1'!R37)</f>
        <v/>
      </c>
      <c r="B30" s="895"/>
      <c r="C30" s="895"/>
      <c r="D30" s="895"/>
      <c r="E30" s="895"/>
      <c r="F30" s="895"/>
      <c r="G30" s="895"/>
      <c r="H30" s="895"/>
      <c r="I30" s="222" t="str">
        <f>IF(SUM('Cumulative Budget'!H37:J37)&gt;0,(IF('BP1'!$K$5&gt;0,((IF('BP1'!H37&gt;0,CONCATENATE(IF('BP1'!H37&gt;0,TEXT('BP1'!H37,"0.00")&amp;" calendar month"&amp;IF('BP1'!H37&gt;1,"s",)&amp;" (or "&amp;TEXT('BP1'!H37/'BP1'!G37/ROUNDUP('BP1'!H37/'BP1'!G37,0),"0%")&amp;" calendar effort"&amp;IF('BP1'!H37&gt;12," each","")&amp;")",)),CONCATENATE(IF('BP1'!I37&gt;0,TEXT('BP1'!I37,"0.00")&amp;" academic month"&amp;IF('BP1'!I37&gt;1,"s",)&amp;" (or "&amp;TEXT('BP1'!I37/9,"0%")&amp;" academic effort)",),IF(AND('BP1'!I37&gt;0,'BP1'!J37&gt;0)," and ",),IF('BP1'!J37&gt;0,TEXT('BP1'!J37,"0.00")&amp;" summer month"&amp;IF('BP1'!J37&gt;1,"s",)&amp;" (or "&amp;TEXT('BP1'!J37/3,"0%")&amp;" summer effort)",))))),"")),"")</f>
        <v/>
      </c>
      <c r="J30" s="222" t="str">
        <f>IF(SUM('Cumulative Budget'!H37:J37)&gt;0,(IF('BP1'!$K$5&gt;1,((IF('BP2'!H37&gt;0,CONCATENATE(IF('BP2'!H37&gt;0,TEXT('BP2'!H37,"0.00")&amp;" calendar month"&amp;IF('BP2'!H37&gt;1,"s",)&amp;" (or "&amp;TEXT('BP2'!H37/'BP2'!G37/ROUNDUP('BP2'!H37/'BP2'!G37,0),"0%")&amp;" calendar effort"&amp;IF('BP2'!H37&gt;12," each","")&amp;")",)),CONCATENATE(IF('BP2'!I37&gt;0,TEXT('BP2'!I37,"0.00")&amp;" academic month"&amp;IF('BP2'!I37&gt;1,"s",)&amp;" (or "&amp;TEXT('BP2'!I37/9,"0%")&amp;" academic effort)",),IF(AND('BP2'!I37&gt;0,'BP2'!J37&gt;0)," and ",),IF('BP2'!J37&gt;0,TEXT('BP2'!J37,"0.00")&amp;" summer month"&amp;IF('BP2'!J37&gt;1,"s",)&amp;" (or "&amp;TEXT('BP2'!J37/3,"0%")&amp;" summer effort)",))))),"")),"")</f>
        <v/>
      </c>
      <c r="K30" s="222" t="str">
        <f>IF(SUM('Cumulative Budget'!H37:J37)&gt;0,(IF('BP1'!$K$5&gt;2,((IF('BP3'!H37&gt;0,CONCATENATE(IF('BP3'!H37&gt;0,TEXT('BP3'!H37,"0.00")&amp;" calendar month"&amp;IF('BP3'!H37&gt;1,"s",)&amp;" (or "&amp;TEXT('BP3'!H37/'BP3'!G37/ROUNDUP('BP3'!H37/'BP3'!G37,0),"0%")&amp;" calendar effort"&amp;IF('BP3'!H37&gt;12," each","")&amp;")",)),CONCATENATE(IF('BP3'!I37&gt;0,TEXT('BP3'!I37,"0.00")&amp;" academic month"&amp;IF('BP3'!I37&gt;1,"s",)&amp;" (or "&amp;TEXT('BP3'!I37/9,"0%")&amp;" academic effort)",),IF(AND('BP3'!I37&gt;0,'BP3'!J37&gt;0)," and ",),IF('BP3'!J37&gt;0,TEXT('BP3'!J37,"0.00")&amp;" summer month"&amp;IF('BP3'!J37&gt;1,"s",)&amp;" (or "&amp;TEXT('BP3'!J37/3,"0%")&amp;" summer effort)",))))),"")),"")</f>
        <v/>
      </c>
      <c r="L30" s="222" t="str">
        <f>IF(SUM('Cumulative Budget'!H37:J37)&gt;0,(IF('BP1'!$K$5&gt;3,((IF('BP4'!H37&gt;0,CONCATENATE(IF('BP4'!H37&gt;0,TEXT('BP4'!H37,"0.00")&amp;" calendar month"&amp;IF('BP4'!H37&gt;1,"s",)&amp;" (or "&amp;TEXT('BP4'!H37/'BP4'!G37/ROUNDUP('BP4'!H37/'BP4'!G37,0),"0%")&amp;" calendar effort"&amp;IF('BP4'!H37&gt;12," each","")&amp;")",)),CONCATENATE(IF('BP4'!I37&gt;0,TEXT('BP4'!I37,"0.00")&amp;" academic month"&amp;IF('BP4'!I37&gt;1,"s",)&amp;" (or "&amp;TEXT('BP4'!I37/9,"0%")&amp;" academic effort)",),IF(AND('BP4'!I37&gt;0,'BP4'!J37&gt;0)," and ",),IF('BP4'!J37&gt;0,TEXT('BP4'!J37,"0.00")&amp;" summer month"&amp;IF('BP4'!J37&gt;1,"s",)&amp;" (or "&amp;TEXT('BP4'!J37/3,"0%")&amp;" summer effort)",))))),"")),"")</f>
        <v/>
      </c>
      <c r="M30" s="222" t="str">
        <f>IF(SUM('Cumulative Budget'!H37:J37)&gt;0,(IF('BP1'!$K$5&gt;4,((IF('BP5'!H37&gt;0,CONCATENATE(IF('BP5'!H37&gt;0,TEXT('BP5'!H37,"0.00")&amp;" calendar month"&amp;IF('BP5'!H37&gt;1,"s",)&amp;" (or "&amp;TEXT('BP5'!H37/'BP5'!G37/ROUNDUP('BP5'!H37/'BP5'!G37,0),"0%")&amp;" calendar effort"&amp;IF('BP5'!H37&gt;12," each","")&amp;")",)),CONCATENATE(IF('BP5'!I37&gt;0,TEXT('BP5'!I37,"0.00")&amp;" academic month"&amp;IF('BP5'!I37&gt;1,"s",)&amp;" (or "&amp;TEXT('BP5'!I37/9,"0%")&amp;" academic effort)",),IF(AND('BP5'!I37&gt;0,'BP5'!J37&gt;0)," and ",),IF('BP5'!J37&gt;0,TEXT('BP5'!J37,"0.00")&amp;" summer month"&amp;IF('BP5'!J37&gt;1,"s",)&amp;" (or "&amp;TEXT('BP5'!J37/3,"0%")&amp;" summer effort)",))))),"")),"")</f>
        <v/>
      </c>
      <c r="N30" s="222" t="str">
        <f>IF(AND('BP1'!M37&gt;0,'BP1'!$A$5&gt;0),TEXT('BP1'!M37,"0.00")&amp;" cost-shared month"&amp;IF('BP1'!M37&gt;1,"s",)&amp;" (or "&amp;TEXT('BP1'!M37/'BP1'!G37/ROUNDUP('BP1'!M37/'BP1'!G37,0),"0%")&amp;" cost-shared effort"&amp;IF('BP1'!M37&gt;12," each","")&amp;")","")</f>
        <v/>
      </c>
      <c r="O30" s="222" t="str">
        <f>IF(AND('BP2'!M37&gt;0,'BP2'!$A$5&gt;0),TEXT('BP2'!M37,"0.00")&amp;" cost-shared month"&amp;IF('BP2'!M37&gt;1,"s",)&amp;" (or "&amp;TEXT('BP2'!M37/'BP2'!G37/ROUNDUP('BP2'!M37/'BP2'!G37,0),"0%")&amp;" cost-shared effort"&amp;IF('BP2'!M37&gt;12," each","")&amp;")","")</f>
        <v/>
      </c>
      <c r="P30" s="222" t="str">
        <f>IF(AND('BP3'!M37&gt;0,'BP3'!$A$5&gt;0),TEXT('BP3'!M37,"0.00")&amp;" cost-shared month"&amp;IF('BP3'!M37&gt;1,"s",)&amp;" (or "&amp;TEXT('BP3'!M37/'BP3'!G37/ROUNDUP('BP3'!M37/'BP3'!G37,0),"0%")&amp;" cost-shared effort"&amp;IF('BP3'!M37&gt;12," each","")&amp;")","")</f>
        <v/>
      </c>
      <c r="Q30" s="222" t="str">
        <f>IF(AND('BP4'!M37&gt;0,'BP4'!$A$5&gt;0),TEXT('BP4'!M37,"0.00")&amp;" cost-shared month"&amp;IF('BP4'!M37&gt;1,"s",)&amp;" (or "&amp;TEXT('BP4'!M37/'BP4'!G37/ROUNDUP('BP4'!M37/'BP4'!G37,0),"0%")&amp;" cost-shared effort"&amp;IF('BP4'!M37&gt;12," each","")&amp;")","")</f>
        <v/>
      </c>
      <c r="R30" s="222" t="str">
        <f>IF(AND('BP5'!M37&gt;0,'BP5'!$A$5&gt;0),TEXT('BP5'!M37,"0.00")&amp;" cost-shared month"&amp;IF('BP5'!M37&gt;1,"s",)&amp;" (or "&amp;TEXT('BP5'!M37/'BP5'!G37/ROUNDUP('BP5'!M37/'BP5'!G37,0),"0%")&amp;" cost-shared effort"&amp;IF('BP5'!M37&gt;12," each","")&amp;")","")</f>
        <v/>
      </c>
      <c r="S30" s="208" t="str">
        <f>IF(AND('BP1'!$K$5=2,I30&lt;&gt;J30),"Note: Effort changes in the outyears!","")&amp;IF(AND('BP1'!$K$5=3,OR(I30&lt;&gt;J30,I30&lt;&gt;K30,J30&lt;&gt;K30)),"Note: Effort changes in the outyears!","")&amp;IF(AND('BP1'!$K$5=4,OR(I30&lt;&gt;J30,I30&lt;&gt;K30,I30&lt;&gt;L30,J30&lt;&gt;K30,J30&lt;&gt;L30,K30&lt;&gt;L30)),"Note: Effort changes in the outyears!","")&amp;IF(AND('BP1'!$K$5=5,OR(I30&lt;&gt;J30,I30&lt;&gt;K30,I30&lt;&gt;L30,I30&lt;&gt;M30,J30&lt;&gt;K30,J30&lt;&gt;L30,J30&lt;&gt;M30,K30&lt;&gt;L30,K30&lt;&gt;M30,L30&lt;&gt;M30)),"Note: Effort changes in the outyears!","")</f>
        <v/>
      </c>
      <c r="T30" s="208" t="str">
        <f>IF(AND('BP1'!$K$5=2,N30&lt;&gt;O30),"Note: Effort changes in the outyears!","")&amp;IF(AND('BP1'!$K$5=3,OR(N30&lt;&gt;O30,N30&lt;&gt;P30,O30&lt;&gt;P30)),"Note: Effort changes in the outyears!","")&amp;IF(AND('BP1'!$K$5=4,OR(N30&lt;&gt;O30,N30&lt;&gt;P30,N30&lt;&gt;Q30,O30&lt;&gt;P30,O30&lt;&gt;Q30,P30&lt;&gt;Q30)),"Note: Effort changes in the outyears!","")&amp;IF(AND('BP1'!$K$5=5,OR(N30&lt;&gt;O30,N30&lt;&gt;P30,N30&lt;&gt;Q30,N30&lt;&gt;R30,O30&lt;&gt;P30,O30&lt;&gt;Q30,O30&lt;&gt;R30,P30&lt;&gt;Q30,P30&lt;&gt;R30,Q30&lt;&gt;R30)),"Note: Effort changes in the outyears!","")</f>
        <v/>
      </c>
      <c r="U30" s="597" t="str">
        <f t="shared" ca="1" si="1"/>
        <v>Blank</v>
      </c>
    </row>
    <row r="31" spans="1:21" ht="60" customHeight="1">
      <c r="A31" s="895" t="str">
        <f ca="1">IF('Cumulative Budget'!H38+'Cumulative Budget'!I38+'Cumulative Budget'!J38&gt;0,IF(S31="Note: Effort changes in the outyears!",IF(I31&lt;&gt;"",I31&amp;" in Budget Period 1","")&amp;IF(AND(I31&lt;&gt;"",J31&lt;&gt;""),"; ","")&amp;IF(J31&lt;&gt;"",J31&amp;" in Budget Period 2","")&amp;IF(AND(OR(I31&lt;&gt;"",J31&lt;&gt;""),K31&lt;&gt;""),"; ","")&amp;IF(K31&lt;&gt;"",K31&amp;" in Budget Period 3","")&amp;IF(AND(OR(I31&lt;&gt;"",J31&lt;&gt;"",K31&lt;&gt;""),L31&lt;&gt;""),"; ","")&amp;IF(L31&lt;&gt;"",L31&amp;" in Budget Period 4","")&amp;IF(AND(OR(I31&lt;&gt;"",J31&lt;&gt;"",K31&lt;&gt;"",L31&lt;&gt;""),M31&lt;&gt;""),"; ","")&amp;IF(M31&lt;&gt;"",M31&amp;" in Budget Period 5","")&amp;" for "&amp;ROUNDUP('BP1'!H38/'BP1'!G38,0)&amp;" "&amp;'BP1'!D38&amp;" is requested. ",I31&amp;" for "&amp;ROUNDUP('BP1'!H38/'BP1'!G38,0)&amp;" "&amp;'BP1'!D38&amp;" is requested"&amp;IF('BP1'!$K$5&gt;1," each budget period for "&amp;'BP1'!$K$5&amp;" budget periods. ",". ")),"")&amp;IF('Cumulative Budget'!N38&gt;0,IF(T31="Note: Effort changes in the outyears!",IF(N31&lt;&gt;"",N31&amp;" in Budget Period 1","")&amp;IF(AND(N31&lt;&gt;"",O31&lt;&gt;""),"; ","")&amp;IF(O31&lt;&gt;"",O31&amp;" in Budget Period 2","")&amp;IF(AND(OR(N31&lt;&gt;"",O31&lt;&gt;""),P31&lt;&gt;""),"; ","")&amp;IF(P31&lt;&gt;"",P31&amp;" in Budget Period 3","")&amp;IF(AND(OR(N31&lt;&gt;"",O31&lt;&gt;"",P31&lt;&gt;""),Q31&lt;&gt;""),"; ","")&amp;IF(Q31&lt;&gt;"",Q31&amp;" in Budget Period 4","")&amp;IF(AND(OR(N31&lt;&gt;"",O31&lt;&gt;"",P31&lt;&gt;"",Q31&lt;&gt;""),R31&lt;&gt;""),"; ","")&amp;IF(R31&lt;&gt;"",R31&amp;" in Budget Period 5","")&amp;" for "&amp;ROUNDUP('BP1'!M38/'BP1'!G38,0)&amp;" "&amp;'BP1'!D38&amp;" is requested. ",N31&amp;" for "&amp;ROUNDUP('BP1'!M38/'BP1'!G38,0)&amp;" "&amp;'BP1'!D38&amp;" is requested"&amp;IF('BP1'!$K$5&gt;1," each budget period for "&amp;'BP1'!$K$5&amp;" budget periods. ",". ")),"")&amp;IF(AND('BP1'!$K$5&gt;1,'BP1'!$K$7&gt;0,OR('Cumulative Budget'!H38+'Cumulative Budget'!M38&gt;0)),"Salary is inflated by "&amp;('BP1'!$K$7*100)&amp;"% annually each September. ","")&amp;IF(ISBLANK('BP1'!R38),"",'BP1'!R38)</f>
        <v/>
      </c>
      <c r="B31" s="895"/>
      <c r="C31" s="895"/>
      <c r="D31" s="895"/>
      <c r="E31" s="895"/>
      <c r="F31" s="895"/>
      <c r="G31" s="895"/>
      <c r="H31" s="895"/>
      <c r="I31" s="222" t="str">
        <f>IF(SUM('Cumulative Budget'!H38:J38)&gt;0,(IF('BP1'!$K$5&gt;0,((IF('BP1'!H38&gt;0,CONCATENATE(IF('BP1'!H38&gt;0,TEXT('BP1'!H38,"0.00")&amp;" calendar month"&amp;IF('BP1'!H38&gt;1,"s",)&amp;" (or "&amp;TEXT('BP1'!H38/'BP1'!G38/ROUNDUP('BP1'!H38/'BP1'!G38,0),"0%")&amp;" calendar effort"&amp;IF('BP1'!H38&gt;12," each","")&amp;")",)),CONCATENATE(IF('BP1'!I38&gt;0,TEXT('BP1'!I38,"0.00")&amp;" academic month"&amp;IF('BP1'!I38&gt;1,"s",)&amp;" (or "&amp;TEXT('BP1'!I38/9,"0%")&amp;" academic effort)",),IF(AND('BP1'!I38&gt;0,'BP1'!J38&gt;0)," and ",),IF('BP1'!J38&gt;0,TEXT('BP1'!J38,"0.00")&amp;" summer month"&amp;IF('BP1'!J38&gt;1,"s",)&amp;" (or "&amp;TEXT('BP1'!J38/3,"0%")&amp;" summer effort)",))))),"")),"")</f>
        <v/>
      </c>
      <c r="J31" s="222" t="str">
        <f>IF(SUM('Cumulative Budget'!H38:J38)&gt;0,(IF('BP1'!$K$5&gt;1,((IF('BP2'!H38&gt;0,CONCATENATE(IF('BP2'!H38&gt;0,TEXT('BP2'!H38,"0.00")&amp;" calendar month"&amp;IF('BP2'!H38&gt;1,"s",)&amp;" (or "&amp;TEXT('BP2'!H38/'BP2'!G38/ROUNDUP('BP2'!H38/'BP2'!G38,0),"0%")&amp;" calendar effort"&amp;IF('BP2'!H38&gt;12," each","")&amp;")",)),CONCATENATE(IF('BP2'!I38&gt;0,TEXT('BP2'!I38,"0.00")&amp;" academic month"&amp;IF('BP2'!I38&gt;1,"s",)&amp;" (or "&amp;TEXT('BP2'!I38/9,"0%")&amp;" academic effort)",),IF(AND('BP2'!I38&gt;0,'BP2'!J38&gt;0)," and ",),IF('BP2'!J38&gt;0,TEXT('BP2'!J38,"0.00")&amp;" summer month"&amp;IF('BP2'!J38&gt;1,"s",)&amp;" (or "&amp;TEXT('BP2'!J38/3,"0%")&amp;" summer effort)",))))),"")),"")</f>
        <v/>
      </c>
      <c r="K31" s="222" t="str">
        <f>IF(SUM('Cumulative Budget'!H38:J38)&gt;0,(IF('BP1'!$K$5&gt;2,((IF('BP3'!H38&gt;0,CONCATENATE(IF('BP3'!H38&gt;0,TEXT('BP3'!H38,"0.00")&amp;" calendar month"&amp;IF('BP3'!H38&gt;1,"s",)&amp;" (or "&amp;TEXT('BP3'!H38/'BP3'!G38/ROUNDUP('BP3'!H38/'BP3'!G38,0),"0%")&amp;" calendar effort"&amp;IF('BP3'!H38&gt;12," each","")&amp;")",)),CONCATENATE(IF('BP3'!I38&gt;0,TEXT('BP3'!I38,"0.00")&amp;" academic month"&amp;IF('BP3'!I38&gt;1,"s",)&amp;" (or "&amp;TEXT('BP3'!I38/9,"0%")&amp;" academic effort)",),IF(AND('BP3'!I38&gt;0,'BP3'!J38&gt;0)," and ",),IF('BP3'!J38&gt;0,TEXT('BP3'!J38,"0.00")&amp;" summer month"&amp;IF('BP3'!J38&gt;1,"s",)&amp;" (or "&amp;TEXT('BP3'!J38/3,"0%")&amp;" summer effort)",))))),"")),"")</f>
        <v/>
      </c>
      <c r="L31" s="222" t="str">
        <f>IF(SUM('Cumulative Budget'!H38:J38)&gt;0,(IF('BP1'!$K$5&gt;3,((IF('BP4'!H38&gt;0,CONCATENATE(IF('BP4'!H38&gt;0,TEXT('BP4'!H38,"0.00")&amp;" calendar month"&amp;IF('BP4'!H38&gt;1,"s",)&amp;" (or "&amp;TEXT('BP4'!H38/'BP4'!G38/ROUNDUP('BP4'!H38/'BP4'!G38,0),"0%")&amp;" calendar effort"&amp;IF('BP4'!H38&gt;12," each","")&amp;")",)),CONCATENATE(IF('BP4'!I38&gt;0,TEXT('BP4'!I38,"0.00")&amp;" academic month"&amp;IF('BP4'!I38&gt;1,"s",)&amp;" (or "&amp;TEXT('BP4'!I38/9,"0%")&amp;" academic effort)",),IF(AND('BP4'!I38&gt;0,'BP4'!J38&gt;0)," and ",),IF('BP4'!J38&gt;0,TEXT('BP4'!J38,"0.00")&amp;" summer month"&amp;IF('BP4'!J38&gt;1,"s",)&amp;" (or "&amp;TEXT('BP4'!J38/3,"0%")&amp;" summer effort)",))))),"")),"")</f>
        <v/>
      </c>
      <c r="M31" s="222" t="str">
        <f>IF(SUM('Cumulative Budget'!H38:J38)&gt;0,(IF('BP1'!$K$5&gt;4,((IF('BP5'!H38&gt;0,CONCATENATE(IF('BP5'!H38&gt;0,TEXT('BP5'!H38,"0.00")&amp;" calendar month"&amp;IF('BP5'!H38&gt;1,"s",)&amp;" (or "&amp;TEXT('BP5'!H38/'BP5'!G38/ROUNDUP('BP5'!H38/'BP5'!G38,0),"0%")&amp;" calendar effort"&amp;IF('BP5'!H38&gt;12," each","")&amp;")",)),CONCATENATE(IF('BP5'!I38&gt;0,TEXT('BP5'!I38,"0.00")&amp;" academic month"&amp;IF('BP5'!I38&gt;1,"s",)&amp;" (or "&amp;TEXT('BP5'!I38/9,"0%")&amp;" academic effort)",),IF(AND('BP5'!I38&gt;0,'BP5'!J38&gt;0)," and ",),IF('BP5'!J38&gt;0,TEXT('BP5'!J38,"0.00")&amp;" summer month"&amp;IF('BP5'!J38&gt;1,"s",)&amp;" (or "&amp;TEXT('BP5'!J38/3,"0%")&amp;" summer effort)",))))),"")),"")</f>
        <v/>
      </c>
      <c r="N31" s="222" t="str">
        <f>IF(AND('BP1'!M38&gt;0,'BP1'!$A$5&gt;0),TEXT('BP1'!M38,"0.00")&amp;" cost-shared month"&amp;IF('BP1'!M38&gt;1,"s",)&amp;" (or "&amp;TEXT('BP1'!M38/'BP1'!G38/ROUNDUP('BP1'!M38/'BP1'!G38,0),"0%")&amp;" cost-shared effort"&amp;IF('BP1'!M38&gt;12," each","")&amp;")","")</f>
        <v/>
      </c>
      <c r="O31" s="222" t="str">
        <f>IF(AND('BP2'!M38&gt;0,'BP2'!$A$5&gt;0),TEXT('BP2'!M38,"0.00")&amp;" cost-shared month"&amp;IF('BP2'!M38&gt;1,"s",)&amp;" (or "&amp;TEXT('BP2'!M38/'BP2'!G38/ROUNDUP('BP2'!M38/'BP2'!G38,0),"0%")&amp;" cost-shared effort"&amp;IF('BP2'!M38&gt;12," each","")&amp;")","")</f>
        <v/>
      </c>
      <c r="P31" s="222" t="str">
        <f>IF(AND('BP3'!M38&gt;0,'BP3'!$A$5&gt;0),TEXT('BP3'!M38,"0.00")&amp;" cost-shared month"&amp;IF('BP3'!M38&gt;1,"s",)&amp;" (or "&amp;TEXT('BP3'!M38/'BP3'!G38/ROUNDUP('BP3'!M38/'BP3'!G38,0),"0%")&amp;" cost-shared effort"&amp;IF('BP3'!M38&gt;12," each","")&amp;")","")</f>
        <v/>
      </c>
      <c r="Q31" s="222" t="str">
        <f>IF(AND('BP4'!M38&gt;0,'BP4'!$A$5&gt;0),TEXT('BP4'!M38,"0.00")&amp;" cost-shared month"&amp;IF('BP4'!M38&gt;1,"s",)&amp;" (or "&amp;TEXT('BP4'!M38/'BP4'!G38/ROUNDUP('BP4'!M38/'BP4'!G38,0),"0%")&amp;" cost-shared effort"&amp;IF('BP4'!M38&gt;12," each","")&amp;")","")</f>
        <v/>
      </c>
      <c r="R31" s="222" t="str">
        <f>IF(AND('BP5'!M38&gt;0,'BP5'!$A$5&gt;0),TEXT('BP5'!M38,"0.00")&amp;" cost-shared month"&amp;IF('BP5'!M38&gt;1,"s",)&amp;" (or "&amp;TEXT('BP5'!M38/'BP5'!G38/ROUNDUP('BP5'!M38/'BP5'!G38,0),"0%")&amp;" cost-shared effort"&amp;IF('BP5'!M38&gt;12," each","")&amp;")","")</f>
        <v/>
      </c>
      <c r="S31" s="208" t="str">
        <f>IF(AND('BP1'!$K$5=2,I31&lt;&gt;J31),"Note: Effort changes in the outyears!","")&amp;IF(AND('BP1'!$K$5=3,OR(I31&lt;&gt;J31,I31&lt;&gt;K31,J31&lt;&gt;K31)),"Note: Effort changes in the outyears!","")&amp;IF(AND('BP1'!$K$5=4,OR(I31&lt;&gt;J31,I31&lt;&gt;K31,I31&lt;&gt;L31,J31&lt;&gt;K31,J31&lt;&gt;L31,K31&lt;&gt;L31)),"Note: Effort changes in the outyears!","")&amp;IF(AND('BP1'!$K$5=5,OR(I31&lt;&gt;J31,I31&lt;&gt;K31,I31&lt;&gt;L31,I31&lt;&gt;M31,J31&lt;&gt;K31,J31&lt;&gt;L31,J31&lt;&gt;M31,K31&lt;&gt;L31,K31&lt;&gt;M31,L31&lt;&gt;M31)),"Note: Effort changes in the outyears!","")</f>
        <v/>
      </c>
      <c r="T31" s="208" t="str">
        <f>IF(AND('BP1'!$K$5=2,N31&lt;&gt;O31),"Note: Effort changes in the outyears!","")&amp;IF(AND('BP1'!$K$5=3,OR(N31&lt;&gt;O31,N31&lt;&gt;P31,O31&lt;&gt;P31)),"Note: Effort changes in the outyears!","")&amp;IF(AND('BP1'!$K$5=4,OR(N31&lt;&gt;O31,N31&lt;&gt;P31,N31&lt;&gt;Q31,O31&lt;&gt;P31,O31&lt;&gt;Q31,P31&lt;&gt;Q31)),"Note: Effort changes in the outyears!","")&amp;IF(AND('BP1'!$K$5=5,OR(N31&lt;&gt;O31,N31&lt;&gt;P31,N31&lt;&gt;Q31,N31&lt;&gt;R31,O31&lt;&gt;P31,O31&lt;&gt;Q31,O31&lt;&gt;R31,P31&lt;&gt;Q31,P31&lt;&gt;R31,Q31&lt;&gt;R31)),"Note: Effort changes in the outyears!","")</f>
        <v/>
      </c>
      <c r="U31" s="597" t="str">
        <f t="shared" ca="1" si="1"/>
        <v>Blank</v>
      </c>
    </row>
    <row r="32" spans="1:21" ht="60" customHeight="1">
      <c r="A32" s="895" t="str">
        <f ca="1">IF('Cumulative Budget'!H39+'Cumulative Budget'!I39+'Cumulative Budget'!J39&gt;0,IF(S32="Note: Effort changes in the outyears!",IF(I32&lt;&gt;"",I32&amp;" in Budget Period 1","")&amp;IF(AND(I32&lt;&gt;"",J32&lt;&gt;""),"; ","")&amp;IF(J32&lt;&gt;"",J32&amp;" in Budget Period 2","")&amp;IF(AND(OR(I32&lt;&gt;"",J32&lt;&gt;""),K32&lt;&gt;""),"; ","")&amp;IF(K32&lt;&gt;"",K32&amp;" in Budget Period 3","")&amp;IF(AND(OR(I32&lt;&gt;"",J32&lt;&gt;"",K32&lt;&gt;""),L32&lt;&gt;""),"; ","")&amp;IF(L32&lt;&gt;"",L32&amp;" in Budget Period 4","")&amp;IF(AND(OR(I32&lt;&gt;"",J32&lt;&gt;"",K32&lt;&gt;"",L32&lt;&gt;""),M32&lt;&gt;""),"; ","")&amp;IF(M32&lt;&gt;"",M32&amp;" in Budget Period 5","")&amp;" for "&amp;ROUNDUP('BP1'!H39/'BP1'!G39,0)&amp;" "&amp;'BP1'!D39&amp;" is requested. ",I32&amp;" for "&amp;ROUNDUP('BP1'!H39/'BP1'!G39,0)&amp;" "&amp;'BP1'!D39&amp;" is requested"&amp;IF('BP1'!$K$5&gt;1," each budget period for "&amp;'BP1'!$K$5&amp;" budget periods. ",". ")),"")&amp;IF('Cumulative Budget'!N39&gt;0,IF(T32="Note: Effort changes in the outyears!",IF(N32&lt;&gt;"",N32&amp;" in Budget Period 1","")&amp;IF(AND(N32&lt;&gt;"",O32&lt;&gt;""),"; ","")&amp;IF(O32&lt;&gt;"",O32&amp;" in Budget Period 2","")&amp;IF(AND(OR(N32&lt;&gt;"",O32&lt;&gt;""),P32&lt;&gt;""),"; ","")&amp;IF(P32&lt;&gt;"",P32&amp;" in Budget Period 3","")&amp;IF(AND(OR(N32&lt;&gt;"",O32&lt;&gt;"",P32&lt;&gt;""),Q32&lt;&gt;""),"; ","")&amp;IF(Q32&lt;&gt;"",Q32&amp;" in Budget Period 4","")&amp;IF(AND(OR(N32&lt;&gt;"",O32&lt;&gt;"",P32&lt;&gt;"",Q32&lt;&gt;""),R32&lt;&gt;""),"; ","")&amp;IF(R32&lt;&gt;"",R32&amp;" in Budget Period 5","")&amp;" for "&amp;ROUNDUP('BP1'!M39/'BP1'!G39,0)&amp;" "&amp;'BP1'!D39&amp;" is requested. ",N32&amp;" for "&amp;ROUNDUP('BP1'!M39/'BP1'!G39,0)&amp;" "&amp;'BP1'!D39&amp;" is requested"&amp;IF('BP1'!$K$5&gt;1," each budget period for "&amp;'BP1'!$K$5&amp;" budget periods. ",". ")),"")&amp;IF(AND('BP1'!$K$5&gt;1,'BP1'!$K$7&gt;0,OR('Cumulative Budget'!H39+'Cumulative Budget'!M39&gt;0)),"Salary is inflated by "&amp;('BP1'!$K$7*100)&amp;"% annually each September. ","")&amp;IF(ISBLANK('BP1'!R39),"",'BP1'!R39)</f>
        <v/>
      </c>
      <c r="B32" s="895"/>
      <c r="C32" s="895"/>
      <c r="D32" s="895"/>
      <c r="E32" s="895"/>
      <c r="F32" s="895"/>
      <c r="G32" s="895"/>
      <c r="H32" s="895"/>
      <c r="I32" s="222" t="str">
        <f>IF(SUM('Cumulative Budget'!H39:J39)&gt;0,(IF('BP1'!$K$5&gt;0,((IF('BP1'!H39&gt;0,CONCATENATE(IF('BP1'!H39&gt;0,TEXT('BP1'!H39,"0.00")&amp;" calendar month"&amp;IF('BP1'!H39&gt;1,"s",)&amp;" (or "&amp;TEXT('BP1'!H39/'BP1'!G39/ROUNDUP('BP1'!H39/'BP1'!G39,0),"0%")&amp;" calendar effort"&amp;IF('BP1'!H39&gt;12," each","")&amp;")",)),CONCATENATE(IF('BP1'!I39&gt;0,TEXT('BP1'!I39,"0.00")&amp;" academic month"&amp;IF('BP1'!I39&gt;1,"s",)&amp;" (or "&amp;TEXT('BP1'!I39/9,"0%")&amp;" academic effort)",),IF(AND('BP1'!I39&gt;0,'BP1'!J39&gt;0)," and ",),IF('BP1'!J39&gt;0,TEXT('BP1'!J39,"0.00")&amp;" summer month"&amp;IF('BP1'!J39&gt;1,"s",)&amp;" (or "&amp;TEXT('BP1'!J39/3,"0%")&amp;" summer effort)",))))),"")),"")</f>
        <v/>
      </c>
      <c r="J32" s="222" t="str">
        <f>IF(SUM('Cumulative Budget'!H39:J39)&gt;0,(IF('BP1'!$K$5&gt;1,((IF('BP2'!H39&gt;0,CONCATENATE(IF('BP2'!H39&gt;0,TEXT('BP2'!H39,"0.00")&amp;" calendar month"&amp;IF('BP2'!H39&gt;1,"s",)&amp;" (or "&amp;TEXT('BP2'!H39/'BP2'!G39/ROUNDUP('BP2'!H39/'BP2'!G39,0),"0%")&amp;" calendar effort"&amp;IF('BP2'!H39&gt;12," each","")&amp;")",)),CONCATENATE(IF('BP2'!I39&gt;0,TEXT('BP2'!I39,"0.00")&amp;" academic month"&amp;IF('BP2'!I39&gt;1,"s",)&amp;" (or "&amp;TEXT('BP2'!I39/9,"0%")&amp;" academic effort)",),IF(AND('BP2'!I39&gt;0,'BP2'!J39&gt;0)," and ",),IF('BP2'!J39&gt;0,TEXT('BP2'!J39,"0.00")&amp;" summer month"&amp;IF('BP2'!J39&gt;1,"s",)&amp;" (or "&amp;TEXT('BP2'!J39/3,"0%")&amp;" summer effort)",))))),"")),"")</f>
        <v/>
      </c>
      <c r="K32" s="222" t="str">
        <f>IF(SUM('Cumulative Budget'!H39:J39)&gt;0,(IF('BP1'!$K$5&gt;2,((IF('BP3'!H39&gt;0,CONCATENATE(IF('BP3'!H39&gt;0,TEXT('BP3'!H39,"0.00")&amp;" calendar month"&amp;IF('BP3'!H39&gt;1,"s",)&amp;" (or "&amp;TEXT('BP3'!H39/'BP3'!G39/ROUNDUP('BP3'!H39/'BP3'!G39,0),"0%")&amp;" calendar effort"&amp;IF('BP3'!H39&gt;12," each","")&amp;")",)),CONCATENATE(IF('BP3'!I39&gt;0,TEXT('BP3'!I39,"0.00")&amp;" academic month"&amp;IF('BP3'!I39&gt;1,"s",)&amp;" (or "&amp;TEXT('BP3'!I39/9,"0%")&amp;" academic effort)",),IF(AND('BP3'!I39&gt;0,'BP3'!J39&gt;0)," and ",),IF('BP3'!J39&gt;0,TEXT('BP3'!J39,"0.00")&amp;" summer month"&amp;IF('BP3'!J39&gt;1,"s",)&amp;" (or "&amp;TEXT('BP3'!J39/3,"0%")&amp;" summer effort)",))))),"")),"")</f>
        <v/>
      </c>
      <c r="L32" s="222" t="str">
        <f>IF(SUM('Cumulative Budget'!H39:J39)&gt;0,(IF('BP1'!$K$5&gt;3,((IF('BP4'!H39&gt;0,CONCATENATE(IF('BP4'!H39&gt;0,TEXT('BP4'!H39,"0.00")&amp;" calendar month"&amp;IF('BP4'!H39&gt;1,"s",)&amp;" (or "&amp;TEXT('BP4'!H39/'BP4'!G39/ROUNDUP('BP4'!H39/'BP4'!G39,0),"0%")&amp;" calendar effort"&amp;IF('BP4'!H39&gt;12," each","")&amp;")",)),CONCATENATE(IF('BP4'!I39&gt;0,TEXT('BP4'!I39,"0.00")&amp;" academic month"&amp;IF('BP4'!I39&gt;1,"s",)&amp;" (or "&amp;TEXT('BP4'!I39/9,"0%")&amp;" academic effort)",),IF(AND('BP4'!I39&gt;0,'BP4'!J39&gt;0)," and ",),IF('BP4'!J39&gt;0,TEXT('BP4'!J39,"0.00")&amp;" summer month"&amp;IF('BP4'!J39&gt;1,"s",)&amp;" (or "&amp;TEXT('BP4'!J39/3,"0%")&amp;" summer effort)",))))),"")),"")</f>
        <v/>
      </c>
      <c r="M32" s="222" t="str">
        <f>IF(SUM('Cumulative Budget'!H39:J39)&gt;0,(IF('BP1'!$K$5&gt;4,((IF('BP5'!H39&gt;0,CONCATENATE(IF('BP5'!H39&gt;0,TEXT('BP5'!H39,"0.00")&amp;" calendar month"&amp;IF('BP5'!H39&gt;1,"s",)&amp;" (or "&amp;TEXT('BP5'!H39/'BP5'!G39/ROUNDUP('BP5'!H39/'BP5'!G39,0),"0%")&amp;" calendar effort"&amp;IF('BP5'!H39&gt;12," each","")&amp;")",)),CONCATENATE(IF('BP5'!I39&gt;0,TEXT('BP5'!I39,"0.00")&amp;" academic month"&amp;IF('BP5'!I39&gt;1,"s",)&amp;" (or "&amp;TEXT('BP5'!I39/9,"0%")&amp;" academic effort)",),IF(AND('BP5'!I39&gt;0,'BP5'!J39&gt;0)," and ",),IF('BP5'!J39&gt;0,TEXT('BP5'!J39,"0.00")&amp;" summer month"&amp;IF('BP5'!J39&gt;1,"s",)&amp;" (or "&amp;TEXT('BP5'!J39/3,"0%")&amp;" summer effort)",))))),"")),"")</f>
        <v/>
      </c>
      <c r="N32" s="222" t="str">
        <f>IF(AND('BP1'!M39&gt;0,'BP1'!$A$5&gt;0),TEXT('BP1'!M39,"0.00")&amp;" cost-shared month"&amp;IF('BP1'!M39&gt;1,"s",)&amp;" (or "&amp;TEXT('BP1'!M39/'BP1'!G39/ROUNDUP('BP1'!M39/'BP1'!G39,0),"0%")&amp;" cost-shared effort"&amp;IF('BP1'!M39&gt;12," each","")&amp;")","")</f>
        <v/>
      </c>
      <c r="O32" s="222" t="str">
        <f>IF(AND('BP2'!M39&gt;0,'BP2'!$A$5&gt;0),TEXT('BP2'!M39,"0.00")&amp;" cost-shared month"&amp;IF('BP2'!M39&gt;1,"s",)&amp;" (or "&amp;TEXT('BP2'!M39/'BP2'!G39/ROUNDUP('BP2'!M39/'BP2'!G39,0),"0%")&amp;" cost-shared effort"&amp;IF('BP2'!M39&gt;12," each","")&amp;")","")</f>
        <v/>
      </c>
      <c r="P32" s="222" t="str">
        <f>IF(AND('BP3'!M39&gt;0,'BP3'!$A$5&gt;0),TEXT('BP3'!M39,"0.00")&amp;" cost-shared month"&amp;IF('BP3'!M39&gt;1,"s",)&amp;" (or "&amp;TEXT('BP3'!M39/'BP3'!G39/ROUNDUP('BP3'!M39/'BP3'!G39,0),"0%")&amp;" cost-shared effort"&amp;IF('BP3'!M39&gt;12," each","")&amp;")","")</f>
        <v/>
      </c>
      <c r="Q32" s="222" t="str">
        <f>IF(AND('BP4'!M39&gt;0,'BP4'!$A$5&gt;0),TEXT('BP4'!M39,"0.00")&amp;" cost-shared month"&amp;IF('BP4'!M39&gt;1,"s",)&amp;" (or "&amp;TEXT('BP4'!M39/'BP4'!G39/ROUNDUP('BP4'!M39/'BP4'!G39,0),"0%")&amp;" cost-shared effort"&amp;IF('BP4'!M39&gt;12," each","")&amp;")","")</f>
        <v/>
      </c>
      <c r="R32" s="222" t="str">
        <f>IF(AND('BP5'!M39&gt;0,'BP5'!$A$5&gt;0),TEXT('BP5'!M39,"0.00")&amp;" cost-shared month"&amp;IF('BP5'!M39&gt;1,"s",)&amp;" (or "&amp;TEXT('BP5'!M39/'BP5'!G39/ROUNDUP('BP5'!M39/'BP5'!G39,0),"0%")&amp;" cost-shared effort"&amp;IF('BP5'!M39&gt;12," each","")&amp;")","")</f>
        <v/>
      </c>
      <c r="S32" s="208" t="str">
        <f>IF(AND('BP1'!$K$5=2,I32&lt;&gt;J32),"Note: Effort changes in the outyears!","")&amp;IF(AND('BP1'!$K$5=3,OR(I32&lt;&gt;J32,I32&lt;&gt;K32,J32&lt;&gt;K32)),"Note: Effort changes in the outyears!","")&amp;IF(AND('BP1'!$K$5=4,OR(I32&lt;&gt;J32,I32&lt;&gt;K32,I32&lt;&gt;L32,J32&lt;&gt;K32,J32&lt;&gt;L32,K32&lt;&gt;L32)),"Note: Effort changes in the outyears!","")&amp;IF(AND('BP1'!$K$5=5,OR(I32&lt;&gt;J32,I32&lt;&gt;K32,I32&lt;&gt;L32,I32&lt;&gt;M32,J32&lt;&gt;K32,J32&lt;&gt;L32,J32&lt;&gt;M32,K32&lt;&gt;L32,K32&lt;&gt;M32,L32&lt;&gt;M32)),"Note: Effort changes in the outyears!","")</f>
        <v/>
      </c>
      <c r="T32" s="208" t="str">
        <f>IF(AND('BP1'!$K$5=2,N32&lt;&gt;O32),"Note: Effort changes in the outyears!","")&amp;IF(AND('BP1'!$K$5=3,OR(N32&lt;&gt;O32,N32&lt;&gt;P32,O32&lt;&gt;P32)),"Note: Effort changes in the outyears!","")&amp;IF(AND('BP1'!$K$5=4,OR(N32&lt;&gt;O32,N32&lt;&gt;P32,N32&lt;&gt;Q32,O32&lt;&gt;P32,O32&lt;&gt;Q32,P32&lt;&gt;Q32)),"Note: Effort changes in the outyears!","")&amp;IF(AND('BP1'!$K$5=5,OR(N32&lt;&gt;O32,N32&lt;&gt;P32,N32&lt;&gt;Q32,N32&lt;&gt;R32,O32&lt;&gt;P32,O32&lt;&gt;Q32,O32&lt;&gt;R32,P32&lt;&gt;Q32,P32&lt;&gt;R32,Q32&lt;&gt;R32)),"Note: Effort changes in the outyears!","")</f>
        <v/>
      </c>
      <c r="U32" s="597" t="str">
        <f t="shared" ca="1" si="1"/>
        <v>Blank</v>
      </c>
    </row>
    <row r="33" spans="1:30" ht="60" customHeight="1">
      <c r="A33" s="895" t="str">
        <f ca="1">IF('Cumulative Budget'!H40+'Cumulative Budget'!I40+'Cumulative Budget'!J40&gt;0,IF(S33="Note: Effort changes in the outyears!",IF(I33&lt;&gt;"",I33&amp;" in Budget Period 1","")&amp;IF(AND(I33&lt;&gt;"",J33&lt;&gt;""),"; ","")&amp;IF(J33&lt;&gt;"",J33&amp;" in Budget Period 2","")&amp;IF(AND(OR(I33&lt;&gt;"",J33&lt;&gt;""),K33&lt;&gt;""),"; ","")&amp;IF(K33&lt;&gt;"",K33&amp;" in Budget Period 3","")&amp;IF(AND(OR(I33&lt;&gt;"",J33&lt;&gt;"",K33&lt;&gt;""),L33&lt;&gt;""),"; ","")&amp;IF(L33&lt;&gt;"",L33&amp;" in Budget Period 4","")&amp;IF(AND(OR(I33&lt;&gt;"",J33&lt;&gt;"",K33&lt;&gt;"",L33&lt;&gt;""),M33&lt;&gt;""),"; ","")&amp;IF(M33&lt;&gt;"",M33&amp;" in Budget Period 5","")&amp;" for "&amp;ROUNDUP('BP1'!H40/'BP1'!G40,0)&amp;" "&amp;'BP1'!D40&amp;" is requested. ",I33&amp;" for "&amp;ROUNDUP('BP1'!H40/'BP1'!G40,0)&amp;" "&amp;'BP1'!D40&amp;" is requested"&amp;IF('BP1'!$K$5&gt;1," each budget period for "&amp;'BP1'!$K$5&amp;" budget periods. ",". ")),"")&amp;IF('Cumulative Budget'!N40&gt;0,IF(T33="Note: Effort changes in the outyears!",IF(N33&lt;&gt;"",N33&amp;" in Budget Period 1","")&amp;IF(AND(N33&lt;&gt;"",O33&lt;&gt;""),"; ","")&amp;IF(O33&lt;&gt;"",O33&amp;" in Budget Period 2","")&amp;IF(AND(OR(N33&lt;&gt;"",O33&lt;&gt;""),P33&lt;&gt;""),"; ","")&amp;IF(P33&lt;&gt;"",P33&amp;" in Budget Period 3","")&amp;IF(AND(OR(N33&lt;&gt;"",O33&lt;&gt;"",P33&lt;&gt;""),Q33&lt;&gt;""),"; ","")&amp;IF(Q33&lt;&gt;"",Q33&amp;" in Budget Period 4","")&amp;IF(AND(OR(N33&lt;&gt;"",O33&lt;&gt;"",P33&lt;&gt;"",Q33&lt;&gt;""),R33&lt;&gt;""),"; ","")&amp;IF(R33&lt;&gt;"",R33&amp;" in Budget Period 5","")&amp;" for "&amp;ROUNDUP('BP1'!M40/'BP1'!G40,0)&amp;" "&amp;'BP1'!D40&amp;" is requested. ",N33&amp;" for "&amp;ROUNDUP('BP1'!M40/'BP1'!G40,0)&amp;" "&amp;'BP1'!D40&amp;" is requested"&amp;IF('BP1'!$K$5&gt;1," each budget period for "&amp;'BP1'!$K$5&amp;" budget periods. ",". ")),"")&amp;IF(AND('BP1'!$K$5&gt;1,'BP1'!$K$7&gt;0,OR('Cumulative Budget'!H40+'Cumulative Budget'!M40&gt;0)),"Salary is inflated by "&amp;('BP1'!$K$7*100)&amp;"% annually each September. ","")&amp;IF(ISBLANK('BP1'!R40),"",'BP1'!R40)</f>
        <v/>
      </c>
      <c r="B33" s="895"/>
      <c r="C33" s="895"/>
      <c r="D33" s="895"/>
      <c r="E33" s="895"/>
      <c r="F33" s="895"/>
      <c r="G33" s="895"/>
      <c r="H33" s="895"/>
      <c r="I33" s="222" t="str">
        <f>IF(SUM('Cumulative Budget'!H40:J40)&gt;0,(IF('BP1'!$K$5&gt;0,((IF('BP1'!H40&gt;0,CONCATENATE(IF('BP1'!H40&gt;0,TEXT('BP1'!H40,"0.00")&amp;" calendar month"&amp;IF('BP1'!H40&gt;1,"s",)&amp;" (or "&amp;TEXT('BP1'!H40/'BP1'!G40/ROUNDUP('BP1'!H40/'BP1'!G40,0),"0%")&amp;" calendar effort"&amp;IF('BP1'!H40&gt;12," each","")&amp;")",)),CONCATENATE(IF('BP1'!I40&gt;0,TEXT('BP1'!I40,"0.00")&amp;" academic month"&amp;IF('BP1'!I40&gt;1,"s",)&amp;" (or "&amp;TEXT('BP1'!I40/9,"0%")&amp;" academic effort)",),IF(AND('BP1'!I40&gt;0,'BP1'!J40&gt;0)," and ",),IF('BP1'!J40&gt;0,TEXT('BP1'!J40,"0.00")&amp;" summer month"&amp;IF('BP1'!J40&gt;1,"s",)&amp;" (or "&amp;TEXT('BP1'!J40/3,"0%")&amp;" summer effort)",))))),"")),"")</f>
        <v/>
      </c>
      <c r="J33" s="222" t="str">
        <f>IF(SUM('Cumulative Budget'!H40:J40)&gt;0,(IF('BP1'!$K$5&gt;1,((IF('BP2'!H40&gt;0,CONCATENATE(IF('BP2'!H40&gt;0,TEXT('BP2'!H40,"0.00")&amp;" calendar month"&amp;IF('BP2'!H40&gt;1,"s",)&amp;" (or "&amp;TEXT('BP2'!H40/'BP2'!G40/ROUNDUP('BP2'!H40/'BP2'!G40,0),"0%")&amp;" calendar effort"&amp;IF('BP2'!H40&gt;12," each","")&amp;")",)),CONCATENATE(IF('BP2'!I40&gt;0,TEXT('BP2'!I40,"0.00")&amp;" academic month"&amp;IF('BP2'!I40&gt;1,"s",)&amp;" (or "&amp;TEXT('BP2'!I40/9,"0%")&amp;" academic effort)",),IF(AND('BP2'!I40&gt;0,'BP2'!J40&gt;0)," and ",),IF('BP2'!J40&gt;0,TEXT('BP2'!J40,"0.00")&amp;" summer month"&amp;IF('BP2'!J40&gt;1,"s",)&amp;" (or "&amp;TEXT('BP2'!J40/3,"0%")&amp;" summer effort)",))))),"")),"")</f>
        <v/>
      </c>
      <c r="K33" s="222" t="str">
        <f>IF(SUM('Cumulative Budget'!H40:J40)&gt;0,(IF('BP1'!$K$5&gt;2,((IF('BP3'!H40&gt;0,CONCATENATE(IF('BP3'!H40&gt;0,TEXT('BP3'!H40,"0.00")&amp;" calendar month"&amp;IF('BP3'!H40&gt;1,"s",)&amp;" (or "&amp;TEXT('BP3'!H40/'BP3'!G40/ROUNDUP('BP3'!H40/'BP3'!G40,0),"0%")&amp;" calendar effort"&amp;IF('BP3'!H40&gt;12," each","")&amp;")",)),CONCATENATE(IF('BP3'!I40&gt;0,TEXT('BP3'!I40,"0.00")&amp;" academic month"&amp;IF('BP3'!I40&gt;1,"s",)&amp;" (or "&amp;TEXT('BP3'!I40/9,"0%")&amp;" academic effort)",),IF(AND('BP3'!I40&gt;0,'BP3'!J40&gt;0)," and ",),IF('BP3'!J40&gt;0,TEXT('BP3'!J40,"0.00")&amp;" summer month"&amp;IF('BP3'!J40&gt;1,"s",)&amp;" (or "&amp;TEXT('BP3'!J40/3,"0%")&amp;" summer effort)",))))),"")),"")</f>
        <v/>
      </c>
      <c r="L33" s="222" t="str">
        <f>IF(SUM('Cumulative Budget'!H40:J40)&gt;0,(IF('BP1'!$K$5&gt;3,((IF('BP4'!H40&gt;0,CONCATENATE(IF('BP4'!H40&gt;0,TEXT('BP4'!H40,"0.00")&amp;" calendar month"&amp;IF('BP4'!H40&gt;1,"s",)&amp;" (or "&amp;TEXT('BP4'!H40/'BP4'!G40/ROUNDUP('BP4'!H40/'BP4'!G40,0),"0%")&amp;" calendar effort"&amp;IF('BP4'!H40&gt;12," each","")&amp;")",)),CONCATENATE(IF('BP4'!I40&gt;0,TEXT('BP4'!I40,"0.00")&amp;" academic month"&amp;IF('BP4'!I40&gt;1,"s",)&amp;" (or "&amp;TEXT('BP4'!I40/9,"0%")&amp;" academic effort)",),IF(AND('BP4'!I40&gt;0,'BP4'!J40&gt;0)," and ",),IF('BP4'!J40&gt;0,TEXT('BP4'!J40,"0.00")&amp;" summer month"&amp;IF('BP4'!J40&gt;1,"s",)&amp;" (or "&amp;TEXT('BP4'!J40/3,"0%")&amp;" summer effort)",))))),"")),"")</f>
        <v/>
      </c>
      <c r="M33" s="222" t="str">
        <f>IF(SUM('Cumulative Budget'!H40:J40)&gt;0,(IF('BP1'!$K$5&gt;4,((IF('BP5'!H40&gt;0,CONCATENATE(IF('BP5'!H40&gt;0,TEXT('BP5'!H40,"0.00")&amp;" calendar month"&amp;IF('BP5'!H40&gt;1,"s",)&amp;" (or "&amp;TEXT('BP5'!H40/'BP5'!G40/ROUNDUP('BP5'!H40/'BP5'!G40,0),"0%")&amp;" calendar effort"&amp;IF('BP5'!H40&gt;12," each","")&amp;")",)),CONCATENATE(IF('BP5'!I40&gt;0,TEXT('BP5'!I40,"0.00")&amp;" academic month"&amp;IF('BP5'!I40&gt;1,"s",)&amp;" (or "&amp;TEXT('BP5'!I40/9,"0%")&amp;" academic effort)",),IF(AND('BP5'!I40&gt;0,'BP5'!J40&gt;0)," and ",),IF('BP5'!J40&gt;0,TEXT('BP5'!J40,"0.00")&amp;" summer month"&amp;IF('BP5'!J40&gt;1,"s",)&amp;" (or "&amp;TEXT('BP5'!J40/3,"0%")&amp;" summer effort)",))))),"")),"")</f>
        <v/>
      </c>
      <c r="N33" s="222" t="str">
        <f>IF(AND('BP1'!M40&gt;0,'BP1'!$A$5&gt;0),TEXT('BP1'!M40,"0.00")&amp;" cost-shared month"&amp;IF('BP1'!M40&gt;1,"s",)&amp;" (or "&amp;TEXT('BP1'!M40/'BP1'!G40/ROUNDUP('BP1'!M40/'BP1'!G40,0),"0%")&amp;" cost-shared effort"&amp;IF('BP1'!M40&gt;12," each","")&amp;")","")</f>
        <v/>
      </c>
      <c r="O33" s="222" t="str">
        <f>IF(AND('BP2'!M40&gt;0,'BP2'!$A$5&gt;0),TEXT('BP2'!M40,"0.00")&amp;" cost-shared month"&amp;IF('BP2'!M40&gt;1,"s",)&amp;" (or "&amp;TEXT('BP2'!M40/'BP2'!G40/ROUNDUP('BP2'!M40/'BP2'!G40,0),"0%")&amp;" cost-shared effort"&amp;IF('BP2'!M40&gt;12," each","")&amp;")","")</f>
        <v/>
      </c>
      <c r="P33" s="222" t="str">
        <f>IF(AND('BP3'!M40&gt;0,'BP3'!$A$5&gt;0),TEXT('BP3'!M40,"0.00")&amp;" cost-shared month"&amp;IF('BP3'!M40&gt;1,"s",)&amp;" (or "&amp;TEXT('BP3'!M40/'BP3'!G40/ROUNDUP('BP3'!M40/'BP3'!G40,0),"0%")&amp;" cost-shared effort"&amp;IF('BP3'!M40&gt;12," each","")&amp;")","")</f>
        <v/>
      </c>
      <c r="Q33" s="222" t="str">
        <f>IF(AND('BP4'!M40&gt;0,'BP4'!$A$5&gt;0),TEXT('BP4'!M40,"0.00")&amp;" cost-shared month"&amp;IF('BP4'!M40&gt;1,"s",)&amp;" (or "&amp;TEXT('BP4'!M40/'BP4'!G40/ROUNDUP('BP4'!M40/'BP4'!G40,0),"0%")&amp;" cost-shared effort"&amp;IF('BP4'!M40&gt;12," each","")&amp;")","")</f>
        <v/>
      </c>
      <c r="R33" s="222" t="str">
        <f>IF(AND('BP5'!M40&gt;0,'BP5'!$A$5&gt;0),TEXT('BP5'!M40,"0.00")&amp;" cost-shared month"&amp;IF('BP5'!M40&gt;1,"s",)&amp;" (or "&amp;TEXT('BP5'!M40/'BP5'!G40/ROUNDUP('BP5'!M40/'BP5'!G40,0),"0%")&amp;" cost-shared effort"&amp;IF('BP5'!M40&gt;12," each","")&amp;")","")</f>
        <v/>
      </c>
      <c r="S33" s="208" t="str">
        <f>IF(AND('BP1'!$K$5=2,I33&lt;&gt;J33),"Note: Effort changes in the outyears!","")&amp;IF(AND('BP1'!$K$5=3,OR(I33&lt;&gt;J33,I33&lt;&gt;K33,J33&lt;&gt;K33)),"Note: Effort changes in the outyears!","")&amp;IF(AND('BP1'!$K$5=4,OR(I33&lt;&gt;J33,I33&lt;&gt;K33,I33&lt;&gt;L33,J33&lt;&gt;K33,J33&lt;&gt;L33,K33&lt;&gt;L33)),"Note: Effort changes in the outyears!","")&amp;IF(AND('BP1'!$K$5=5,OR(I33&lt;&gt;J33,I33&lt;&gt;K33,I33&lt;&gt;L33,I33&lt;&gt;M33,J33&lt;&gt;K33,J33&lt;&gt;L33,J33&lt;&gt;M33,K33&lt;&gt;L33,K33&lt;&gt;M33,L33&lt;&gt;M33)),"Note: Effort changes in the outyears!","")</f>
        <v/>
      </c>
      <c r="T33" s="208" t="str">
        <f>IF(AND('BP1'!$K$5=2,N33&lt;&gt;O33),"Note: Effort changes in the outyears!","")&amp;IF(AND('BP1'!$K$5=3,OR(N33&lt;&gt;O33,N33&lt;&gt;P33,O33&lt;&gt;P33)),"Note: Effort changes in the outyears!","")&amp;IF(AND('BP1'!$K$5=4,OR(N33&lt;&gt;O33,N33&lt;&gt;P33,N33&lt;&gt;Q33,O33&lt;&gt;P33,O33&lt;&gt;Q33,P33&lt;&gt;Q33)),"Note: Effort changes in the outyears!","")&amp;IF(AND('BP1'!$K$5=5,OR(N33&lt;&gt;O33,N33&lt;&gt;P33,N33&lt;&gt;Q33,N33&lt;&gt;R33,O33&lt;&gt;P33,O33&lt;&gt;Q33,O33&lt;&gt;R33,P33&lt;&gt;Q33,P33&lt;&gt;R33,Q33&lt;&gt;R33)),"Note: Effort changes in the outyears!","")</f>
        <v/>
      </c>
      <c r="U33" s="597" t="str">
        <f t="shared" ca="1" si="1"/>
        <v>Blank</v>
      </c>
    </row>
    <row r="34" spans="1:30" ht="15" customHeight="1">
      <c r="A34" s="896"/>
      <c r="B34" s="896"/>
      <c r="C34" s="896"/>
      <c r="D34" s="896"/>
      <c r="E34" s="896"/>
      <c r="F34" s="896"/>
      <c r="G34" s="896"/>
      <c r="H34" s="896"/>
      <c r="I34" s="223"/>
      <c r="J34" s="223"/>
      <c r="K34" s="223"/>
      <c r="L34" s="223"/>
      <c r="M34" s="223"/>
      <c r="N34" s="223"/>
      <c r="O34" s="223"/>
      <c r="P34" s="223"/>
      <c r="Q34" s="223"/>
      <c r="R34" s="223"/>
      <c r="S34" s="208"/>
      <c r="T34" s="208"/>
      <c r="U34" s="597" t="str">
        <f ca="1">IF(A24="","Blank","Populate")</f>
        <v>Blank</v>
      </c>
    </row>
    <row r="35" spans="1:30" ht="15" customHeight="1">
      <c r="A35" s="897" t="str">
        <f ca="1">IF(OR('Cumulative Budget'!K42:K42&gt;0,'Cumulative Budget'!N42:N42&gt;0),"Employee Fringe Benefits:","")</f>
        <v/>
      </c>
      <c r="B35" s="897"/>
      <c r="C35" s="897"/>
      <c r="D35" s="897"/>
      <c r="E35" s="897"/>
      <c r="F35" s="897"/>
      <c r="G35" s="897"/>
      <c r="H35" s="897"/>
      <c r="I35" s="224"/>
      <c r="J35" s="224"/>
      <c r="K35" s="224"/>
      <c r="L35" s="224"/>
      <c r="M35" s="224"/>
      <c r="N35" s="224"/>
      <c r="O35" s="224"/>
      <c r="P35" s="224"/>
      <c r="Q35" s="224"/>
      <c r="R35" s="224"/>
      <c r="S35" s="208"/>
      <c r="T35" s="208"/>
      <c r="U35" s="597" t="str">
        <f ca="1">IF(A35="","Blank","Populate")</f>
        <v>Blank</v>
      </c>
    </row>
    <row r="36" spans="1:30" ht="15" customHeight="1">
      <c r="A36" s="895" t="str">
        <f ca="1">IF(OR('Cumulative Budget'!K42:K42&gt;0,'Cumulative Budget'!N42:N42&gt;0),IF('BP1'!K2="Federal","Employee benefits have been calculated based on the following DHHS-approved:","Employee benefits have been calculated based on the following proposed rates:"),"")</f>
        <v/>
      </c>
      <c r="B36" s="895"/>
      <c r="C36" s="895"/>
      <c r="D36" s="895"/>
      <c r="E36" s="895"/>
      <c r="F36" s="895"/>
      <c r="G36" s="895"/>
      <c r="H36" s="895"/>
      <c r="I36" s="222"/>
      <c r="J36" s="222"/>
      <c r="K36" s="222"/>
      <c r="L36" s="222"/>
      <c r="M36" s="222"/>
      <c r="N36" s="222"/>
      <c r="O36" s="222"/>
      <c r="P36" s="222"/>
      <c r="Q36" s="222"/>
      <c r="R36" s="222"/>
      <c r="S36" s="208"/>
      <c r="T36" s="208"/>
      <c r="U36" s="597" t="str">
        <f ca="1">IF(A35="","Blank","Populate")</f>
        <v>Blank</v>
      </c>
      <c r="W36" s="93"/>
    </row>
    <row r="37" spans="1:30" ht="15" customHeight="1">
      <c r="A37" s="898"/>
      <c r="B37" s="898"/>
      <c r="C37" s="895" t="str">
        <f ca="1">IF('Cumulative Budget'!K41-'Cumulative Budget'!K38-'Cumulative Budget'!K39-'Cumulative Budget'!K40&gt;0,"Faculty and Staff","")</f>
        <v/>
      </c>
      <c r="D37" s="895"/>
      <c r="E37" s="895" t="str">
        <f ca="1">IF('Cumulative Budget'!K38&gt;0,"Graduate Students","")</f>
        <v/>
      </c>
      <c r="F37" s="895"/>
      <c r="G37" s="895" t="str">
        <f ca="1">IF('Cumulative Budget'!K40&gt;0,"Other (Statutory)","")</f>
        <v/>
      </c>
      <c r="H37" s="895"/>
      <c r="I37" s="222"/>
      <c r="J37" s="222"/>
      <c r="K37" s="222"/>
      <c r="L37" s="222"/>
      <c r="M37" s="222"/>
      <c r="N37" s="222"/>
      <c r="O37" s="222"/>
      <c r="P37" s="222"/>
      <c r="Q37" s="222"/>
      <c r="R37" s="222"/>
      <c r="S37" s="208"/>
      <c r="T37" s="208"/>
      <c r="U37" s="597" t="str">
        <f ca="1">IF(AND(G37="",E37="", C37=""),"Blank","Populate")</f>
        <v>Blank</v>
      </c>
    </row>
    <row r="38" spans="1:30" ht="15" customHeight="1">
      <c r="A38" s="898" t="str">
        <f ca="1">IF(OR('Cumulative Budget'!K42:K42&gt;0,'Cumulative Budget'!N42:N42&gt;0),"9/1/15 - 8/31/16","")</f>
        <v/>
      </c>
      <c r="B38" s="898"/>
      <c r="C38" s="222" t="str">
        <f ca="1">IF(OR(('Cumulative Budget'!K42:K42-'Cumulative Budget'!L38:L38-'Cumulative Budget'!L40:L40)&gt;0,('Cumulative Budget'!N42:N42-'Cumulative Budget'!O38:O38-'Cumulative Budget'!O40:O40)&gt;0),IF('BP1'!K2="Non-Federal","27.20%","24.70%"),"")</f>
        <v/>
      </c>
      <c r="D38" s="222"/>
      <c r="E38" s="222" t="str">
        <f ca="1">IF(OR('Cumulative Budget'!K38&gt;0,'Cumulative Budget'!N38&gt;0),"2.30%","")</f>
        <v/>
      </c>
      <c r="F38" s="222"/>
      <c r="G38" s="222" t="str">
        <f ca="1">IF('Cumulative Budget'!K40&gt;0,"6.10%","")</f>
        <v/>
      </c>
      <c r="H38" s="222"/>
      <c r="I38" s="222"/>
      <c r="J38" s="222"/>
      <c r="K38" s="222"/>
      <c r="L38" s="222"/>
      <c r="M38" s="222"/>
      <c r="N38" s="222"/>
      <c r="O38" s="222"/>
      <c r="P38" s="222"/>
      <c r="Q38" s="222"/>
      <c r="R38" s="222"/>
      <c r="S38" s="208"/>
      <c r="T38" s="208"/>
      <c r="U38" s="597" t="str">
        <f ca="1">IF(AND(A35&lt;&gt;"",'Cumulative Budget'!K8&lt;=DATE(2016,8,31),'Cumulative Budget'!K10&gt;=DATE(2015,9,1)),"Populate","Blank")</f>
        <v>Blank</v>
      </c>
    </row>
    <row r="39" spans="1:30" ht="15" customHeight="1">
      <c r="A39" s="898" t="str">
        <f ca="1">IF(OR('Cumulative Budget'!K42:K42&gt;0,'Cumulative Budget'!N42:N42&gt;0),"9/1/16 - 8/31/17","")</f>
        <v/>
      </c>
      <c r="B39" s="898"/>
      <c r="C39" s="48" t="str">
        <f ca="1">IF(OR(('Cumulative Budget'!K42:K42-'Cumulative Budget'!L38:L38-'Cumulative Budget'!L40:L40)&gt;0,('Cumulative Budget'!N42:N42-'Cumulative Budget'!O38:O38-'Cumulative Budget'!O40:O40)&gt;0),IF('BP1'!K2="Non-Federal","27.20%","23.60%"),"")</f>
        <v/>
      </c>
      <c r="D39" s="104"/>
      <c r="E39" s="48" t="str">
        <f ca="1">IF(OR('Cumulative Budget'!K38&gt;0,'Cumulative Budget'!N38&gt;0),"2.60%","")</f>
        <v/>
      </c>
      <c r="F39" s="48"/>
      <c r="G39" s="104" t="str">
        <f ca="1">IF('Cumulative Budget'!K40&gt;0,"6.40%","")</f>
        <v/>
      </c>
      <c r="H39" s="48"/>
      <c r="I39" s="225"/>
      <c r="J39" s="225"/>
      <c r="K39" s="225"/>
      <c r="L39" s="225"/>
      <c r="M39" s="225"/>
      <c r="N39" s="225"/>
      <c r="O39" s="225"/>
      <c r="P39" s="225"/>
      <c r="Q39" s="225"/>
      <c r="R39" s="225"/>
      <c r="S39" s="208"/>
      <c r="T39" s="208"/>
      <c r="U39" s="597" t="str">
        <f ca="1">IF(AND(A35&lt;&gt;"",'Cumulative Budget'!K8&lt;=DATE(2017,8,31),'Cumulative Budget'!K10&gt;=DATE(2016,9,1)),"Populate","Blank")</f>
        <v>Blank</v>
      </c>
      <c r="AC39" s="540"/>
      <c r="AD39" s="541"/>
    </row>
    <row r="40" spans="1:30" ht="15" customHeight="1">
      <c r="A40" s="898" t="str">
        <f ca="1">IF(OR('Cumulative Budget'!K42:K42&gt;0,'Cumulative Budget'!N42:N42&gt;0),"9/1/17 - 8/31/18","")</f>
        <v/>
      </c>
      <c r="B40" s="898"/>
      <c r="C40" s="48" t="str">
        <f ca="1">IF(OR(('Cumulative Budget'!K42:K42-'Cumulative Budget'!L38:L38-'Cumulative Budget'!L40:L40)&gt;0,('Cumulative Budget'!N42:N42-'Cumulative Budget'!O38:O38-'Cumulative Budget'!O40:O40)&gt;0),IF('BP1'!K2="Non-Federal","27.40%","25.70%"),"")</f>
        <v/>
      </c>
      <c r="D40" s="104"/>
      <c r="E40" s="48" t="str">
        <f ca="1">IF(OR('Cumulative Budget'!K38&gt;0,'Cumulative Budget'!N38&gt;0),"2.80%","")</f>
        <v/>
      </c>
      <c r="F40" s="48"/>
      <c r="G40" s="104" t="str">
        <f ca="1">IF('Cumulative Budget'!K40&gt;0,"6.60%","")</f>
        <v/>
      </c>
      <c r="H40" s="48"/>
      <c r="I40" s="225"/>
      <c r="J40" s="225"/>
      <c r="K40" s="225"/>
      <c r="L40" s="225"/>
      <c r="M40" s="225"/>
      <c r="N40" s="225"/>
      <c r="O40" s="225"/>
      <c r="P40" s="225"/>
      <c r="Q40" s="225"/>
      <c r="R40" s="225"/>
      <c r="S40" s="208"/>
      <c r="T40" s="208"/>
      <c r="U40" s="597" t="str">
        <f ca="1">IF(AND(A35&lt;&gt;"",'Cumulative Budget'!K8&lt;=DATE(2018,8,31),'Cumulative Budget'!K10&gt;=DATE(2017,9,1)),"Populate","Blank")</f>
        <v>Blank</v>
      </c>
      <c r="AC40" s="540"/>
      <c r="AD40" s="541"/>
    </row>
    <row r="41" spans="1:30" ht="15" customHeight="1">
      <c r="A41" s="898" t="str">
        <f ca="1">IF(OR('Cumulative Budget'!K42:K42&gt;0,'Cumulative Budget'!N42:N42&gt;0),"9/1/18 - 8/31/19","")</f>
        <v/>
      </c>
      <c r="B41" s="898"/>
      <c r="C41" s="48" t="str">
        <f ca="1">IF(OR(('Cumulative Budget'!K42:K42-'Cumulative Budget'!L38:L38-'Cumulative Budget'!L40:L40)&gt;0,('Cumulative Budget'!N42:N42-'Cumulative Budget'!O38:O38-'Cumulative Budget'!O40:O40)&gt;0),IF('BP1'!K2="Non-Federal","28.20%","26.20%"),"")</f>
        <v/>
      </c>
      <c r="D41" s="104"/>
      <c r="E41" s="48" t="str">
        <f ca="1">IF(OR('Cumulative Budget'!K38&gt;0,'Cumulative Budget'!N38&gt;0),"2.60%","")</f>
        <v/>
      </c>
      <c r="F41" s="48"/>
      <c r="G41" s="104" t="str">
        <f ca="1">IF('Cumulative Budget'!K40&gt;0,"6.40%","")</f>
        <v/>
      </c>
      <c r="H41" s="48"/>
      <c r="I41" s="225"/>
      <c r="J41" s="225"/>
      <c r="K41" s="225"/>
      <c r="L41" s="225"/>
      <c r="M41" s="225"/>
      <c r="N41" s="225"/>
      <c r="O41" s="225"/>
      <c r="P41" s="225"/>
      <c r="Q41" s="225"/>
      <c r="R41" s="225"/>
      <c r="S41" s="208"/>
      <c r="T41" s="208"/>
      <c r="U41" s="597" t="str">
        <f ca="1">IF(AND(A35&lt;&gt;"",'Cumulative Budget'!K8&lt;=DATE(2019,8,31),'Cumulative Budget'!K10&gt;=DATE(2018,9,1)),"Populate","Blank")</f>
        <v>Blank</v>
      </c>
      <c r="AC41" s="540"/>
      <c r="AD41" s="541"/>
    </row>
    <row r="42" spans="1:30" ht="15" customHeight="1">
      <c r="A42" s="898" t="str">
        <f ca="1">IF(OR('Cumulative Budget'!K42:K42&gt;0,'Cumulative Budget'!N42:N42&gt;0),"9/1/19 - 8/31/20","")</f>
        <v/>
      </c>
      <c r="B42" s="898"/>
      <c r="C42" s="48" t="str">
        <f ca="1">IF(OR(('Cumulative Budget'!K42:K42-'Cumulative Budget'!L38:L38-'Cumulative Budget'!L40:L40)&gt;0,('Cumulative Budget'!N42:N42-'Cumulative Budget'!O38:O38-'Cumulative Budget'!O40:O40)&gt;0),IF('BP1'!K2="Non-Federal","28.60%","26.80%"),"")</f>
        <v/>
      </c>
      <c r="D42" s="104"/>
      <c r="E42" s="48" t="str">
        <f ca="1">IF(OR('Cumulative Budget'!K38&gt;0,'Cumulative Budget'!N38&gt;0),"2.60%","")</f>
        <v/>
      </c>
      <c r="F42" s="48"/>
      <c r="G42" s="104" t="str">
        <f ca="1">IF('Cumulative Budget'!K40&gt;0,"6.60%","")</f>
        <v/>
      </c>
      <c r="H42" s="48"/>
      <c r="I42" s="225"/>
      <c r="J42" s="225"/>
      <c r="K42" s="225"/>
      <c r="L42" s="225"/>
      <c r="M42" s="225"/>
      <c r="N42" s="225"/>
      <c r="O42" s="225"/>
      <c r="P42" s="225"/>
      <c r="Q42" s="225"/>
      <c r="R42" s="225"/>
      <c r="S42" s="208"/>
      <c r="T42" s="208"/>
      <c r="U42" s="597" t="str">
        <f ca="1">IF(AND(A35&lt;&gt;"",'Cumulative Budget'!K8&lt;=DATE(2020,8,31),'Cumulative Budget'!K10&gt;=DATE(2019,9,1)),"Populate","Blank")</f>
        <v>Blank</v>
      </c>
      <c r="AC42" s="540"/>
      <c r="AD42" s="541"/>
    </row>
    <row r="43" spans="1:30" ht="15" customHeight="1">
      <c r="A43" s="898" t="str">
        <f ca="1">IF(OR('Cumulative Budget'!K42:K42&gt;0,'Cumulative Budget'!N42:N42&gt;0),"9/1/20 - 8/31/21","")</f>
        <v/>
      </c>
      <c r="B43" s="898"/>
      <c r="C43" s="48" t="str">
        <f ca="1">IF(OR(('Cumulative Budget'!K42:K42-'Cumulative Budget'!L38:L38-'Cumulative Budget'!L40:L40)&gt;0,('Cumulative Budget'!N42:N42-'Cumulative Budget'!O38:O38-'Cumulative Budget'!O40:O40)&gt;0),IF('BP1'!K2="Non-Federal","27.20%","25.20%"),"")</f>
        <v/>
      </c>
      <c r="D43" s="104"/>
      <c r="E43" s="48" t="str">
        <f ca="1">IF(OR('Cumulative Budget'!K38&gt;0,'Cumulative Budget'!N38&gt;0),"2.00%","")</f>
        <v/>
      </c>
      <c r="F43" s="48"/>
      <c r="G43" s="104" t="str">
        <f ca="1">IF('Cumulative Budget'!K40&gt;0,"6.70%","")</f>
        <v/>
      </c>
      <c r="H43" s="48"/>
      <c r="I43" s="225"/>
      <c r="J43" s="225"/>
      <c r="K43" s="225"/>
      <c r="L43" s="225"/>
      <c r="M43" s="225"/>
      <c r="N43" s="225"/>
      <c r="O43" s="225"/>
      <c r="P43" s="225"/>
      <c r="Q43" s="225"/>
      <c r="R43" s="225"/>
      <c r="S43" s="208"/>
      <c r="T43" s="208"/>
      <c r="U43" s="597" t="str">
        <f ca="1">IF(AND(A35&lt;&gt;"",'Cumulative Budget'!K8&lt;=DATE(2021,8,31),'Cumulative Budget'!K10&gt;=DATE(2020,9,1)),"Populate","Blank")</f>
        <v>Blank</v>
      </c>
      <c r="AC43" s="540"/>
      <c r="AD43" s="541"/>
    </row>
    <row r="44" spans="1:30" ht="15" customHeight="1">
      <c r="A44" s="898" t="str">
        <f ca="1">IF(OR('Cumulative Budget'!K42:K42&gt;0,'Cumulative Budget'!N42:N42&gt;0),"9/1/21 - 8/31/22","")</f>
        <v/>
      </c>
      <c r="B44" s="898"/>
      <c r="C44" s="48" t="str">
        <f ca="1">IF(OR(('Cumulative Budget'!K42:K42-'Cumulative Budget'!L38:L38-'Cumulative Budget'!L40:L40)&gt;0,('Cumulative Budget'!N42:N42-'Cumulative Budget'!O38:O38-'Cumulative Budget'!O40:O40)&gt;0),IF('BP1'!K2="Non-Federal","26.50%","24.50%"),"")</f>
        <v/>
      </c>
      <c r="D44" s="104"/>
      <c r="E44" s="48" t="str">
        <f ca="1">IF(OR('Cumulative Budget'!K38&gt;0,'Cumulative Budget'!N38&gt;0),"2.60%","")</f>
        <v/>
      </c>
      <c r="F44" s="48"/>
      <c r="G44" s="104" t="str">
        <f ca="1">IF('Cumulative Budget'!K40&gt;0,"6.30%","")</f>
        <v/>
      </c>
      <c r="H44" s="48"/>
      <c r="I44" s="225"/>
      <c r="J44" s="225"/>
      <c r="K44" s="225"/>
      <c r="L44" s="225"/>
      <c r="M44" s="225"/>
      <c r="N44" s="225"/>
      <c r="O44" s="225"/>
      <c r="P44" s="225"/>
      <c r="Q44" s="225"/>
      <c r="R44" s="225"/>
      <c r="S44" s="208"/>
      <c r="T44" s="208"/>
      <c r="U44" s="597" t="str">
        <f ca="1">IF(AND(A35&lt;&gt;"",'Cumulative Budget'!K8&lt;=DATE(2022,8,31),'Cumulative Budget'!K10&gt;=DATE(2021,9,1)),"Populate","Blank")</f>
        <v>Blank</v>
      </c>
      <c r="AC44" s="540"/>
      <c r="AD44" s="541"/>
    </row>
    <row r="45" spans="1:30" ht="13.8">
      <c r="A45" s="895" t="str">
        <f ca="1">IF(OR('Cumulative Budget'!K42:K42&gt;0,'Cumulative Budget'!N42:N42&gt;0),"9/1/22 - 8/31/23","")</f>
        <v/>
      </c>
      <c r="B45" s="895"/>
      <c r="C45" s="48" t="str">
        <f ca="1">IF(OR(('Cumulative Budget'!K42:K42-'Cumulative Budget'!L38:L38-'Cumulative Budget'!L40:L40)&gt;0,('Cumulative Budget'!N42:N42-'Cumulative Budget'!O38:O38-'Cumulative Budget'!O40:O40)&gt;0),IF('BP1'!K2="Non-Federal","27.90%","26.00%"),"")</f>
        <v/>
      </c>
      <c r="D45" s="104"/>
      <c r="E45" s="48" t="str">
        <f ca="1">IF(OR('Cumulative Budget'!K38&gt;0,'Cumulative Budget'!N38&gt;0),"2.60%","")</f>
        <v/>
      </c>
      <c r="F45" s="48"/>
      <c r="G45" s="104" t="str">
        <f ca="1">IF('Cumulative Budget'!K40&gt;0,"6.10%","")</f>
        <v/>
      </c>
      <c r="H45" s="48"/>
      <c r="I45" s="225"/>
      <c r="J45" s="225"/>
      <c r="K45" s="225"/>
      <c r="L45" s="225"/>
      <c r="M45" s="225"/>
      <c r="N45" s="225"/>
      <c r="O45" s="225"/>
      <c r="P45" s="225"/>
      <c r="Q45" s="225"/>
      <c r="R45" s="225"/>
      <c r="S45" s="208"/>
      <c r="T45" s="208"/>
      <c r="U45" s="597" t="str">
        <f ca="1">IF(AND(A35&lt;&gt;"",'Cumulative Budget'!K8&lt;=DATE(2023,8,31),'Cumulative Budget'!K10&gt;=DATE(2022,9,1)),"Populate","Blank")</f>
        <v>Blank</v>
      </c>
    </row>
    <row r="46" spans="1:30" ht="13.8">
      <c r="A46" s="895" t="str">
        <f ca="1">IF(OR('Cumulative Budget'!K42:K42&gt;0,'Cumulative Budget'!N42:N42&gt;0),"9/1/23 - 8/31/24","")</f>
        <v/>
      </c>
      <c r="B46" s="895"/>
      <c r="C46" s="48" t="str">
        <f ca="1">IF(OR(('Cumulative Budget'!K42:K42-'Cumulative Budget'!L38:L38-'Cumulative Budget'!L40:L40)&gt;0,('Cumulative Budget'!N42:N42-'Cumulative Budget'!O38:O38-'Cumulative Budget'!O40:O40)&gt;0),IF('BP1'!K2="Non-Federal","29.30%","27.50%"),"")</f>
        <v/>
      </c>
      <c r="D46" s="104"/>
      <c r="E46" s="48" t="str">
        <f ca="1">IF(OR('Cumulative Budget'!K38&gt;0,'Cumulative Budget'!N38&gt;0),"2.60%","")</f>
        <v/>
      </c>
      <c r="F46" s="48"/>
      <c r="G46" s="104" t="str">
        <f ca="1">IF('Cumulative Budget'!K40&gt;0,"6.20%","")</f>
        <v/>
      </c>
      <c r="H46" s="48"/>
      <c r="I46" s="225"/>
      <c r="J46" s="225"/>
      <c r="K46" s="225"/>
      <c r="L46" s="225"/>
      <c r="M46" s="225"/>
      <c r="N46" s="225"/>
      <c r="O46" s="225"/>
      <c r="P46" s="225"/>
      <c r="Q46" s="225"/>
      <c r="R46" s="225"/>
      <c r="S46" s="208"/>
      <c r="T46" s="208"/>
      <c r="U46" s="597" t="str">
        <f ca="1">IF(AND(A35&lt;&gt;"",'Cumulative Budget'!K8&lt;=DATE(2024,8,31),'Cumulative Budget'!K10&gt;=DATE(2023,9,1)),"Populate","Blank")</f>
        <v>Blank</v>
      </c>
    </row>
    <row r="47" spans="1:30" ht="13.8">
      <c r="A47" s="895" t="str">
        <f ca="1">IF(OR('Cumulative Budget'!K42:K42&gt;0,'Cumulative Budget'!N42:N42&gt;0),"9/1/24 - 8/31/25","")</f>
        <v/>
      </c>
      <c r="B47" s="895"/>
      <c r="C47" s="48" t="str">
        <f ca="1">IF(OR(('Cumulative Budget'!K42:K42-'Cumulative Budget'!L38:L38-'Cumulative Budget'!L40:L40)&gt;0,('Cumulative Budget'!N42:N42-'Cumulative Budget'!O38:O38-'Cumulative Budget'!O40:O40)&gt;0),IF('BP1'!K2="Non-Federal","30.00%","28.10%"),"")</f>
        <v/>
      </c>
      <c r="D47" s="104"/>
      <c r="E47" s="48" t="str">
        <f ca="1">IF(OR('Cumulative Budget'!K38&gt;0,'Cumulative Budget'!N38&gt;0),"2.60%","")</f>
        <v/>
      </c>
      <c r="F47" s="48"/>
      <c r="G47" s="104" t="str">
        <f ca="1">IF('Cumulative Budget'!K40&gt;0,"6.10%","")</f>
        <v/>
      </c>
      <c r="H47" s="48"/>
      <c r="I47" s="225"/>
      <c r="J47" s="225"/>
      <c r="K47" s="225"/>
      <c r="L47" s="225"/>
      <c r="M47" s="225"/>
      <c r="N47" s="225"/>
      <c r="O47" s="225"/>
      <c r="P47" s="225"/>
      <c r="Q47" s="225"/>
      <c r="R47" s="225"/>
      <c r="S47" s="208"/>
      <c r="T47" s="208"/>
      <c r="U47" s="597" t="str">
        <f ca="1">IF(AND(A35&lt;&gt;"",'Cumulative Budget'!K8&lt;=DATE(2025,8,31),'Cumulative Budget'!K10&gt;=DATE(2024,9,1)),"Populate","Blank")</f>
        <v>Blank</v>
      </c>
    </row>
    <row r="48" spans="1:30" ht="30" customHeight="1">
      <c r="A48" s="895" t="str">
        <f ca="1">IF(OR('Cumulative Budget'!K42:K42&gt;0,'Cumulative Budget'!N42:N42&gt;0),"9/1/25 - 8/31/26 and thereafter","")</f>
        <v/>
      </c>
      <c r="B48" s="895"/>
      <c r="C48" s="48" t="str">
        <f ca="1">IF(OR(('Cumulative Budget'!K42:K42-'Cumulative Budget'!L38:L38-'Cumulative Budget'!L40:L40)&gt;0,('Cumulative Budget'!N42:N42-'Cumulative Budget'!O38:O38-'Cumulative Budget'!O40:O40)&gt;0),IF('BP1'!K2="Non-Federal","32.60%","28.10%"),"")</f>
        <v/>
      </c>
      <c r="D48" s="104" t="str">
        <f ca="1">IF(OR(('Cumulative Budget'!K42:K42-'Cumulative Budget'!L38:L38-'Cumulative Budget'!L40:L40)&gt;0,('Cumulative Budget'!N42:N42-'Cumulative Budget'!O38:O38-'Cumulative Budget'!O40:O40)&gt;0),IF('BP1'!K2="Federal","(provisional)","(proposed)"),"")</f>
        <v/>
      </c>
      <c r="E48" s="48" t="str">
        <f ca="1">IF(OR('Cumulative Budget'!K38&gt;0,'Cumulative Budget'!N38&gt;0),IF('BP1'!K2="Federal","2.60%","10.00%"),"")</f>
        <v/>
      </c>
      <c r="F48" s="48" t="str">
        <f ca="1">IF('Cumulative Budget'!K38&gt;0,IF('BP1'!K2="Federal","(provisional)","(proposed)"),"")</f>
        <v/>
      </c>
      <c r="G48" s="104" t="str">
        <f ca="1">IF('Cumulative Budget'!K40&gt;0,IF('BP1'!K2="Federal","6.10%","6.50%"),"")</f>
        <v/>
      </c>
      <c r="H48" s="48" t="str">
        <f ca="1">IF('Cumulative Budget'!K40&gt;0,IF('BP1'!K2="Federal","(provisional)","(proposed)"),"")</f>
        <v/>
      </c>
      <c r="I48" s="225"/>
      <c r="J48" s="225"/>
      <c r="K48" s="225"/>
      <c r="L48" s="225"/>
      <c r="M48" s="225"/>
      <c r="N48" s="225"/>
      <c r="O48" s="225"/>
      <c r="P48" s="225"/>
      <c r="Q48" s="225"/>
      <c r="R48" s="225"/>
      <c r="S48" s="208"/>
      <c r="T48" s="208"/>
      <c r="U48" s="597" t="str">
        <f ca="1">IF(AND(A35&lt;&gt;"",'Cumulative Budget'!K10&gt;=DATE(2025,9,1)),"Populate","Blank")</f>
        <v>Blank</v>
      </c>
    </row>
    <row r="49" spans="1:21" ht="15" customHeight="1">
      <c r="A49" s="896"/>
      <c r="B49" s="896"/>
      <c r="C49" s="896"/>
      <c r="D49" s="896"/>
      <c r="E49" s="896"/>
      <c r="F49" s="896"/>
      <c r="G49" s="896"/>
      <c r="H49" s="896"/>
      <c r="I49" s="223"/>
      <c r="J49" s="223"/>
      <c r="K49" s="223"/>
      <c r="L49" s="223"/>
      <c r="M49" s="223"/>
      <c r="N49" s="223"/>
      <c r="O49" s="223"/>
      <c r="P49" s="223"/>
      <c r="Q49" s="223"/>
      <c r="R49" s="223"/>
      <c r="S49" s="208"/>
      <c r="T49" s="208"/>
      <c r="U49" s="597" t="str">
        <f ca="1">IF(A35="","Blank","Populate")</f>
        <v>Blank</v>
      </c>
    </row>
    <row r="50" spans="1:21" ht="15" customHeight="1">
      <c r="A50" s="897" t="str">
        <f>IF(OR('Cumulative Budget'!K50:K50&gt;0,'Cumulative Budget'!N50:N50&gt;0),"Equipment:","")</f>
        <v/>
      </c>
      <c r="B50" s="897"/>
      <c r="C50" s="897"/>
      <c r="D50" s="897"/>
      <c r="E50" s="897"/>
      <c r="F50" s="897"/>
      <c r="G50" s="897"/>
      <c r="H50" s="897"/>
      <c r="I50" s="224"/>
      <c r="J50" s="224"/>
      <c r="K50" s="224"/>
      <c r="L50" s="224"/>
      <c r="M50" s="224"/>
      <c r="N50" s="224"/>
      <c r="O50" s="224"/>
      <c r="P50" s="224"/>
      <c r="Q50" s="224"/>
      <c r="R50" s="224"/>
      <c r="S50" s="208"/>
      <c r="T50" s="208"/>
      <c r="U50" s="597" t="str">
        <f>IF(A50="","Blank","Populate")</f>
        <v>Blank</v>
      </c>
    </row>
    <row r="51" spans="1:21" ht="30" customHeight="1">
      <c r="A51" s="895" t="str">
        <f>IF(OR('Cumulative Budget'!K50&gt;0,'Cumulative Budget'!N50&gt;0),"Support is requested for the following items of capital equipment: "&amp;IF('BP1'!B45&gt;0,'BP1'!B45,"")&amp;IF('BP1'!B46&gt;0,"; "&amp;'BP1'!B46,"")&amp;IF('BP1'!B47&gt;0,"; "&amp;'BP1'!B47,"")&amp;IF('BP1'!B48&gt;0,"; "&amp;'BP1'!B48,"") &amp;IF('BP1'!B49&gt;0,"; "&amp;'BP1'!B49,"")&amp;IF('BP2'!B45&gt;0,"; "&amp;'BP2'!B45,"")&amp;IF('BP2'!B46&gt;0,"; "&amp;'BP2'!B46,"")&amp;IF('BP2'!B47&gt;0,"; "&amp;'BP2'!B47,"")&amp;IF('BP2'!B48&gt;0,"; "&amp;'BP2'!B48,"")&amp;IF('BP2'!B49&gt;0,"; "&amp;'BP2'!B49,"")&amp;IF('BP3'!B45&gt;0,"; "&amp;'BP3'!B45,"")&amp;IF('BP3'!B46&gt;0,"; "&amp;'BP3'!B46,"")&amp;IF('BP3'!B47&gt;0,"; "&amp;'BP3'!B47,"")&amp;IF('BP3'!B48&gt;0,"; "&amp;'BP3'!B48,"")&amp;IF('BP3'!B49&gt;0,"; "&amp;'BP3'!B49,"")&amp;IF('BP4'!B45&gt;0,"; "&amp;'BP4'!B45,"")&amp;IF('BP4'!B46&gt;0,"; "&amp;'BP4'!B46,"")&amp;IF('BP4'!B47&gt;0,"; "&amp;'BP4'!B47,"")&amp;IF('BP4'!B48&gt;0,"; "&amp;'BP4'!B48,"")&amp;IF('BP4'!B49&gt;0,"; "&amp;'BP4'!B49,"")&amp;IF('BP5'!B45&gt;0,"; "&amp;'BP5'!B45,"")&amp;IF('BP5'!B46&gt;0,"; "&amp;'BP5'!B46,"")&amp;IF('BP5'!B47&gt;0,"; "&amp;'BP5'!B47,"")&amp;IF('BP5'!B48&gt;0,"; "&amp;'BP5'!B48,"")&amp;IF('BP5'!B49&gt;0,"; "&amp;'BP5'!B49,"")&amp;". "&amp;'BP1'!P45,"")</f>
        <v/>
      </c>
      <c r="B51" s="895"/>
      <c r="C51" s="895"/>
      <c r="D51" s="895"/>
      <c r="E51" s="895"/>
      <c r="F51" s="895"/>
      <c r="G51" s="895"/>
      <c r="H51" s="895"/>
      <c r="I51" s="222">
        <f>IF('BP1'!$K$5&gt;0,IF('BP1'!K50&gt;0,'BP1'!K50,0),0)</f>
        <v>0</v>
      </c>
      <c r="J51" s="222">
        <f>IF('BP1'!$K$5&gt;1,IF('BP2'!K50&gt;0,'BP2'!K50,0),0)</f>
        <v>0</v>
      </c>
      <c r="K51" s="222">
        <f>IF('BP1'!$K$5&gt;2,IF('BP3'!K50&gt;0,'BP3'!K50,0),0)</f>
        <v>0</v>
      </c>
      <c r="L51" s="222">
        <f>IF('BP1'!$K$5&gt;3,IF('BP4'!K50&gt;0,'BP4'!K50,0),0)</f>
        <v>0</v>
      </c>
      <c r="M51" s="222">
        <f>IF('BP1'!$K$5&gt;4,IF('BP5'!K50&gt;0,'BP5'!K50,0),0)</f>
        <v>0</v>
      </c>
      <c r="N51" s="222">
        <f>IF('BP1'!$K$5&gt;0,IF('BP1'!N50&gt;0,'BP1'!N50,0),0)</f>
        <v>0</v>
      </c>
      <c r="O51" s="222">
        <f>IF('BP1'!$K$5&gt;0,IF('BP2'!N50&gt;0,'BP2'!N50,0),0)</f>
        <v>0</v>
      </c>
      <c r="P51" s="222">
        <f>IF('BP1'!$K$5&gt;0,IF('BP3'!N50&gt;0,'BP3'!N50,0),0)</f>
        <v>0</v>
      </c>
      <c r="Q51" s="222">
        <f>IF('BP1'!$K$5&gt;0,IF('BP4'!N50&gt;0,'BP4'!N50,0),0)</f>
        <v>0</v>
      </c>
      <c r="R51" s="222">
        <f>IF('BP1'!$K$5&gt;0,IF('BP5'!N50&gt;0,'BP5'!N50,0),0)</f>
        <v>0</v>
      </c>
      <c r="S51" s="208" t="str">
        <f>IF(AND('BP1'!$K$5=2,I51&lt;&gt;J51),"Note: Funds change in the outyears!","")&amp;IF(AND('BP1'!$K$5=3,OR(I51&lt;&gt;J51,I51&lt;&gt;K51,J51&lt;&gt;K51)),"Note: Funds change in the outyears!","")&amp;IF(AND('BP1'!$K$5=4,OR(I51&lt;&gt;J51,I51&lt;&gt;K51,I51&lt;&gt;L51,J51&lt;&gt;K51,J51&lt;&gt;L51,K51&lt;&gt;L51)),"Note: Funds change in the outyears!","")&amp;IF(AND('BP1'!$K$5=5,OR(I51&lt;&gt;J51,I51&lt;&gt;K51,I51&lt;&gt;L51,I51&lt;&gt;M51,J51&lt;&gt;K51,J51&lt;&gt;L51,J51&lt;&gt;M51,K51&lt;&gt;L51,K51&lt;&gt;M51,L51&lt;&gt;M51)),"Note: Funds change in the outyears!","")</f>
        <v/>
      </c>
      <c r="T51" s="208" t="str">
        <f>IF(AND('BP1'!$K$5=2,N51&lt;&gt;O51),"Note: Funds change in the outyears!","")&amp;IF(AND('BP1'!$K$5=3,OR(N51&lt;&gt;O51,N51&lt;&gt;P51,O51&lt;&gt;P51)),"Note: Funds change in the outyears!","")&amp;IF(AND('BP1'!$K$5=4,OR(N51&lt;&gt;O51,N51&lt;&gt;P51,N51&lt;&gt;Q51,O51&lt;&gt;P51,O51&lt;&gt;Q51,P51&lt;&gt;Q51)),"Note: Funds change in the outyears!","")&amp;IF(AND('BP1'!$K$5=5,OR(N51&lt;&gt;O51,N51&lt;&gt;P51,N51&lt;&gt;Q51,N51&lt;&gt;R51,O51&lt;&gt;P51,O51&lt;&gt;Q51,O51&lt;&gt;R51,P51&lt;&gt;Q51,P51&lt;&gt;R51,Q51&lt;&gt;R51)),"Note: Funds change in the outyears!","")</f>
        <v/>
      </c>
      <c r="U51" s="597" t="str">
        <f>IF(A51="","Blank","Populate")</f>
        <v>Blank</v>
      </c>
    </row>
    <row r="52" spans="1:21" ht="15" customHeight="1">
      <c r="A52" s="896"/>
      <c r="B52" s="896"/>
      <c r="C52" s="896"/>
      <c r="D52" s="896"/>
      <c r="E52" s="896"/>
      <c r="F52" s="896"/>
      <c r="G52" s="896"/>
      <c r="H52" s="896"/>
      <c r="I52" s="223"/>
      <c r="J52" s="223"/>
      <c r="K52" s="223"/>
      <c r="L52" s="223"/>
      <c r="M52" s="223"/>
      <c r="N52" s="223"/>
      <c r="O52" s="223"/>
      <c r="P52" s="223"/>
      <c r="Q52" s="223"/>
      <c r="R52" s="223"/>
      <c r="S52" s="208"/>
      <c r="T52" s="208"/>
      <c r="U52" s="597" t="str">
        <f>IF(A50="","Blank","Populate")</f>
        <v>Blank</v>
      </c>
    </row>
    <row r="53" spans="1:21" ht="15" customHeight="1">
      <c r="A53" s="897" t="str">
        <f>IF(OR('Cumulative Budget'!K53:K53&gt;0,'Cumulative Budget'!N53:N53&gt;0),"Travel:","")</f>
        <v/>
      </c>
      <c r="B53" s="897"/>
      <c r="C53" s="897"/>
      <c r="D53" s="897"/>
      <c r="E53" s="897"/>
      <c r="F53" s="897"/>
      <c r="G53" s="897"/>
      <c r="H53" s="897"/>
      <c r="I53" s="224"/>
      <c r="J53" s="224"/>
      <c r="K53" s="224"/>
      <c r="L53" s="224"/>
      <c r="M53" s="224"/>
      <c r="N53" s="224"/>
      <c r="O53" s="224"/>
      <c r="P53" s="224"/>
      <c r="Q53" s="224"/>
      <c r="R53" s="224"/>
      <c r="S53" s="208"/>
      <c r="T53" s="208"/>
      <c r="U53" s="597" t="str">
        <f>IF(A53="","Blank","Populate")</f>
        <v>Blank</v>
      </c>
    </row>
    <row r="54" spans="1:21" ht="45" customHeight="1">
      <c r="A54" s="895" t="str">
        <f>IF(OR('Cumulative Budget'!K53&gt;0,'Cumulative Budget'!N53&gt;0),"Support is requested to cover the cost of transportation, accommodation, and subsistence for "&amp;IF('Cumulative Budget'!K51+'Cumulative Budget'!N51&gt;0,"domestic travel","")&amp;IF(AND('Cumulative Budget'!K51+'Cumulative Budget'!N51&gt;0,'Cumulative Budget'!K52+'Cumulative Budget'!N52&gt;0)," and ","")&amp;IF('Cumulative Budget'!K52+'Cumulative Budget'!N52&gt;0,"foreign travel","")&amp;". "&amp;'BP1'!P53&amp;"
M&amp;IE is charged at 75% on the first and last days of travel per Northwestern policy.","")</f>
        <v/>
      </c>
      <c r="B54" s="895"/>
      <c r="C54" s="895"/>
      <c r="D54" s="895"/>
      <c r="E54" s="895"/>
      <c r="F54" s="895"/>
      <c r="G54" s="895"/>
      <c r="H54" s="895"/>
      <c r="I54" s="222">
        <f>IF('BP1'!$K$5&gt;0,IF('BP1'!K53&gt;0,'BP1'!K53,0),0)</f>
        <v>0</v>
      </c>
      <c r="J54" s="222">
        <f>IF('BP1'!$K$5&gt;1,IF('BP2'!K53&gt;0,'BP2'!K53,0),0)</f>
        <v>0</v>
      </c>
      <c r="K54" s="222">
        <f>IF('BP1'!$K$5&gt;2,IF('BP3'!K53&gt;0,'BP3'!K53,0),0)</f>
        <v>0</v>
      </c>
      <c r="L54" s="222">
        <f>IF('BP1'!$K$5&gt;3,IF('BP4'!K53&gt;0,'BP4'!K53,0),0)</f>
        <v>0</v>
      </c>
      <c r="M54" s="222">
        <f>IF('BP1'!$K$5&gt;4,IF('BP5'!K53&gt;0,'BP5'!K53,0),0)</f>
        <v>0</v>
      </c>
      <c r="N54" s="222">
        <f>IF('BP1'!$K$5&gt;0,IF('BP1'!N53&gt;0,'BP1'!N53,0),0)</f>
        <v>0</v>
      </c>
      <c r="O54" s="222">
        <f>IF('BP1'!$K$5&gt;0,IF('BP2'!N53&gt;0,'BP2'!N53,0),0)</f>
        <v>0</v>
      </c>
      <c r="P54" s="222">
        <f>IF('BP1'!$K$5&gt;0,IF('BP3'!N53&gt;0,'BP3'!N53,0),0)</f>
        <v>0</v>
      </c>
      <c r="Q54" s="222">
        <f>IF('BP1'!$K$5&gt;0,IF('BP4'!N53&gt;0,'BP4'!N53,0),0)</f>
        <v>0</v>
      </c>
      <c r="R54" s="222">
        <f>IF('BP1'!$K$5&gt;0,IF('BP5'!N53&gt;0,'BP5'!N53,0),0)</f>
        <v>0</v>
      </c>
      <c r="S54" s="208" t="str">
        <f>IF(AND('BP1'!$K$5=2,I54&lt;&gt;J54),"Note: Funds change in the outyears!","")&amp;IF(AND('BP1'!$K$5=3,OR(I54&lt;&gt;J54,I54&lt;&gt;K54,J54&lt;&gt;K54)),"Note: Funds change in the outyears!","")&amp;IF(AND('BP1'!$K$5=4,OR(I54&lt;&gt;J54,I54&lt;&gt;K54,I54&lt;&gt;L54,J54&lt;&gt;K54,J54&lt;&gt;L54,K54&lt;&gt;L54)),"Note: Funds change in the outyears!","")&amp;IF(AND('BP1'!$K$5=5,OR(I54&lt;&gt;J54,I54&lt;&gt;K54,I54&lt;&gt;L54,I54&lt;&gt;M54,J54&lt;&gt;K54,J54&lt;&gt;L54,J54&lt;&gt;M54,K54&lt;&gt;L54,K54&lt;&gt;M54,L54&lt;&gt;M54)),"Note: Funds change in the outyears!","")</f>
        <v/>
      </c>
      <c r="T54" s="208" t="str">
        <f>IF(AND('BP1'!$K$5=2,N54&lt;&gt;O54),"Note: Funds changes in the outyears!","")&amp;IF(AND('BP1'!$K$5=3,OR(N54&lt;&gt;O54,N54&lt;&gt;P54,O54&lt;&gt;P54)),"Note: Funds changes in the outyears!","")&amp;IF(AND('BP1'!$K$5=4,OR(N54&lt;&gt;O54,N54&lt;&gt;P54,N54&lt;&gt;Q54,O54&lt;&gt;P54,O54&lt;&gt;Q54,P54&lt;&gt;Q54)),"Note: Funds changes in the outyears!","")&amp;IF(AND('BP1'!$K$5=5,OR(N54&lt;&gt;O54,N54&lt;&gt;P54,N54&lt;&gt;Q54,N54&lt;&gt;R54,O54&lt;&gt;P54,O54&lt;&gt;Q54,O54&lt;&gt;R54,P54&lt;&gt;Q54,P54&lt;&gt;R54,Q54&lt;&gt;R54)),"Note: Funds changes in the outyears!","")</f>
        <v/>
      </c>
      <c r="U54" s="597" t="str">
        <f>IF(A54="","Blank","Populate")</f>
        <v>Blank</v>
      </c>
    </row>
    <row r="55" spans="1:21" ht="15" customHeight="1">
      <c r="A55" s="896"/>
      <c r="B55" s="896"/>
      <c r="C55" s="896"/>
      <c r="D55" s="896"/>
      <c r="E55" s="896"/>
      <c r="F55" s="896"/>
      <c r="G55" s="896"/>
      <c r="H55" s="896"/>
      <c r="I55" s="223"/>
      <c r="J55" s="223"/>
      <c r="K55" s="223"/>
      <c r="L55" s="223"/>
      <c r="M55" s="223"/>
      <c r="N55" s="223"/>
      <c r="O55" s="223"/>
      <c r="P55" s="223"/>
      <c r="Q55" s="223"/>
      <c r="R55" s="223"/>
      <c r="S55" s="208"/>
      <c r="T55" s="208"/>
      <c r="U55" s="597" t="str">
        <f>IF(A53="","Blank","Populate")</f>
        <v>Blank</v>
      </c>
    </row>
    <row r="56" spans="1:21" ht="15" customHeight="1">
      <c r="A56" s="897" t="str">
        <f>IF(OR('Cumulative Budget'!K74:K74&gt;0,'Cumulative Budget'!N74:N74&gt;0),"Other Direct Costs:","")</f>
        <v/>
      </c>
      <c r="B56" s="897"/>
      <c r="C56" s="897"/>
      <c r="D56" s="897"/>
      <c r="E56" s="897"/>
      <c r="F56" s="897"/>
      <c r="G56" s="897"/>
      <c r="H56" s="897"/>
      <c r="I56" s="224"/>
      <c r="J56" s="224"/>
      <c r="K56" s="224"/>
      <c r="L56" s="224"/>
      <c r="M56" s="224"/>
      <c r="N56" s="224"/>
      <c r="O56" s="224"/>
      <c r="P56" s="224"/>
      <c r="Q56" s="224"/>
      <c r="R56" s="224"/>
      <c r="S56" s="208"/>
      <c r="T56" s="208"/>
      <c r="U56" s="597" t="str">
        <f>IF(A56="","Blank","Populate")</f>
        <v>Blank</v>
      </c>
    </row>
    <row r="57" spans="1:21" ht="30" customHeight="1">
      <c r="A57" s="895" t="str">
        <f>IF(OR('Cumulative Budget'!K55&gt;0,'Cumulative Budget'!N55&gt;0),"Materials and Supplies: Support is requested to cover expendable materials and supplies costs. "&amp;'BP1'!P55,"")</f>
        <v/>
      </c>
      <c r="B57" s="895"/>
      <c r="C57" s="895"/>
      <c r="D57" s="895"/>
      <c r="E57" s="895"/>
      <c r="F57" s="895"/>
      <c r="G57" s="895"/>
      <c r="H57" s="895"/>
      <c r="I57" s="222">
        <f>IF('BP1'!$K$5&gt;0,IF('BP1'!K55&gt;0,'BP1'!K55,0),0)</f>
        <v>0</v>
      </c>
      <c r="J57" s="222">
        <f>IF('BP1'!$K$5&gt;1,IF('BP2'!K55&gt;0,'BP2'!K55,0),0)</f>
        <v>0</v>
      </c>
      <c r="K57" s="222">
        <f>IF('BP1'!$K$5&gt;2,IF('BP3'!K55&gt;0,'BP3'!K55,0),0)</f>
        <v>0</v>
      </c>
      <c r="L57" s="222">
        <f>IF('BP1'!$K$5&gt;3,IF('BP4'!K55&gt;0,'BP4'!K55,0),0)</f>
        <v>0</v>
      </c>
      <c r="M57" s="222">
        <f>IF('BP1'!$K$5&gt;4,IF('BP5'!K55&gt;0,'BP5'!K55,0),0)</f>
        <v>0</v>
      </c>
      <c r="N57" s="222">
        <f>IF('BP1'!$K$5&gt;0,IF('BP1'!N55&gt;0,'BP1'!N55,0),0)</f>
        <v>0</v>
      </c>
      <c r="O57" s="222">
        <f>IF('BP1'!$K$5&gt;0,IF('BP2'!N55&gt;0,'BP2'!N55,0),0)</f>
        <v>0</v>
      </c>
      <c r="P57" s="222">
        <f>IF('BP1'!$K$5&gt;0,IF('BP3'!N55&gt;0,'BP3'!N55,0),0)</f>
        <v>0</v>
      </c>
      <c r="Q57" s="222">
        <f>IF('BP1'!$K$5&gt;0,IF('BP4'!N55&gt;0,'BP4'!N55,0),0)</f>
        <v>0</v>
      </c>
      <c r="R57" s="222">
        <f>IF('BP1'!$K$5&gt;0,IF('BP5'!N55&gt;0,'BP5'!N55,0),0)</f>
        <v>0</v>
      </c>
      <c r="S57" s="208" t="str">
        <f>IF(AND('BP1'!$K$5=2,I57&lt;&gt;J57),"Note: Funds change in the outyears!","")&amp;IF(AND('BP1'!$K$5=3,OR(I57&lt;&gt;J57,I57&lt;&gt;K57,J57&lt;&gt;K57)),"Note: Funds change in the outyears!","")&amp;IF(AND('BP1'!$K$5=4,OR(I57&lt;&gt;J57,I57&lt;&gt;K57,I57&lt;&gt;L57,J57&lt;&gt;K57,J57&lt;&gt;L57,K57&lt;&gt;L57)),"Note: Funds change in the outyears!","")&amp;IF(AND('BP1'!$K$5=5,OR(I57&lt;&gt;J57,I57&lt;&gt;K57,I57&lt;&gt;L57,I57&lt;&gt;M57,J57&lt;&gt;K57,J57&lt;&gt;L57,J57&lt;&gt;M57,K57&lt;&gt;L57,K57&lt;&gt;M57,L57&lt;&gt;M57)),"Note: Funds change in the outyears!","")</f>
        <v/>
      </c>
      <c r="T57" s="208" t="str">
        <f>IF(AND('BP1'!$K$5=2,N57&lt;&gt;O57),"Note: Funds changes in the outyears!","")&amp;IF(AND('BP1'!$K$5=3,OR(N57&lt;&gt;O57,N57&lt;&gt;P57,O57&lt;&gt;P57)),"Note: Funds changes in the outyears!","")&amp;IF(AND('BP1'!$K$5=4,OR(N57&lt;&gt;O57,N57&lt;&gt;P57,N57&lt;&gt;Q57,O57&lt;&gt;P57,O57&lt;&gt;Q57,P57&lt;&gt;Q57)),"Note: Funds changes in the outyears!","")&amp;IF(AND('BP1'!$K$5=5,OR(N57&lt;&gt;O57,N57&lt;&gt;P57,N57&lt;&gt;Q57,N57&lt;&gt;R57,O57&lt;&gt;P57,O57&lt;&gt;Q57,O57&lt;&gt;R57,P57&lt;&gt;Q57,P57&lt;&gt;R57,Q57&lt;&gt;R57)),"Note: Funds changes in the outyears!","")</f>
        <v/>
      </c>
      <c r="U57" s="597" t="str">
        <f>IF(A57="","Blank","Populate")</f>
        <v>Blank</v>
      </c>
    </row>
    <row r="58" spans="1:21" ht="15" customHeight="1">
      <c r="A58" s="896"/>
      <c r="B58" s="896"/>
      <c r="C58" s="896"/>
      <c r="D58" s="896"/>
      <c r="E58" s="896"/>
      <c r="F58" s="896"/>
      <c r="G58" s="896"/>
      <c r="H58" s="896"/>
      <c r="I58" s="223"/>
      <c r="J58" s="223"/>
      <c r="K58" s="223"/>
      <c r="L58" s="223"/>
      <c r="M58" s="223"/>
      <c r="N58" s="223"/>
      <c r="O58" s="223"/>
      <c r="P58" s="223"/>
      <c r="Q58" s="223"/>
      <c r="R58" s="223"/>
      <c r="S58" s="208"/>
      <c r="T58" s="208"/>
      <c r="U58" s="597" t="str">
        <f>IF(A57="","Blank","Populate")</f>
        <v>Blank</v>
      </c>
    </row>
    <row r="59" spans="1:21" ht="30" customHeight="1">
      <c r="A59" s="895" t="str">
        <f>IF(OR('Cumulative Budget'!K56&gt;0,'Cumulative Budget'!N56&gt;0),"Publication Costs: Support is requested to cover the costs of publications. "&amp;'BP1'!P56,"")</f>
        <v/>
      </c>
      <c r="B59" s="895"/>
      <c r="C59" s="895"/>
      <c r="D59" s="895"/>
      <c r="E59" s="895"/>
      <c r="F59" s="895"/>
      <c r="G59" s="895"/>
      <c r="H59" s="895"/>
      <c r="I59" s="222">
        <f>IF('BP1'!$K$5&gt;0,IF('BP1'!K56&gt;0,'BP1'!K56,0),0)</f>
        <v>0</v>
      </c>
      <c r="J59" s="222">
        <f>IF('BP1'!$K$5&gt;1,IF('BP2'!K56&gt;0,'BP2'!K56,0),0)</f>
        <v>0</v>
      </c>
      <c r="K59" s="222">
        <f>IF('BP1'!$K$5&gt;2,IF('BP3'!K56&gt;0,'BP3'!K56,0),0)</f>
        <v>0</v>
      </c>
      <c r="L59" s="222">
        <f>IF('BP1'!$K$5&gt;3,IF('BP4'!K56&gt;0,'BP4'!K56,0),0)</f>
        <v>0</v>
      </c>
      <c r="M59" s="222">
        <f>IF('BP1'!$K$5&gt;4,IF('BP5'!K56&gt;0,'BP5'!K56,0),0)</f>
        <v>0</v>
      </c>
      <c r="N59" s="222">
        <f>IF('BP1'!$K$5&gt;0,IF('BP1'!N56&gt;0,'BP1'!N56,0),0)</f>
        <v>0</v>
      </c>
      <c r="O59" s="222">
        <f>IF('BP1'!$K$5&gt;0,IF('BP2'!N56&gt;0,'BP2'!N56,0),0)</f>
        <v>0</v>
      </c>
      <c r="P59" s="222">
        <f>IF('BP1'!$K$5&gt;0,IF('BP3'!N56&gt;0,'BP3'!N56,0),0)</f>
        <v>0</v>
      </c>
      <c r="Q59" s="222">
        <f>IF('BP1'!$K$5&gt;0,IF('BP4'!N56&gt;0,'BP4'!N56,0),0)</f>
        <v>0</v>
      </c>
      <c r="R59" s="222">
        <f>IF('BP1'!$K$5&gt;0,IF('BP5'!N56&gt;0,'BP5'!N56,0),0)</f>
        <v>0</v>
      </c>
      <c r="S59" s="208" t="str">
        <f>IF(AND('BP1'!$K$5=2,I59&lt;&gt;J59),"Note: Funds change in the outyears!","")&amp;IF(AND('BP1'!$K$5=3,OR(I59&lt;&gt;J59,I59&lt;&gt;K59,J59&lt;&gt;K59)),"Note: Funds change in the outyears!","")&amp;IF(AND('BP1'!$K$5=4,OR(I59&lt;&gt;J59,I59&lt;&gt;K59,I59&lt;&gt;L59,J59&lt;&gt;K59,J59&lt;&gt;L59,K59&lt;&gt;L59)),"Note: Funds change in the outyears!","")&amp;IF(AND('BP1'!$K$5=5,OR(I59&lt;&gt;J59,I59&lt;&gt;K59,I59&lt;&gt;L59,I59&lt;&gt;M59,J59&lt;&gt;K59,J59&lt;&gt;L59,J59&lt;&gt;M59,K59&lt;&gt;L59,K59&lt;&gt;M59,L59&lt;&gt;M59)),"Note: Funds change in the outyears!","")</f>
        <v/>
      </c>
      <c r="T59" s="208" t="str">
        <f>IF(AND('BP1'!$K$5=2,N59&lt;&gt;O59),"Note: Funds changes in the outyears!","")&amp;IF(AND('BP1'!$K$5=3,OR(N59&lt;&gt;O59,N59&lt;&gt;P59,O59&lt;&gt;P59)),"Note: Funds changes in the outyears!","")&amp;IF(AND('BP1'!$K$5=4,OR(N59&lt;&gt;O59,N59&lt;&gt;P59,N59&lt;&gt;Q59,O59&lt;&gt;P59,O59&lt;&gt;Q59,P59&lt;&gt;Q59)),"Note: Funds changes in the outyears!","")&amp;IF(AND('BP1'!$K$5=5,OR(N59&lt;&gt;O59,N59&lt;&gt;P59,N59&lt;&gt;Q59,N59&lt;&gt;R59,O59&lt;&gt;P59,O59&lt;&gt;Q59,O59&lt;&gt;R59,P59&lt;&gt;Q59,P59&lt;&gt;R59,Q59&lt;&gt;R59)),"Note: Funds changes in the outyears!","")</f>
        <v/>
      </c>
      <c r="U59" s="597" t="str">
        <f>IF(A59="","Blank","Populate")</f>
        <v>Blank</v>
      </c>
    </row>
    <row r="60" spans="1:21" ht="15" customHeight="1">
      <c r="A60" s="896"/>
      <c r="B60" s="896"/>
      <c r="C60" s="896"/>
      <c r="D60" s="896"/>
      <c r="E60" s="896"/>
      <c r="F60" s="896"/>
      <c r="G60" s="896"/>
      <c r="H60" s="896"/>
      <c r="I60" s="223"/>
      <c r="J60" s="223"/>
      <c r="K60" s="223"/>
      <c r="L60" s="223"/>
      <c r="M60" s="223"/>
      <c r="N60" s="223"/>
      <c r="O60" s="223"/>
      <c r="P60" s="223"/>
      <c r="Q60" s="223"/>
      <c r="R60" s="223"/>
      <c r="S60" s="208"/>
      <c r="T60" s="208"/>
      <c r="U60" s="597" t="str">
        <f>IF(A59="","Blank","Populate")</f>
        <v>Blank</v>
      </c>
    </row>
    <row r="61" spans="1:21" ht="30" customHeight="1">
      <c r="A61" s="895" t="str">
        <f>IF(OR('Cumulative Budget'!K57&gt;0,'Cumulative Budget'!N57&gt;0),"Consultant Services: Support is requested for consultant services. "&amp;'BP1'!P57,"")</f>
        <v/>
      </c>
      <c r="B61" s="895"/>
      <c r="C61" s="895"/>
      <c r="D61" s="895"/>
      <c r="E61" s="895"/>
      <c r="F61" s="895"/>
      <c r="G61" s="895"/>
      <c r="H61" s="895"/>
      <c r="I61" s="222">
        <f>IF('BP1'!$K$5&gt;0,IF('BP1'!K57&gt;0,'BP1'!K57,0),0)</f>
        <v>0</v>
      </c>
      <c r="J61" s="222">
        <f>IF('BP1'!$K$5&gt;1,IF('BP2'!K57&gt;0,'BP2'!K57,0),0)</f>
        <v>0</v>
      </c>
      <c r="K61" s="222">
        <f>IF('BP1'!$K$5&gt;2,IF('BP3'!K57&gt;0,'BP3'!K57,0),0)</f>
        <v>0</v>
      </c>
      <c r="L61" s="222">
        <f>IF('BP1'!$K$5&gt;3,IF('BP4'!K57&gt;0,'BP4'!K57,0),0)</f>
        <v>0</v>
      </c>
      <c r="M61" s="222">
        <f>IF('BP1'!$K$5&gt;4,IF('BP5'!K57&gt;0,'BP5'!K57,0),0)</f>
        <v>0</v>
      </c>
      <c r="N61" s="222">
        <f>IF('BP1'!$K$5&gt;0,IF('BP1'!N57&gt;0,'BP1'!N57,0),0)</f>
        <v>0</v>
      </c>
      <c r="O61" s="222">
        <f>IF('BP1'!$K$5&gt;0,IF('BP2'!N57&gt;0,'BP2'!N57,0),0)</f>
        <v>0</v>
      </c>
      <c r="P61" s="222">
        <f>IF('BP1'!$K$5&gt;0,IF('BP3'!N57&gt;0,'BP3'!N57,0),0)</f>
        <v>0</v>
      </c>
      <c r="Q61" s="222">
        <f>IF('BP1'!$K$5&gt;0,IF('BP4'!N57&gt;0,'BP4'!N57,0),0)</f>
        <v>0</v>
      </c>
      <c r="R61" s="222">
        <f>IF('BP1'!$K$5&gt;0,IF('BP5'!N57&gt;0,'BP5'!N57,0),0)</f>
        <v>0</v>
      </c>
      <c r="S61" s="208" t="str">
        <f>IF(AND('BP1'!$K$5=2,I61&lt;&gt;J61),"Note: Funds change in the outyears!","")&amp;IF(AND('BP1'!$K$5=3,OR(I61&lt;&gt;J61,I61&lt;&gt;K61,J61&lt;&gt;K61)),"Note: Funds change in the outyears!","")&amp;IF(AND('BP1'!$K$5=4,OR(I61&lt;&gt;J61,I61&lt;&gt;K61,I61&lt;&gt;L61,J61&lt;&gt;K61,J61&lt;&gt;L61,K61&lt;&gt;L61)),"Note: Funds change in the outyears!","")&amp;IF(AND('BP1'!$K$5=5,OR(I61&lt;&gt;J61,I61&lt;&gt;K61,I61&lt;&gt;L61,I61&lt;&gt;M61,J61&lt;&gt;K61,J61&lt;&gt;L61,J61&lt;&gt;M61,K61&lt;&gt;L61,K61&lt;&gt;M61,L61&lt;&gt;M61)),"Note: Funds change in the outyears!","")</f>
        <v/>
      </c>
      <c r="T61" s="208" t="str">
        <f>IF(AND('BP1'!$K$5=2,N61&lt;&gt;O61),"Note: Funds changes in the outyears!","")&amp;IF(AND('BP1'!$K$5=3,OR(N61&lt;&gt;O61,N61&lt;&gt;P61,O61&lt;&gt;P61)),"Note: Funds changes in the outyears!","")&amp;IF(AND('BP1'!$K$5=4,OR(N61&lt;&gt;O61,N61&lt;&gt;P61,N61&lt;&gt;Q61,O61&lt;&gt;P61,O61&lt;&gt;Q61,P61&lt;&gt;Q61)),"Note: Funds changes in the outyears!","")&amp;IF(AND('BP1'!$K$5=5,OR(N61&lt;&gt;O61,N61&lt;&gt;P61,N61&lt;&gt;Q61,N61&lt;&gt;R61,O61&lt;&gt;P61,O61&lt;&gt;Q61,O61&lt;&gt;R61,P61&lt;&gt;Q61,P61&lt;&gt;R61,Q61&lt;&gt;R61)),"Note: Funds changes in the outyears!","")</f>
        <v/>
      </c>
      <c r="U61" s="597" t="str">
        <f>IF(A61="","Blank","Populate")</f>
        <v>Blank</v>
      </c>
    </row>
    <row r="62" spans="1:21" ht="15" customHeight="1">
      <c r="A62" s="896"/>
      <c r="B62" s="896"/>
      <c r="C62" s="896"/>
      <c r="D62" s="896"/>
      <c r="E62" s="896"/>
      <c r="F62" s="896"/>
      <c r="G62" s="896"/>
      <c r="H62" s="896"/>
      <c r="I62" s="223"/>
      <c r="J62" s="223"/>
      <c r="K62" s="223"/>
      <c r="L62" s="223"/>
      <c r="M62" s="223"/>
      <c r="N62" s="223"/>
      <c r="O62" s="223"/>
      <c r="P62" s="223"/>
      <c r="Q62" s="223"/>
      <c r="R62" s="223"/>
      <c r="S62" s="208"/>
      <c r="T62" s="208"/>
      <c r="U62" s="597" t="str">
        <f>IF(A61="","Blank","Populate")</f>
        <v>Blank</v>
      </c>
    </row>
    <row r="63" spans="1:21" ht="30" customHeight="1">
      <c r="A63" s="895" t="str">
        <f>IF(OR('Cumulative Budget'!K58&gt;0,'Cumulative Budget'!N58&gt;0),"Computer Services: Support is requested for computer services. "&amp;'BP1'!P58,"")</f>
        <v/>
      </c>
      <c r="B63" s="895"/>
      <c r="C63" s="895"/>
      <c r="D63" s="895"/>
      <c r="E63" s="895"/>
      <c r="F63" s="895"/>
      <c r="G63" s="895"/>
      <c r="H63" s="895"/>
      <c r="I63" s="222">
        <f>IF('BP1'!$K$5&gt;0,IF('BP1'!K58&gt;0,'BP1'!K58,0),0)</f>
        <v>0</v>
      </c>
      <c r="J63" s="222">
        <f>IF('BP1'!$K$5&gt;1,IF('BP2'!K58&gt;0,'BP2'!K58,0),0)</f>
        <v>0</v>
      </c>
      <c r="K63" s="222">
        <f>IF('BP1'!$K$5&gt;2,IF('BP3'!K58&gt;0,'BP3'!K58,0),0)</f>
        <v>0</v>
      </c>
      <c r="L63" s="222">
        <f>IF('BP1'!$K$5&gt;3,IF('BP4'!K58&gt;0,'BP4'!K58,0),0)</f>
        <v>0</v>
      </c>
      <c r="M63" s="222">
        <f>IF('BP1'!$K$5&gt;4,IF('BP5'!K58&gt;0,'BP5'!K58,0),0)</f>
        <v>0</v>
      </c>
      <c r="N63" s="222">
        <f>IF('BP1'!$K$5&gt;0,IF('BP1'!N58&gt;0,'BP1'!N58,0),0)</f>
        <v>0</v>
      </c>
      <c r="O63" s="222">
        <f>IF('BP1'!$K$5&gt;0,IF('BP2'!N58&gt;0,'BP2'!N58,0),0)</f>
        <v>0</v>
      </c>
      <c r="P63" s="222">
        <f>IF('BP1'!$K$5&gt;0,IF('BP3'!N58&gt;0,'BP3'!N58,0),0)</f>
        <v>0</v>
      </c>
      <c r="Q63" s="222">
        <f>IF('BP1'!$K$5&gt;0,IF('BP4'!N58&gt;0,'BP4'!N58,0),0)</f>
        <v>0</v>
      </c>
      <c r="R63" s="222">
        <f>IF('BP1'!$K$5&gt;0,IF('BP5'!N58&gt;0,'BP5'!N58,0),0)</f>
        <v>0</v>
      </c>
      <c r="S63" s="208" t="str">
        <f>IF(AND('BP1'!$K$5=2,I63&lt;&gt;J63),"Note: Funds change in the outyears!","")&amp;IF(AND('BP1'!$K$5=3,OR(I63&lt;&gt;J63,I63&lt;&gt;K63,J63&lt;&gt;K63)),"Note: Funds change in the outyears!","")&amp;IF(AND('BP1'!$K$5=4,OR(I63&lt;&gt;J63,I63&lt;&gt;K63,I63&lt;&gt;L63,J63&lt;&gt;K63,J63&lt;&gt;L63,K63&lt;&gt;L63)),"Note: Funds change in the outyears!","")&amp;IF(AND('BP1'!$K$5=5,OR(I63&lt;&gt;J63,I63&lt;&gt;K63,I63&lt;&gt;L63,I63&lt;&gt;M63,J63&lt;&gt;K63,J63&lt;&gt;L63,J63&lt;&gt;M63,K63&lt;&gt;L63,K63&lt;&gt;M63,L63&lt;&gt;M63)),"Note: Funds change in the outyears!","")</f>
        <v/>
      </c>
      <c r="T63" s="208" t="str">
        <f>IF(AND('BP1'!$K$5=2,N63&lt;&gt;O63),"Note: Funds changes in the outyears!","")&amp;IF(AND('BP1'!$K$5=3,OR(N63&lt;&gt;O63,N63&lt;&gt;P63,O63&lt;&gt;P63)),"Note: Funds changes in the outyears!","")&amp;IF(AND('BP1'!$K$5=4,OR(N63&lt;&gt;O63,N63&lt;&gt;P63,N63&lt;&gt;Q63,O63&lt;&gt;P63,O63&lt;&gt;Q63,P63&lt;&gt;Q63)),"Note: Funds changes in the outyears!","")&amp;IF(AND('BP1'!$K$5=5,OR(N63&lt;&gt;O63,N63&lt;&gt;P63,N63&lt;&gt;Q63,N63&lt;&gt;R63,O63&lt;&gt;P63,O63&lt;&gt;Q63,O63&lt;&gt;R63,P63&lt;&gt;Q63,P63&lt;&gt;R63,Q63&lt;&gt;R63)),"Note: Funds changes in the outyears!","")</f>
        <v/>
      </c>
      <c r="U63" s="597" t="str">
        <f>IF(A63="","Blank","Populate")</f>
        <v>Blank</v>
      </c>
    </row>
    <row r="64" spans="1:21" ht="15" customHeight="1">
      <c r="A64" s="896"/>
      <c r="B64" s="896"/>
      <c r="C64" s="896"/>
      <c r="D64" s="896"/>
      <c r="E64" s="896"/>
      <c r="F64" s="896"/>
      <c r="G64" s="896"/>
      <c r="H64" s="896"/>
      <c r="I64" s="223"/>
      <c r="J64" s="223"/>
      <c r="K64" s="223"/>
      <c r="L64" s="223"/>
      <c r="M64" s="223"/>
      <c r="N64" s="223"/>
      <c r="O64" s="223"/>
      <c r="P64" s="223"/>
      <c r="Q64" s="223"/>
      <c r="R64" s="223"/>
      <c r="S64" s="208"/>
      <c r="T64" s="208"/>
      <c r="U64" s="597" t="str">
        <f>IF(A63="","Blank","Populate")</f>
        <v>Blank</v>
      </c>
    </row>
    <row r="65" spans="1:21" ht="30" customHeight="1">
      <c r="A65" s="895" t="str">
        <f>IF(OR('Cumulative Budget'!K59&gt;0,'Cumulative Budget'!N59&gt;0),"Tuition: Support is requested to cover the cost of graduate student tuition. Tuition is inflated 5% each University fiscal year starting in September.","")</f>
        <v/>
      </c>
      <c r="B65" s="895"/>
      <c r="C65" s="895"/>
      <c r="D65" s="895"/>
      <c r="E65" s="895"/>
      <c r="F65" s="895"/>
      <c r="G65" s="895"/>
      <c r="H65" s="895"/>
      <c r="I65" s="222">
        <f>IF('BP1'!$K$5&gt;0,IF('BP1'!K59&gt;0,1,0),0)</f>
        <v>0</v>
      </c>
      <c r="J65" s="222">
        <f>IF('BP1'!$K$5&gt;1,IF('BP2'!K59&gt;0,1,0),0)</f>
        <v>0</v>
      </c>
      <c r="K65" s="222">
        <f>IF('BP1'!$K$5&gt;2,IF('BP3'!K59&gt;0,1,0),0)</f>
        <v>0</v>
      </c>
      <c r="L65" s="222">
        <f>IF('BP1'!$K$5&gt;3,IF('BP4'!K59&gt;0,1,0),0)</f>
        <v>0</v>
      </c>
      <c r="M65" s="222">
        <f>IF('BP1'!$K$5&gt;4,IF('BP5'!K59&gt;0,1,0),0)</f>
        <v>0</v>
      </c>
      <c r="N65" s="222">
        <f>IF('BP1'!$K$5&gt;0,IF('BP1'!N59&gt;0,1,0),0)</f>
        <v>0</v>
      </c>
      <c r="O65" s="222">
        <f>IF('BP1'!$K$5&gt;1,IF('BP2'!N59&gt;0,1,0),0)</f>
        <v>0</v>
      </c>
      <c r="P65" s="222">
        <f>IF('BP1'!$K$5&gt;2,IF('BP3'!N59&gt;0,1,0),0)</f>
        <v>0</v>
      </c>
      <c r="Q65" s="222">
        <f>IF('BP1'!$K$5&gt;3,IF('BP4'!N59&gt;0,1,0),0)</f>
        <v>0</v>
      </c>
      <c r="R65" s="222">
        <f>IF('BP1'!$K$5&gt;4,IF('BP5'!N59&gt;0,1,0),0)</f>
        <v>0</v>
      </c>
      <c r="S65" s="208" t="str">
        <f>IF(AND('BP1'!$K$5=2,I65&lt;&gt;J65),"Note: Students not requested in all years!","")&amp;IF(AND('BP1'!$K$5=3,OR(I65&lt;&gt;J65,I65&lt;&gt;K65,J65&lt;&gt;K65)),"Note: Students not requested in all years!","")&amp;IF(AND('BP1'!$K$5=4,OR(I65&lt;&gt;J65,I65&lt;&gt;K65,I65&lt;&gt;L65,J65&lt;&gt;K65,J65&lt;&gt;L65,K65&lt;&gt;L65)),"Note: Students not requested in all years!","")&amp;IF(AND('BP1'!$K$5=5,OR(I65&lt;&gt;J65,I65&lt;&gt;K65,I65&lt;&gt;L65,I65&lt;&gt;M65,J65&lt;&gt;K65,J65&lt;&gt;L65,J65&lt;&gt;M65,K65&lt;&gt;L65,K65&lt;&gt;M65,L65&lt;&gt;M65)),"Note: Students not requested in all years!","")</f>
        <v/>
      </c>
      <c r="T65" s="208" t="str">
        <f>IF(AND('BP1'!$K$5=2,N65&lt;&gt;O65),"Note: Funds changes in the outyears!","")&amp;IF(AND('BP1'!$K$5=3,OR(N65&lt;&gt;O65,N65&lt;&gt;P65,O65&lt;&gt;P65)),"Note: Funds changes in the outyears!","")&amp;IF(AND('BP1'!$K$5=4,OR(N65&lt;&gt;O65,N65&lt;&gt;P65,N65&lt;&gt;Q65,O65&lt;&gt;P65,O65&lt;&gt;Q65,P65&lt;&gt;Q65)),"Note: Funds changes in the outyears!","")&amp;IF(AND('BP1'!$K$5=5,OR(N65&lt;&gt;O65,N65&lt;&gt;P65,N65&lt;&gt;Q65,N65&lt;&gt;R65,O65&lt;&gt;P65,O65&lt;&gt;Q65,O65&lt;&gt;R65,P65&lt;&gt;Q65,P65&lt;&gt;R65,Q65&lt;&gt;R65)),"Note: Funds changes in the outyears!","")</f>
        <v/>
      </c>
      <c r="U65" s="597" t="str">
        <f>IF(A65="","Blank","Populate")</f>
        <v>Blank</v>
      </c>
    </row>
    <row r="66" spans="1:21" ht="15" customHeight="1">
      <c r="A66" s="896"/>
      <c r="B66" s="896"/>
      <c r="C66" s="896"/>
      <c r="D66" s="896"/>
      <c r="E66" s="896"/>
      <c r="F66" s="896"/>
      <c r="G66" s="896"/>
      <c r="H66" s="896"/>
      <c r="I66" s="223"/>
      <c r="J66" s="223"/>
      <c r="K66" s="223"/>
      <c r="L66" s="223"/>
      <c r="M66" s="223"/>
      <c r="N66" s="223"/>
      <c r="O66" s="223"/>
      <c r="P66" s="223"/>
      <c r="Q66" s="223"/>
      <c r="R66" s="223"/>
      <c r="S66" s="208"/>
      <c r="T66" s="208"/>
      <c r="U66" s="597" t="str">
        <f>IF(A65="","Blank","Populate")</f>
        <v>Blank</v>
      </c>
    </row>
    <row r="67" spans="1:21" ht="30" customHeight="1">
      <c r="A67" s="895" t="str">
        <f>IF(OR('Cumulative Budget'!K60+'Cumulative Budget'!K61&gt;0,'Cumulative Budget'!N60+'Cumulative Budget'!N61&gt;0),"Other: Support is requested to cover other direct costs. "&amp;'BP1'!P60,"")</f>
        <v/>
      </c>
      <c r="B67" s="895"/>
      <c r="C67" s="895"/>
      <c r="D67" s="895"/>
      <c r="E67" s="895"/>
      <c r="F67" s="895"/>
      <c r="G67" s="895"/>
      <c r="H67" s="895"/>
      <c r="I67" s="222">
        <f>IF('BP1'!$K$5&gt;0,IF('BP1'!K60+'BP1'!K61&gt;0,'BP1'!K60+'BP1'!K61,0),0)</f>
        <v>0</v>
      </c>
      <c r="J67" s="222">
        <f>IF('BP1'!$K$5&gt;1,IF('BP2'!K60+'BP2'!K61&gt;0,'BP2'!K60+'BP2'!K61,0),0)</f>
        <v>0</v>
      </c>
      <c r="K67" s="222">
        <f>IF('BP1'!$K$5&gt;2,IF('BP3'!K60+'BP3'!K61&gt;0,'BP3'!K60+'BP3'!K61,0),0)</f>
        <v>0</v>
      </c>
      <c r="L67" s="222">
        <f>IF('BP1'!$K$5&gt;3,IF('BP4'!K60+'BP4'!K61&gt;0,'BP4'!K60+'BP4'!K61,0),0)</f>
        <v>0</v>
      </c>
      <c r="M67" s="222">
        <f>IF('BP1'!$K$5&gt;4,IF('BP5'!K60+'BP5'!K61&gt;0,'BP5'!K60+'BP5'!K61,0),0)</f>
        <v>0</v>
      </c>
      <c r="N67" s="222">
        <f>IF('BP1'!$K$5&gt;0,IF('BP1'!N60+'BP1'!N61&gt;0,'BP1'!N60+'BP1'!N61,0),0)</f>
        <v>0</v>
      </c>
      <c r="O67" s="222">
        <f>IF('BP1'!$K$5&gt;1,IF('BP2'!N60+'BP2'!N61&gt;0,'BP2'!N60+'BP2'!N61,0),0)</f>
        <v>0</v>
      </c>
      <c r="P67" s="222">
        <f>IF('BP1'!$K$5&gt;2,IF('BP3'!N60+'BP3'!N61&gt;0,'BP3'!N60+'BP3'!N61,0),0)</f>
        <v>0</v>
      </c>
      <c r="Q67" s="222">
        <f>IF('BP1'!$K$5&gt;3,IF('BP4'!N60+'BP4'!N61&gt;0,'BP4'!N60+'BP4'!N61,0),0)</f>
        <v>0</v>
      </c>
      <c r="R67" s="222">
        <f>IF('BP1'!$K$5&gt;4,IF('BP5'!N60+'BP5'!N61&gt;0,'BP5'!N60+'BP5'!N61,0),0)</f>
        <v>0</v>
      </c>
      <c r="S67" s="208" t="str">
        <f>IF(AND('BP1'!$K$5=2,I67&lt;&gt;J67),"Note: Funds change in the outyears!","")&amp;IF(AND('BP1'!$K$5=3,OR(I67&lt;&gt;J67,I67&lt;&gt;K67,J67&lt;&gt;K67)),"Note: Funds change in the outyears!","")&amp;IF(AND('BP1'!$K$5=4,OR(I67&lt;&gt;J67,I67&lt;&gt;K67,I67&lt;&gt;L67,J67&lt;&gt;K67,J67&lt;&gt;L67,K67&lt;&gt;L67)),"Note: Funds change in the outyears!","")&amp;IF(AND('BP1'!$K$5=5,OR(I67&lt;&gt;J67,I67&lt;&gt;K67,I67&lt;&gt;L67,I67&lt;&gt;M67,J67&lt;&gt;K67,J67&lt;&gt;L67,J67&lt;&gt;M67,K67&lt;&gt;L67,K67&lt;&gt;M67,L67&lt;&gt;M67)),"Note: Funds change in the outyears!","")</f>
        <v/>
      </c>
      <c r="T67" s="208" t="str">
        <f>IF(AND('BP1'!$K$5=2,N67&lt;&gt;O67),"Note: Funds changes in the outyears!","")&amp;IF(AND('BP1'!$K$5=3,OR(N67&lt;&gt;O67,N67&lt;&gt;P67,O67&lt;&gt;P67)),"Note: Funds changes in the outyears!","")&amp;IF(AND('BP1'!$K$5=4,OR(N67&lt;&gt;O67,N67&lt;&gt;P67,N67&lt;&gt;Q67,O67&lt;&gt;P67,O67&lt;&gt;Q67,P67&lt;&gt;Q67)),"Note: Funds changes in the outyears!","")&amp;IF(AND('BP1'!$K$5=5,OR(N67&lt;&gt;O67,N67&lt;&gt;P67,N67&lt;&gt;Q67,N67&lt;&gt;R67,O67&lt;&gt;P67,O67&lt;&gt;Q67,O67&lt;&gt;R67,P67&lt;&gt;Q67,P67&lt;&gt;R67,Q67&lt;&gt;R67)),"Note: Funds changes in the outyears!","")</f>
        <v/>
      </c>
      <c r="U67" s="597" t="str">
        <f>IF(A67="","Blank","Populate")</f>
        <v>Blank</v>
      </c>
    </row>
    <row r="68" spans="1:21" ht="15" customHeight="1">
      <c r="A68" s="896"/>
      <c r="B68" s="896"/>
      <c r="C68" s="896"/>
      <c r="D68" s="896"/>
      <c r="E68" s="896"/>
      <c r="F68" s="896"/>
      <c r="G68" s="896"/>
      <c r="H68" s="896"/>
      <c r="I68" s="223"/>
      <c r="J68" s="223"/>
      <c r="K68" s="223"/>
      <c r="L68" s="223"/>
      <c r="M68" s="223"/>
      <c r="N68" s="223"/>
      <c r="O68" s="223"/>
      <c r="P68" s="223"/>
      <c r="Q68" s="223"/>
      <c r="R68" s="223"/>
      <c r="S68" s="208"/>
      <c r="T68" s="208"/>
      <c r="U68" s="597" t="str">
        <f>IF(A67="","Blank","Populate")</f>
        <v>Blank</v>
      </c>
    </row>
    <row r="69" spans="1:21" ht="60" customHeight="1">
      <c r="A69" s="895" t="str">
        <f>IF(SUM('Cumulative Budget'!K62:'Cumulative Budget'!K73)&gt;0,"Subaward"&amp;IF(SUM('Cumulative Budget'!K63:'Cumulative Budget'!K73)&gt;0,"s","")&amp;": Support is requested for "&amp;IF(SUM('Cumulative Budget'!K63:'Cumulative Budget'!K73)&gt;0,"the following subawards: ","a subaward at ")&amp;IF('Cumulative Budget'!K62&gt;0,'BP1'!G62&amp;", led by SubK PI "&amp;'BP1'!P62&amp;". "&amp;'BP1'!R62,"")&amp;IF('Cumulative Budget'!K63&gt;0,"; "&amp;'BP1'!G63&amp;", led by SubK PI "&amp;'BP1'!P63&amp;". "&amp;'BP1'!R63,"")&amp;IF('Cumulative Budget'!K64&gt;0,"; "&amp;'BP1'!G64&amp;", led by SubK PI "&amp;'BP1'!P64&amp;". "&amp;'BP1'!R64,"")&amp;IF('Cumulative Budget'!K65&gt;0,"; "&amp;'BP1'!G65&amp;", led by SubK PI "&amp;'BP1'!P65&amp;". "&amp;'BP1'!R65,"")&amp;IF('Cumulative Budget'!K66&gt;0,"; "&amp;'BP1'!G66&amp;", led by SubK PI "&amp;'BP1'!P66&amp;". "&amp;'BP1'!R66,"")&amp;IF('Cumulative Budget'!K67&gt;0,"; "&amp;'BP1'!G67&amp;", led by SubK PI "&amp;'BP1'!P67&amp;". "&amp;'BP1'!R67,""&amp;IF('Cumulative Budget'!K68&gt;0,"; "&amp;'BP1'!G68&amp;", led by SubK PI "&amp;'BP1'!P68&amp;". "&amp;'BP1'!R68,""))&amp;IF('Cumulative Budget'!K69&gt;0,"; "&amp;'BP1'!G69&amp;", led by SubK PI "&amp;'BP1'!P69&amp;". "&amp;'BP1'!R69,"")&amp;IF('Cumulative Budget'!K70&gt;0,"; "&amp;'BP1'!G70&amp;", led by SubK PI "&amp;'BP1'!P70&amp;". "&amp;'BP1'!R70,"")&amp;IF('Cumulative Budget'!K71&gt;0,"; "&amp;'BP1'!G71&amp;", led by SubK PI "&amp;'BP1'!P71&amp;". "&amp;'BP1'!R71&amp;IF(ISBLANK('BP1'!R71),," "),"")&amp;IF('Cumulative Budget'!K72&gt;0,"; "&amp;'BP1'!G72&amp;", led by SubK PI "&amp;'BP1'!P72&amp;". "&amp;'BP1'!R72,"")&amp;IF('Cumulative Budget'!K73&gt;0,"; "&amp;'BP1'!G73&amp;", led by SubK PI "&amp;'BP1'!P73&amp;". "&amp;'BP1'!R73,"")&amp;IF('BP1'!K3="MTDC",IF(SUM('Cumulative Budget'!K62:'Cumulative Budget'!K73)&gt;0,". F&amp;A only accrues on the first $25,000 of each subaward.",""),""),"")</f>
        <v/>
      </c>
      <c r="B69" s="895"/>
      <c r="C69" s="895"/>
      <c r="D69" s="895"/>
      <c r="E69" s="895"/>
      <c r="F69" s="895"/>
      <c r="G69" s="895"/>
      <c r="H69" s="895"/>
      <c r="I69" s="222">
        <f>IF('BP1'!$K$5&gt;0,IF(SUM('BP1'!K62:'BP1'!K73)&gt;0,SUM('BP1'!K62:'BP1'!K73),0),0)</f>
        <v>0</v>
      </c>
      <c r="J69" s="222">
        <f>IF('BP1'!$K$5&gt;1,IF(SUM('BP2'!K62:'BP2'!K73)&gt;0,SUM('BP2'!K62:'BP2'!K73),0),0)</f>
        <v>0</v>
      </c>
      <c r="K69" s="222">
        <f>IF('BP1'!$K$5&gt;2,IF(SUM('BP3'!K62:'BP3'!K73)&gt;0,SUM('BP3'!K62:'BP3'!K73),0),0)</f>
        <v>0</v>
      </c>
      <c r="L69" s="222">
        <f>IF('BP1'!$K$5&gt;3,IF(SUM('BP4'!K62:'BP4'!K73)&gt;0,SUM('BP4'!K62:'BP4'!K73),0),0)</f>
        <v>0</v>
      </c>
      <c r="M69" s="222">
        <f>IF('BP1'!$K$5&gt;4,IF(SUM('BP5'!K62:'BP5'!K73)&gt;0,SUM('BP5'!K62:'BP5'!K73),0),0)</f>
        <v>0</v>
      </c>
      <c r="N69" s="222">
        <f>IF('BP1'!$K$5&gt;0,IF(SUM('BP1'!N62:'BP1'!N73)&gt;0,SUM('BP1'!N62:'BP1'!N73),0),0)</f>
        <v>0</v>
      </c>
      <c r="O69" s="222">
        <f>IF('BP1'!$K$5&gt;1,IF(SUM('BP2'!N62:'BP2'!N73)&gt;0,SUM('BP2'!N62:'BP2'!N73),0),0)</f>
        <v>0</v>
      </c>
      <c r="P69" s="222">
        <f>IF('BP1'!$K$5&gt;2,IF(SUM('BP3'!N62:'BP3'!N73)&gt;0,SUM('BP3'!N62:'BP3'!N73),0),0)</f>
        <v>0</v>
      </c>
      <c r="Q69" s="222">
        <f>IF('BP1'!$K$5&gt;3,IF(SUM('BP4'!N62:'BP4'!N73)&gt;0,SUM('BP4'!N62:'BP4'!N73),0),0)</f>
        <v>0</v>
      </c>
      <c r="R69" s="222">
        <f>IF('BP1'!$K$5&gt;4,IF(SUM('BP5'!N62:'BP5'!N73)&gt;0,SUM('BP5'!N62:'BP5'!N73),0),0)</f>
        <v>0</v>
      </c>
      <c r="S69" s="208" t="str">
        <f>IF(AND('BP1'!$K$5=2,I69&lt;&gt;J69),"Note: Funds change in the outyears!","")&amp;IF(AND('BP1'!$K$5=3,OR(I69&lt;&gt;J69,I69&lt;&gt;K69,J69&lt;&gt;K69)),"Note: Funds change in the outyears!","")&amp;IF(AND('BP1'!$K$5=4,OR(I69&lt;&gt;J69,I69&lt;&gt;K69,I69&lt;&gt;L69,J69&lt;&gt;K69,J69&lt;&gt;L69,K69&lt;&gt;L69)),"Note: Funds change in the outyears!","")&amp;IF(AND('BP1'!$K$5=5,OR(I69&lt;&gt;J69,I69&lt;&gt;K69,I69&lt;&gt;L69,I69&lt;&gt;M69,J69&lt;&gt;K69,J69&lt;&gt;L69,J69&lt;&gt;M69,K69&lt;&gt;L69,K69&lt;&gt;M69,L69&lt;&gt;M69)),"Note: Funds change in the outyears!","")</f>
        <v/>
      </c>
      <c r="T69" s="208" t="str">
        <f>IF(AND('BP1'!$K$5=2,N69&lt;&gt;O69),"Note: Funds changes in the outyears!","")&amp;IF(AND('BP1'!$K$5=3,OR(N69&lt;&gt;O69,N69&lt;&gt;P69,O69&lt;&gt;P69)),"Note: Funds changes in the outyears!","")&amp;IF(AND('BP1'!$K$5=4,OR(N69&lt;&gt;O69,N69&lt;&gt;P69,N69&lt;&gt;Q69,O69&lt;&gt;P69,O69&lt;&gt;Q69,P69&lt;&gt;Q69)),"Note: Funds changes in the outyears!","")&amp;IF(AND('BP1'!$K$5=5,OR(N69&lt;&gt;O69,N69&lt;&gt;P69,N69&lt;&gt;Q69,N69&lt;&gt;R69,O69&lt;&gt;P69,O69&lt;&gt;Q69,O69&lt;&gt;R69,P69&lt;&gt;Q69,P69&lt;&gt;R69,Q69&lt;&gt;R69)),"Note: Funds changes in the outyears!","")</f>
        <v/>
      </c>
      <c r="U69" s="597" t="str">
        <f>IF(A69="","Blank","Populate")</f>
        <v>Blank</v>
      </c>
    </row>
    <row r="70" spans="1:21" ht="15" customHeight="1">
      <c r="A70" s="896"/>
      <c r="B70" s="896"/>
      <c r="C70" s="896"/>
      <c r="D70" s="896"/>
      <c r="E70" s="896"/>
      <c r="F70" s="896"/>
      <c r="G70" s="896"/>
      <c r="H70" s="896"/>
      <c r="I70" s="223"/>
      <c r="J70" s="223"/>
      <c r="K70" s="223"/>
      <c r="L70" s="223"/>
      <c r="M70" s="223"/>
      <c r="N70" s="223"/>
      <c r="O70" s="223"/>
      <c r="P70" s="223"/>
      <c r="Q70" s="223"/>
      <c r="R70" s="223"/>
      <c r="S70" s="208"/>
      <c r="T70" s="208"/>
      <c r="U70" s="597" t="str">
        <f>IF(A69="","Blank","Populate")</f>
        <v>Blank</v>
      </c>
    </row>
    <row r="71" spans="1:21" ht="15" customHeight="1">
      <c r="A71" s="897" t="s">
        <v>913</v>
      </c>
      <c r="B71" s="897"/>
      <c r="C71" s="897"/>
      <c r="D71" s="897"/>
      <c r="E71" s="897"/>
      <c r="F71" s="897"/>
      <c r="G71" s="897"/>
      <c r="H71" s="897"/>
      <c r="I71" s="224"/>
      <c r="J71" s="224"/>
      <c r="K71" s="224"/>
      <c r="L71" s="224"/>
      <c r="M71" s="224"/>
      <c r="N71" s="224"/>
      <c r="O71" s="224"/>
      <c r="P71" s="224"/>
      <c r="Q71" s="224"/>
      <c r="R71" s="224"/>
      <c r="S71" s="208"/>
      <c r="T71" s="208"/>
      <c r="U71" s="597" t="str">
        <f>IF(A71="","Blank","Populate")</f>
        <v>Populate</v>
      </c>
    </row>
    <row r="72" spans="1:21" ht="15" customHeight="1">
      <c r="A72" s="898" t="str">
        <f ca="1">IF(AND('Cumulative Budget'!K79=0,'Cumulative Budget'!N79&gt;0),"Per sponsor guidelines, no F&amp;A is allowed on the sponsor budget. Unrecovered F&amp;A has been calculated based on the following approved rates:",IF('BP1'!K2="Federal",IF('BP1'!L2="Off Campus","F&amp;A has been calculated based on the following DHHS-approved rates:",IF('BP1'!L2="DoD Contract","F&amp;A has been calculated based on the following DHHS-approved rates:",IF('BP1'!L2="No F&amp;A","Per sponsor guidelines, no F&amp;A is allowed.",IF('BP1'!L2="Custom","Per sponsor guidelines, F&amp;A has been capped at "&amp;TEXT('BP1'!I77,"0.00%")&amp;IF('BP1'!K3="TC"," of total project costs","")&amp;".","F&amp;A has been calculated based on the following DHHS-approved rates:")))),IF('BP1'!L2="Off Campus","F&amp;A has been calculated based on the following approved rates:",IF('BP1'!L2="No F&amp;A","Per sponsor guidelines, no F&amp;A is allowed.",IF('BP1'!L2="Custom","Per sponsor guidelines, F&amp;A has been capped at "&amp;TEXT('BP1'!I77,"0.00%")&amp;IF('BP1'!K3="TC"," of total project costs","")&amp;".","F&amp;A has been calculated based on the following approved rates:")))))</f>
        <v>F&amp;A has been calculated based on the following DHHS-approved rates:</v>
      </c>
      <c r="B72" s="898"/>
      <c r="C72" s="898"/>
      <c r="D72" s="898"/>
      <c r="E72" s="898"/>
      <c r="F72" s="898"/>
      <c r="G72" s="898"/>
      <c r="H72" s="898"/>
      <c r="I72" s="225"/>
      <c r="J72" s="225"/>
      <c r="K72" s="225"/>
      <c r="L72" s="225"/>
      <c r="M72" s="225"/>
      <c r="N72" s="225"/>
      <c r="O72" s="225"/>
      <c r="P72" s="225"/>
      <c r="Q72" s="225"/>
      <c r="R72" s="225"/>
      <c r="S72" s="208"/>
      <c r="T72" s="208"/>
      <c r="U72" s="597" t="str">
        <f ca="1">IF(A72="","Blank","Populate")</f>
        <v>Populate</v>
      </c>
    </row>
    <row r="73" spans="1:21" ht="15" customHeight="1">
      <c r="A73" s="387" t="str">
        <f>IF('BP1'!K2="Federal",IF('BP1'!L2="Off Campus","26.00%",IF('BP1'!L2="DoD Contract","55.50%",IF('BP1'!L2="No F&amp;A","",IF('BP1'!L2="Custom","","55.50%")))),IF('BP1'!L2="Off Campus","32.80%",IF('BP1'!L2="No F&amp;A","",IF('BP1'!L2="Custom","","68.90%"))))</f>
        <v>55.50%</v>
      </c>
      <c r="B73" s="898" t="str">
        <f>IF('BP1'!K3="MTDC",IF('BP1'!K2="Federal",IF('BP1'!L2="Off Campus","- MTDC 9/1/15-8/31/16 - Predetermined (Off Campus)",IF('BP1'!L2="DoD Contract","- MTDC 9/1/15-8/31/16 - Predetermined (DoD Contract)",IF('BP1'!L2="No F&amp;A","",IF('BP1'!L2="Custom","","- MTDC 9/1/15-8/31/16 - Predetermined")))),IF('BP1'!L2="Off Campus","- MTDC 9/1/15-8/31/16 - Predetermined (Off Campus)",IF('BP1'!L2="No F&amp;A","",IF('BP1'!L2="Custom","","- MTDC 9/1/15-8/31/16 - Predetermined")))),IF('BP1'!K2="Federal",IF('BP1'!L2="Off Campus","- TDC 9/1/15-8/31/16 - Predetermined (Off Campus)",IF('BP1'!L2="DoD Contract","- TDC 9/1/15-8/31/16 - Predetermined (DoD Contract)",IF('BP1'!L2="No F&amp;A","",IF('BP1'!L2="Custom","","- TDC 9/1/15-8/31/16 - Predetermined")))),IF('BP1'!L2="Off Campus","- TDC 9/1/15-8/31/16 Predetermined (Off Campus)",IF('BP1'!L2="No F&amp;A","",IF('BP1'!L2="Custom","","- TDC 9/1/15-8/31/16 Predetermined")))))</f>
        <v>- MTDC 9/1/15-8/31/16 - Predetermined</v>
      </c>
      <c r="C73" s="898"/>
      <c r="D73" s="898"/>
      <c r="E73" s="898"/>
      <c r="F73" s="898"/>
      <c r="G73" s="898"/>
      <c r="H73" s="898"/>
      <c r="I73" s="225"/>
      <c r="J73" s="225"/>
      <c r="K73" s="225"/>
      <c r="L73" s="225"/>
      <c r="M73" s="225"/>
      <c r="N73" s="225"/>
      <c r="O73" s="225"/>
      <c r="P73" s="225"/>
      <c r="Q73" s="225"/>
      <c r="R73" s="225"/>
      <c r="S73" s="208"/>
      <c r="T73" s="208"/>
      <c r="U73" s="597" t="str">
        <f ca="1">IF(AND(A73&lt;&gt;"",'Cumulative Budget'!K8&lt;=DATE(2016,8,31),'Cumulative Budget'!K10&gt;=DATE(2015,9,1)),"Populate","Blank")</f>
        <v>Blank</v>
      </c>
    </row>
    <row r="74" spans="1:21" ht="15" customHeight="1">
      <c r="A74" s="387" t="str">
        <f>IF('BP1'!K2="Federal",IF('BP1'!L2="Off Campus","26.00%",IF('BP1'!L2="DoD Contract","57.50%",IF('BP1'!L2="No F&amp;A","",IF('BP1'!L2="Custom","","56.50%")))),IF('BP1'!L2="Off Campus","32.80%",IF('BP1'!L2="No F&amp;A","",IF('BP1'!L2="Custom","","68.90%"))))</f>
        <v>56.50%</v>
      </c>
      <c r="B74" s="898" t="str">
        <f>IF('BP1'!K3="MTDC",IF('BP1'!K2="Federal",IF('BP1'!L2="Off Campus","- MTDC 9/1/16-8/31/17 - Predetermined (Off Campus)",IF('BP1'!L2="DoD Contract","- MTDC 9/1/16-8/31/17 - Predetermined (DoD Contract)",IF('BP1'!L2="No F&amp;A","",IF('BP1'!L2="Custom","","- MTDC 9/1/16-8/31/17 - Predetermined")))),IF('BP1'!L2="Off Campus","- MTDC 9/1/16-8/31/17 - Predetermined (Off Campus)",IF('BP1'!L2="No F&amp;A","",IF('BP1'!L2="Custom","","- MTDC 9/1/16-8/31/17 - Predetermined")))),IF('BP1'!K2="Federal",IF('BP1'!L2="Off Campus","- TDC 9/1/16-8/31/17 - Predetermined (Off Campus)",IF('BP1'!L2="DoD Contract","- TDC 9/1/16-8/31/17 - Predetermined (DoD Contract)",IF('BP1'!L2="No F&amp;A","",IF('BP1'!L2="Custom","","- TDC 9/1/16-8/31/17 - Predetermined")))),IF('BP1'!L2="Off Campus","- TDC 9/1/16-8/31/17 - Predetermined (Off Campus)",IF('BP1'!L2="No F&amp;A","",IF('BP1'!L2="Custom","","- TDC 9/1/16-8/31/17 - Predetermined")))))</f>
        <v>- MTDC 9/1/16-8/31/17 - Predetermined</v>
      </c>
      <c r="C74" s="898"/>
      <c r="D74" s="898"/>
      <c r="E74" s="898"/>
      <c r="F74" s="898"/>
      <c r="G74" s="898"/>
      <c r="H74" s="898"/>
      <c r="I74" s="225"/>
      <c r="J74" s="225"/>
      <c r="K74" s="225"/>
      <c r="L74" s="225"/>
      <c r="M74" s="225"/>
      <c r="N74" s="225"/>
      <c r="O74" s="225"/>
      <c r="P74" s="225"/>
      <c r="Q74" s="225"/>
      <c r="R74" s="225"/>
      <c r="S74" s="208"/>
      <c r="T74" s="208"/>
      <c r="U74" s="597" t="str">
        <f ca="1">IF(AND(A74&lt;&gt;"",'Cumulative Budget'!K8&lt;=DATE(2017,8,31),'Cumulative Budget'!K10&gt;=DATE(2016,9,1)),"Populate","Blank")</f>
        <v>Blank</v>
      </c>
    </row>
    <row r="75" spans="1:21" ht="15" customHeight="1">
      <c r="A75" s="387" t="str">
        <f>IF('BP1'!K2="Federal",IF('BP1'!L2="Off Campus","26.00%",IF('BP1'!L2="DoD Contract","59.00%",IF('BP1'!L2="No F&amp;A","",IF('BP1'!L2="Custom","","58.00%")))),IF('BP1'!L2="Off Campus","32.80%",IF('BP1'!L2="No F&amp;A","",IF('BP1'!L2="Custom","","68.90%"))))</f>
        <v>58.00%</v>
      </c>
      <c r="B75" s="898" t="str">
        <f>IF('BP1'!K3="MTDC",IF('BP1'!K2="Federal",IF('BP1'!L2="Off Campus","- MTDC 9/1/17-8/31/18 - Predetermined (Off Campus)",IF('BP1'!L2="DoD Contract","- MTDC 9/1/17-8/31/18 - Predetermined (DoD Contract)",IF('BP1'!L2="No F&amp;A","",IF('BP1'!L2="Custom","","- MTDC 9/1/17-8/31/18 - Predetermined")))),IF('BP1'!L2="Off Campus","- MTDC 9/1/17-8/31/18 - Predetermined (Off Campus)",IF('BP1'!L2="No F&amp;A","",IF('BP1'!L2="Custom","","- MTDC 9/1/17-8/31/18 - Predetermined")))),IF('BP1'!K2="Federal",IF('BP1'!L2="Off Campus","- TDC 9/1/17-8/31/18 - Predetermined (Off Campus)",IF('BP1'!L2="DoD Contract","- TDC 9/1/17-8/31/18 - Predetermined (DoD Contract)",IF('BP1'!L2="No F&amp;A","",IF('BP1'!L2="Custom","","- TDC 9/1/17-8/31/18 - Predetermined")))),IF('BP1'!L2="Off Campus","- TDC 9/1/17-8/31/18 - Predetermined (Off Campus)",IF('BP1'!L2="No F&amp;A","",IF('BP1'!L2="Custom","","- TDC 9/1/17-8/31/18 - Predetermined")))))</f>
        <v>- MTDC 9/1/17-8/31/18 - Predetermined</v>
      </c>
      <c r="C75" s="898"/>
      <c r="D75" s="898"/>
      <c r="E75" s="898"/>
      <c r="F75" s="898"/>
      <c r="G75" s="898"/>
      <c r="H75" s="898"/>
      <c r="I75" s="225"/>
      <c r="J75" s="225"/>
      <c r="K75" s="225"/>
      <c r="L75" s="225"/>
      <c r="M75" s="225"/>
      <c r="N75" s="225"/>
      <c r="O75" s="225"/>
      <c r="P75" s="225"/>
      <c r="Q75" s="225"/>
      <c r="R75" s="225"/>
      <c r="S75" s="208"/>
      <c r="T75" s="208"/>
      <c r="U75" s="597" t="str">
        <f ca="1">IF(AND(A75&lt;&gt;"",'Cumulative Budget'!K8&lt;=DATE(2018,8,31),'Cumulative Budget'!K10&gt;=DATE(2017,9,1)),"Populate","Blank")</f>
        <v>Blank</v>
      </c>
    </row>
    <row r="76" spans="1:21" ht="15" customHeight="1">
      <c r="A76" s="387" t="str">
        <f>IF('BP1'!K2="Federal",IF('BP1'!L2="Off Campus","26.00%",IF('BP1'!L2="DoD Contract","59.00%",IF('BP1'!L2="No F&amp;A","",IF('BP1'!L2="Custom","","58.00%")))),IF('BP1'!L2="Off Campus","32.80%",IF('BP1'!L2="No F&amp;A","",IF('BP1'!L2="Custom","","68.90%"))))</f>
        <v>58.00%</v>
      </c>
      <c r="B76" s="898" t="str">
        <f>IF('BP1'!K3="MTDC",IF('BP1'!K2="Federal",IF('BP1'!L2="Off Campus","- MTDC 9/1/18-8/31/19 - Predetermined (Off Campus)",IF('BP1'!L2="DoD Contract","- MTDC 9/1/18-8/31/19 - Predetermined (DoD Contract)",IF('BP1'!L2="No F&amp;A","",IF('BP1'!L2="Custom","","- MTDC 9/1/18-8/31/19 - Predetermined")))),IF('BP1'!L2="Off Campus","- MTDC 9/1/18-8/31/19 - Predetermined (Off Campus)",IF('BP1'!L2="No F&amp;A","",IF('BP1'!L2="Custom","","- MTDC 9/1/18-8/31/19 - Predetermined")))),IF('BP1'!K2="Federal",IF('BP1'!L2="Off Campus","- TDC 9/1/18-8/31/19 - Predetermined (Off Campus)",IF('BP1'!L2="DoD Contract","- TDC 9/1/18-8/31/19 - Predetermined (DoD Contract)",IF('BP1'!L2="No F&amp;A","",IF('BP1'!L2="Custom","","- TDC 9/1/18-8/31/19 - Predetermined")))),IF('BP1'!L2="Off Campus","- TDC 9/1/18-8/31/19 - Predetermined (Off Campus)",IF('BP1'!L2="No F&amp;A","",IF('BP1'!L2="Custom","","- TDC 9/1/18-8/31/19 - Predetermined")))))</f>
        <v>- MTDC 9/1/18-8/31/19 - Predetermined</v>
      </c>
      <c r="C76" s="898"/>
      <c r="D76" s="898"/>
      <c r="E76" s="898"/>
      <c r="F76" s="898"/>
      <c r="G76" s="898"/>
      <c r="H76" s="898"/>
      <c r="I76" s="225"/>
      <c r="J76" s="225"/>
      <c r="K76" s="225"/>
      <c r="L76" s="225"/>
      <c r="M76" s="225"/>
      <c r="N76" s="225"/>
      <c r="O76" s="225"/>
      <c r="P76" s="225"/>
      <c r="Q76" s="225"/>
      <c r="R76" s="225"/>
      <c r="S76" s="208"/>
      <c r="T76" s="208"/>
      <c r="U76" s="597" t="str">
        <f ca="1">IF(AND(A76&lt;&gt;"",'Cumulative Budget'!K8&lt;=DATE(2019,8,31),'Cumulative Budget'!K10&gt;=DATE(2018,9,1)),"Populate","Blank")</f>
        <v>Blank</v>
      </c>
    </row>
    <row r="77" spans="1:21" ht="15" customHeight="1">
      <c r="A77" s="387" t="str">
        <f>IF('BP1'!K2="Federal",IF('BP1'!L2="Off Campus","26.00%",IF('BP1'!L2="DoD Contract","59.00%",IF('BP1'!L2="No F&amp;A","",IF('BP1'!L2="Custom","","58.00%")))),IF('BP1'!L2="Off Campus","34.62%",IF('BP1'!L2="No F&amp;A","",IF('BP1'!L2="Custom","","69.64%"))))</f>
        <v>58.00%</v>
      </c>
      <c r="B77" s="898" t="str">
        <f>IF('BP1'!K3="MTDC",IF('BP1'!K2="Federal",IF('BP1'!L2="Off Campus","- MTDC 9/1/19-8/31/20 - Predetermined (Off Campus)",IF('BP1'!L2="DoD Contract","- MTDC 9/1/19-8/31/20 - Predetermined (DoD Contract)",IF('BP1'!L2="No F&amp;A","",IF('BP1'!L2="Custom","","- MTDC 9/1/19-8/31/20 - Predetermined")))),IF('BP1'!L2="Off Campus","- MTDC 9/1/19-8/31/20 - Predetermined (Off Campus)",IF('BP1'!L2="No F&amp;A","",IF('BP1'!L2="Custom","","- MTDC 9/1/19-8/31/20 - Predetermined")))),IF('BP1'!K2="Federal",IF('BP1'!L2="Off Campus","- TDC 9/1/19-8/31/20 - Predetermined (Off Campus)",IF('BP1'!L2="DoD Contract","- TDC 9/1/19-8/31/20 - Predetermined (DoD Contract)",IF('BP1'!L2="No F&amp;A","",IF('BP1'!L2="Custom","","- TDC 9/1/19-8/31/20 - Predetermined")))),IF('BP1'!L2="Off Campus","- TDC 9/1/19-8/31/20 - Predetermined (Off Campus)",IF('BP1'!L2="No F&amp;A","",IF('BP1'!L2="Custom","","- TDC 9/1/19-8/31/20 - Predetermined")))))</f>
        <v>- MTDC 9/1/19-8/31/20 - Predetermined</v>
      </c>
      <c r="C77" s="898"/>
      <c r="D77" s="898"/>
      <c r="E77" s="898"/>
      <c r="F77" s="898"/>
      <c r="G77" s="898"/>
      <c r="H77" s="898"/>
      <c r="I77" s="225"/>
      <c r="J77" s="225"/>
      <c r="K77" s="225"/>
      <c r="L77" s="225"/>
      <c r="M77" s="225"/>
      <c r="N77" s="225"/>
      <c r="O77" s="225"/>
      <c r="P77" s="225"/>
      <c r="Q77" s="225"/>
      <c r="R77" s="225"/>
      <c r="S77" s="208"/>
      <c r="T77" s="208"/>
      <c r="U77" s="597" t="str">
        <f ca="1">IF(AND(A77&lt;&gt;"",'Cumulative Budget'!K8&lt;=DATE(2020,8,31),'Cumulative Budget'!K10&gt;=DATE(2019,9,1)),"Populate","Blank")</f>
        <v>Blank</v>
      </c>
    </row>
    <row r="78" spans="1:21" ht="15" customHeight="1">
      <c r="A78" s="387" t="str">
        <f>IF('BP1'!K2="Federal",IF('BP1'!L2="Off Campus","26.00%",IF('BP1'!L2="DoD Contract","59.00%",IF('BP1'!L2="No F&amp;A","",IF('BP1'!L2="Custom","","58.00%")))),IF('BP1'!L2="Off Campus","34.62%",IF('BP1'!L2="No F&amp;A","",IF('BP1'!L2="Custom","","69.64%"))))</f>
        <v>58.00%</v>
      </c>
      <c r="B78" s="898" t="str">
        <f>IF('BP1'!K3="MTDC",IF('BP1'!K2="Federal",IF('BP1'!L2="Off Campus","- MTDC 9/1/20-8/31/21 - Predetermined (Off Campus)",IF('BP1'!L2="DoD Contract","- MTDC 9/1/20-8/31/21 - Predetermined (DoD Contract)",IF('BP1'!L2="No F&amp;A","",IF('BP1'!L2="Custom","","- MTDC 9/1/20-8/31/21 - Predetermined")))),IF('BP1'!L2="Off Campus","- MTDC 9/1/20-8/31/21 - Predetermined (Off Campus)",IF('BP1'!L2="No F&amp;A","",IF('BP1'!L2="Custom","","- MTDC 9/1/20-8/31/21 - Predetermined")))),IF('BP1'!K2="Federal",IF('BP1'!L2="Off Campus","- TDC 9/1/20-8/31/21 - Predetermined (Off Campus)",IF('BP1'!L2="DoD Contract","- TDC 9/1/20-8/31/21 - Predetermined (DoD Contract)",IF('BP1'!L2="No F&amp;A","",IF('BP1'!L2="Custom","","- TDC 9/1/20-8/31/21 - Predetermined")))),IF('BP1'!L2="Off Campus","- TDC 9/1/20-8/31/21 - Predetermined (Off Campus)",IF('BP1'!L2="No F&amp;A","",IF('BP1'!L2="Custom","","- TDC 9/1/20-8/31/21 - Predetermined")))))</f>
        <v>- MTDC 9/1/20-8/31/21 - Predetermined</v>
      </c>
      <c r="C78" s="898"/>
      <c r="D78" s="898"/>
      <c r="E78" s="898"/>
      <c r="F78" s="898"/>
      <c r="G78" s="898"/>
      <c r="H78" s="898"/>
      <c r="I78" s="225"/>
      <c r="J78" s="225"/>
      <c r="K78" s="225"/>
      <c r="L78" s="225"/>
      <c r="M78" s="225"/>
      <c r="N78" s="225"/>
      <c r="O78" s="225"/>
      <c r="P78" s="225"/>
      <c r="Q78" s="225"/>
      <c r="R78" s="225"/>
      <c r="S78" s="208"/>
      <c r="T78" s="208"/>
      <c r="U78" s="597" t="str">
        <f ca="1">IF(AND(A78&lt;&gt;"",'Cumulative Budget'!K8&lt;=DATE(2021,8,31),'Cumulative Budget'!K10&gt;=DATE(2020,9,1)),"Populate","Blank")</f>
        <v>Blank</v>
      </c>
    </row>
    <row r="79" spans="1:21" ht="15" customHeight="1">
      <c r="A79" s="387" t="str">
        <f>IF('BP1'!K2="Federal",IF('BP1'!L2="Off Campus","26.00%",IF('BP1'!L2="DoD Contract","61.00%",IF('BP1'!L2="No F&amp;A","",IF('BP1'!L2="Custom","","60.00%")))),IF('BP1'!L2="Off Campus","34.62%",IF('BP1'!L2="No F&amp;A","",IF('BP1'!L2="Custom","","69.64%"))))</f>
        <v>60.00%</v>
      </c>
      <c r="B79" s="898" t="str">
        <f>IF('BP1'!K3="MTDC",IF('BP1'!K2="Federal",IF('BP1'!L2="Off Campus","- MTDC 9/1/21-8/31/23 - Predetermined (Off Campus)",IF('BP1'!L2="DoD Contract","- MTDC 9/1/21-8/31/23 - Predetermined (DoD Contract)",IF('BP1'!L2="No F&amp;A","",IF('BP1'!L2="Custom","","- MTDC 9/1/21-8/31/23 - Predetermined")))),IF('BP1'!L2="Off Campus","- MTDC 9/1/21-8/31/23 - Predetermined (Off Campus)",IF('BP1'!L2="No F&amp;A","",IF('BP1'!L2="Custom","","- MTDC 9/1/21-8/31/23 - Predetermined")))),IF('BP1'!K2="Federal",IF('BP1'!L2="Off Campus","- TDC 9/1/21-8/31/23 - Predetermined (Off Campus)",IF('BP1'!L2="DoD Contract","- TDC 9/1/21-8/31/23 - Predetermined (DoD Contract)",IF('BP1'!L2="No F&amp;A","",IF('BP1'!L2="Custom","","- TDC 9/1/21-8/31/23 - Predetermined")))),IF('BP1'!L2="Off Campus","- TDC 9/1/21-8/31/23 - Predetermined (Off Campus)",IF('BP1'!L2="No F&amp;A","",IF('BP1'!L2="Custom","","- TDC 9/1/21-8/31/23 - Predetermined")))))</f>
        <v>- MTDC 9/1/21-8/31/23 - Predetermined</v>
      </c>
      <c r="C79" s="898"/>
      <c r="D79" s="898"/>
      <c r="E79" s="898"/>
      <c r="F79" s="898"/>
      <c r="G79" s="898"/>
      <c r="H79" s="898"/>
      <c r="I79" s="225"/>
      <c r="J79" s="225"/>
      <c r="K79" s="225"/>
      <c r="L79" s="225"/>
      <c r="M79" s="225"/>
      <c r="N79" s="225"/>
      <c r="O79" s="225"/>
      <c r="P79" s="225"/>
      <c r="Q79" s="225"/>
      <c r="R79" s="225"/>
      <c r="S79" s="208"/>
      <c r="T79" s="208"/>
      <c r="U79" s="597" t="str">
        <f ca="1">IF(AND(A79&lt;&gt;"",'Cumulative Budget'!K8&lt;=DATE(2023,8,31),'Cumulative Budget'!K10&gt;=DATE(2021,9,1)),"Populate","Blank")</f>
        <v>Blank</v>
      </c>
    </row>
    <row r="80" spans="1:21" ht="15" customHeight="1">
      <c r="A80" s="387" t="str">
        <f>IF('BP1'!K2="Federal",IF('BP1'!L2="Off Campus","26.00%",IF('BP1'!L2="DoD Contract","61.00%",IF('BP1'!L2="No F&amp;A","",IF('BP1'!L2="Custom","","60.00%")))),IF('BP1'!L2="Off Campus","34.62%",IF('BP1'!L2="No F&amp;A","",IF('BP1'!L2="Custom","","69.64%"))))</f>
        <v>60.00%</v>
      </c>
      <c r="B80" s="898" t="str">
        <f>IF('BP1'!K3="MTDC",IF('BP1'!K2="Federal",IF('BP1'!L2="Off Campus","- MTDC 9/1/23-8/31/26 - Predetermined (Off Campus)",IF('BP1'!L2="DoD Contract","- MTDC 9/1/23-8/31/26 - Predetermined (DoD Contract)",IF('BP1'!L2="No F&amp;A","",IF('BP1'!L2="Custom","","- MTDC 9/1/23-8/31/26 - Predetermined")))),IF('BP1'!L2="Off Campus","- MTDC 9/1/23-8/31/26 - Predetermined (Off Campus)",IF('BP1'!L2="No F&amp;A","",IF('BP1'!L2="Custom","","- MTDC 9/1/23-8/31/26 - Predetermined")))),IF('BP1'!K2="Federal",IF('BP1'!L2="Off Campus","- TDC 9/1/23-8/31/26 - Predetermined (Off Campus)",IF('BP1'!L2="DoD Contract","- TDC 9/1/23-8/31/26 - Predetermined (DoD Contract)",IF('BP1'!L2="No F&amp;A","",IF('BP1'!L2="Custom","","- TDC 9/1/23-8/31/26 - Predetermined")))),IF('BP1'!L2="Off Campus","- TDC 9/1/23-8/31/26 - Predetermined (Off Campus)",IF('BP1'!L2="No F&amp;A","",IF('BP1'!L2="Custom","","- TDC 9/1/23-8/31/26 - Predetermined")))))</f>
        <v>- MTDC 9/1/23-8/31/26 - Predetermined</v>
      </c>
      <c r="C80" s="898"/>
      <c r="D80" s="898"/>
      <c r="E80" s="898"/>
      <c r="F80" s="898"/>
      <c r="G80" s="898"/>
      <c r="H80" s="898"/>
      <c r="I80" s="225"/>
      <c r="J80" s="225"/>
      <c r="K80" s="225"/>
      <c r="L80" s="225"/>
      <c r="M80" s="225"/>
      <c r="N80" s="225"/>
      <c r="O80" s="225"/>
      <c r="P80" s="225"/>
      <c r="Q80" s="225"/>
      <c r="R80" s="225"/>
      <c r="S80" s="208"/>
      <c r="T80" s="208"/>
      <c r="U80" s="597" t="str">
        <f ca="1">IF(AND(A80&lt;&gt;"",'Cumulative Budget'!K8&lt;=DATE(2026,8,31),'Cumulative Budget'!K10&gt;=DATE(2023,9,1)),"Populate","Blank")</f>
        <v>Blank</v>
      </c>
    </row>
    <row r="81" spans="1:23" ht="15" customHeight="1">
      <c r="A81" s="387" t="str">
        <f>IF('BP1'!K2="Federal",IF('BP1'!L2="Off Campus","26.00%",IF('BP1'!L2="DoD Contract","61.00%",IF('BP1'!L2="No F&amp;A","",IF('BP1'!L2="Custom","","60.00%")))),IF('BP1'!L2="Off Campus","34.62%",IF('BP1'!L2="No F&amp;A","",IF('BP1'!L2="Custom","","69.64%"))))</f>
        <v>60.00%</v>
      </c>
      <c r="B81" s="898" t="str">
        <f>IF('BP1'!K3="MTDC",IF('BP1'!K2="Federal",IF('BP1'!L2="Off Campus","- MTDC 9/1/26-8/31/27 and thereafter - Provisional (Off Campus)",IF('BP1'!L2="DoD Contract","- MTDC 9/1/26-8/31/27 and thereafter - Provisional (DoD Contract)",IF('BP1'!L2="No F&amp;A","",IF('BP1'!L2="Custom","","- MTDC 9/1/26-8/31/27 and thereafter - Provisional")))),IF('BP1'!L2="Off Campus","- MTDC 9/1/26-8/31/27 and thereafter - Provisional (Off Campus)",IF('BP1'!L2="No F&amp;A","",IF('BP1'!L2="Custom","","- MTDC 9/1/26-8/31/27 and thereafter - Provisional")))),IF('BP1'!K2="Federal",IF('BP1'!L2="Off Campus","- TDC 9/1/26-8/31/27 and thereafter - Provisional (Off Campus)",IF('BP1'!L2="DoD Contract","- TDC 9/1/26-8/31/27 and thereafter - Provisional (DoD Contract)",IF('BP1'!L2="No F&amp;A","",IF('BP1'!L2="Custom","","- TDC 9/1/26-8/31/27 and thereafter - Provisional")))),IF('BP1'!L2="Off Campus","- TDC 9/1/26-8/31/27 and thereafter - Provisional (Off Campus)",IF('BP1'!L2="No F&amp;A","",IF('BP1'!L2="Custom","","- TDC 9/1/26-8/31/27 and thereafter - Provisional")))))</f>
        <v>- MTDC 9/1/26-8/31/27 and thereafter - Provisional</v>
      </c>
      <c r="C81" s="898"/>
      <c r="D81" s="898"/>
      <c r="E81" s="898"/>
      <c r="F81" s="898"/>
      <c r="G81" s="898"/>
      <c r="H81" s="898"/>
      <c r="I81" s="225"/>
      <c r="J81" s="225"/>
      <c r="K81" s="225"/>
      <c r="L81" s="225"/>
      <c r="M81" s="225"/>
      <c r="N81" s="225"/>
      <c r="O81" s="225"/>
      <c r="P81" s="225"/>
      <c r="Q81" s="225"/>
      <c r="R81" s="225"/>
      <c r="S81" s="208"/>
      <c r="T81" s="208"/>
      <c r="U81" s="597" t="str">
        <f ca="1">IF(AND(A81&lt;&gt;"",'Cumulative Budget'!K10&gt;=DATE(2023,9,1)),"Populate","Blank")</f>
        <v>Populate</v>
      </c>
    </row>
    <row r="82" spans="1:23" ht="15" customHeight="1">
      <c r="A82" s="895" t="str">
        <f>IF(OR('BP1'!E9="National Science Foundation",'BP1'!E9="NSF",'BP1'!E11="National Science Foundation",'BP1'!E11="NSF"),"Total F&amp;A budgeted is "&amp;TEXT('Summary of All Budget Periods'!G93,"$#,##0")&amp;".","")</f>
        <v/>
      </c>
      <c r="B82" s="895"/>
      <c r="C82" s="895"/>
      <c r="D82" s="895"/>
      <c r="E82" s="895"/>
      <c r="F82" s="895"/>
      <c r="G82" s="895"/>
      <c r="H82" s="895"/>
      <c r="I82" s="223"/>
      <c r="J82" s="223"/>
      <c r="K82" s="223"/>
      <c r="L82" s="223"/>
      <c r="M82" s="223"/>
      <c r="N82" s="223"/>
      <c r="O82" s="223"/>
      <c r="P82" s="223"/>
      <c r="Q82" s="223"/>
      <c r="R82" s="223"/>
      <c r="S82" s="894" t="s">
        <v>975</v>
      </c>
      <c r="T82" s="894"/>
      <c r="U82" s="597" t="str">
        <f>IF(A82="","Blank","Populate")</f>
        <v>Blank</v>
      </c>
    </row>
    <row r="83" spans="1:23" ht="15" customHeight="1">
      <c r="A83" s="898" t="str">
        <f>IF(AND(OR('BP1'!E9="National Science Foundation",'BP1'!E9="NSF",'BP1'!E11="National Science Foundation",'BP1'!E11="NSF"),'BP1'!K5&gt;0),"   Period 1 F&amp;A budgeted is "&amp;TEXT('Summary of All Budget Periods'!B93,"$#,##0")&amp;".","")</f>
        <v/>
      </c>
      <c r="B83" s="898"/>
      <c r="C83" s="898"/>
      <c r="D83" s="898"/>
      <c r="E83" s="898"/>
      <c r="F83" s="898"/>
      <c r="G83" s="898"/>
      <c r="H83" s="898"/>
      <c r="S83" s="894" t="s">
        <v>975</v>
      </c>
      <c r="T83" s="894"/>
      <c r="U83" s="597" t="str">
        <f>IF(AND(OR('BP1'!E9="National Science Foundation",'BP1'!E9="NSF",'BP1'!E11="National Science Foundation",'BP1'!E11="NSF"),'BP1'!K5&gt;0),"Populate","Blank")</f>
        <v>Blank</v>
      </c>
    </row>
    <row r="84" spans="1:23" ht="15" customHeight="1">
      <c r="A84" s="898" t="str">
        <f>IF(AND(OR('BP1'!E9="National Science Foundation",'BP1'!E9="NSF",'BP1'!E11="National Science Foundation",'BP1'!E11="NSF"),'BP1'!K5&gt;1),"   Period 2 F&amp;A budgeted is "&amp;TEXT('Summary of All Budget Periods'!C93,"$#,##0")&amp;".","")</f>
        <v/>
      </c>
      <c r="B84" s="898"/>
      <c r="C84" s="898"/>
      <c r="D84" s="898"/>
      <c r="E84" s="898"/>
      <c r="F84" s="898"/>
      <c r="G84" s="898"/>
      <c r="H84" s="898"/>
      <c r="S84" s="894" t="s">
        <v>975</v>
      </c>
      <c r="T84" s="894"/>
      <c r="U84" s="597" t="str">
        <f>IF(AND(OR('BP1'!E9="National Science Foundation",'BP1'!E9="NSF",'BP1'!E11="National Science Foundation",'BP1'!E11="NSF"),'BP1'!K5&gt;1),"Populate","Blank")</f>
        <v>Blank</v>
      </c>
    </row>
    <row r="85" spans="1:23" ht="15" customHeight="1">
      <c r="A85" s="898" t="str">
        <f>IF(AND(OR('BP1'!E9="National Science Foundation",'BP1'!E9="NSF",'BP1'!E11="National Science Foundation",'BP1'!E11="NSF"),'BP1'!K5&gt;2),"   Period 3 F&amp;A budgeted is "&amp;TEXT('Summary of All Budget Periods'!D93,"$#,##0")&amp;".","")</f>
        <v/>
      </c>
      <c r="B85" s="898"/>
      <c r="C85" s="898"/>
      <c r="D85" s="898"/>
      <c r="E85" s="898"/>
      <c r="F85" s="898"/>
      <c r="G85" s="898"/>
      <c r="H85" s="898"/>
      <c r="S85" s="894" t="s">
        <v>975</v>
      </c>
      <c r="T85" s="894"/>
      <c r="U85" s="597" t="str">
        <f>IF(AND(OR('BP1'!E9="National Science Foundation",'BP1'!E9="NSF",'BP1'!E11="National Science Foundation",'BP1'!E11="NSF"),'BP1'!K5&gt;2),"Populate","Blank")</f>
        <v>Blank</v>
      </c>
    </row>
    <row r="86" spans="1:23" ht="15" customHeight="1">
      <c r="A86" s="898" t="str">
        <f>IF(AND(OR('BP1'!E9="National Science Foundation",'BP1'!E9="NSF",'BP1'!E11="National Science Foundation",'BP1'!E11="NSF"),'BP1'!K5&gt;3),"   Period 4 F&amp;A budgeted is "&amp;TEXT('Summary of All Budget Periods'!E93,"$#,##0")&amp;".","")</f>
        <v/>
      </c>
      <c r="B86" s="898"/>
      <c r="C86" s="898"/>
      <c r="D86" s="898"/>
      <c r="E86" s="898"/>
      <c r="F86" s="898"/>
      <c r="G86" s="898"/>
      <c r="H86" s="898"/>
      <c r="S86" s="894" t="s">
        <v>975</v>
      </c>
      <c r="T86" s="894"/>
      <c r="U86" s="597" t="str">
        <f>IF(AND(OR('BP1'!E9="National Science Foundation",'BP1'!E9="NSF",'BP1'!E11="National Science Foundation",'BP1'!E11="NSF"),'BP1'!K5&gt;3),"Populate","Blank")</f>
        <v>Blank</v>
      </c>
    </row>
    <row r="87" spans="1:23" ht="15" customHeight="1">
      <c r="A87" s="898" t="str">
        <f>IF(AND(OR('BP1'!E9="National Science Foundation",'BP1'!E9="NSF",'BP1'!E11="National Science Foundation",'BP1'!E11="NSF"),'BP1'!K5&gt;4),"   Period 5 F&amp;A budgeted is "&amp;TEXT('Summary of All Budget Periods'!F93,"$#,##0")&amp;".","")</f>
        <v/>
      </c>
      <c r="B87" s="898"/>
      <c r="C87" s="898"/>
      <c r="D87" s="898"/>
      <c r="E87" s="898"/>
      <c r="F87" s="898"/>
      <c r="G87" s="898"/>
      <c r="H87" s="898"/>
      <c r="S87" s="894" t="s">
        <v>975</v>
      </c>
      <c r="T87" s="894"/>
      <c r="U87" s="597" t="str">
        <f>IF(AND(OR('BP1'!E9="National Science Foundation",'BP1'!E9="NSF",'BP1'!E11="National Science Foundation",'BP1'!E11="NSF"),'BP1'!K5&gt;4),"Populate","Blank")</f>
        <v>Blank</v>
      </c>
    </row>
    <row r="88" spans="1:23" ht="120" hidden="1" customHeight="1">
      <c r="A88" s="895" t="str">
        <f>IF(U88="Populate",W88,"")</f>
        <v/>
      </c>
      <c r="B88" s="895"/>
      <c r="C88" s="895"/>
      <c r="D88" s="895"/>
      <c r="E88" s="895"/>
      <c r="F88" s="895"/>
      <c r="G88" s="895"/>
      <c r="H88" s="895"/>
      <c r="S88" s="894" t="s">
        <v>975</v>
      </c>
      <c r="T88" s="894"/>
      <c r="U88" s="597"/>
      <c r="W88" s="598" t="s">
        <v>983</v>
      </c>
    </row>
    <row r="89" spans="1:23" ht="60" hidden="1" customHeight="1">
      <c r="A89" s="895" t="str">
        <f>IF(U89="Populate",W89,"")</f>
        <v/>
      </c>
      <c r="B89" s="895"/>
      <c r="C89" s="895"/>
      <c r="D89" s="895"/>
      <c r="E89" s="895"/>
      <c r="F89" s="895"/>
      <c r="G89" s="895"/>
      <c r="H89" s="895"/>
      <c r="S89" s="894" t="s">
        <v>976</v>
      </c>
      <c r="T89" s="894"/>
      <c r="U89" s="597"/>
      <c r="W89" s="598" t="s">
        <v>982</v>
      </c>
    </row>
    <row r="90" spans="1:23" ht="72" hidden="1" customHeight="1">
      <c r="A90" s="895" t="str">
        <f>IF(U90="Populate",W90,"")</f>
        <v/>
      </c>
      <c r="B90" s="895"/>
      <c r="C90" s="895"/>
      <c r="D90" s="895"/>
      <c r="E90" s="895"/>
      <c r="F90" s="895"/>
      <c r="G90" s="895"/>
      <c r="H90" s="895"/>
      <c r="S90" s="894" t="s">
        <v>977</v>
      </c>
      <c r="T90" s="894"/>
      <c r="U90" s="597"/>
      <c r="W90" s="598" t="s">
        <v>981</v>
      </c>
    </row>
    <row r="91" spans="1:23" ht="120" hidden="1" customHeight="1">
      <c r="A91" s="895" t="str">
        <f>IF(U91="Populate",W91,"")</f>
        <v/>
      </c>
      <c r="B91" s="895"/>
      <c r="C91" s="895"/>
      <c r="D91" s="895"/>
      <c r="E91" s="895"/>
      <c r="F91" s="895"/>
      <c r="G91" s="895"/>
      <c r="H91" s="895"/>
      <c r="S91" s="894" t="s">
        <v>978</v>
      </c>
      <c r="T91" s="894"/>
      <c r="U91" s="597"/>
      <c r="W91" s="598" t="s">
        <v>984</v>
      </c>
    </row>
  </sheetData>
  <autoFilter ref="U1:U91" xr:uid="{00000000-0009-0000-0000-000008000000}"/>
  <mergeCells count="109">
    <mergeCell ref="A57:H57"/>
    <mergeCell ref="A52:H52"/>
    <mergeCell ref="A51:H51"/>
    <mergeCell ref="B75:H75"/>
    <mergeCell ref="B74:H74"/>
    <mergeCell ref="A59:H59"/>
    <mergeCell ref="A61:H61"/>
    <mergeCell ref="A63:H63"/>
    <mergeCell ref="A70:H70"/>
    <mergeCell ref="A71:H71"/>
    <mergeCell ref="A72:H72"/>
    <mergeCell ref="B73:H73"/>
    <mergeCell ref="A69:H69"/>
    <mergeCell ref="A68:H68"/>
    <mergeCell ref="A67:H67"/>
    <mergeCell ref="A53:H53"/>
    <mergeCell ref="A44:B44"/>
    <mergeCell ref="A48:B48"/>
    <mergeCell ref="A46:B46"/>
    <mergeCell ref="A54:H54"/>
    <mergeCell ref="A35:H35"/>
    <mergeCell ref="A36:H36"/>
    <mergeCell ref="A39:B39"/>
    <mergeCell ref="A40:B40"/>
    <mergeCell ref="A37:B37"/>
    <mergeCell ref="C37:D37"/>
    <mergeCell ref="A38:B38"/>
    <mergeCell ref="A49:H49"/>
    <mergeCell ref="G37:H37"/>
    <mergeCell ref="E37:F37"/>
    <mergeCell ref="A42:B42"/>
    <mergeCell ref="A41:B41"/>
    <mergeCell ref="A47:B47"/>
    <mergeCell ref="W1:AB1"/>
    <mergeCell ref="W2:AB4"/>
    <mergeCell ref="A7:H7"/>
    <mergeCell ref="A1:H1"/>
    <mergeCell ref="A2:H2"/>
    <mergeCell ref="A3:H3"/>
    <mergeCell ref="A4:H4"/>
    <mergeCell ref="A6:H6"/>
    <mergeCell ref="S1:T1"/>
    <mergeCell ref="A5:H5"/>
    <mergeCell ref="S4:T4"/>
    <mergeCell ref="A8:H8"/>
    <mergeCell ref="A9:H9"/>
    <mergeCell ref="A10:H10"/>
    <mergeCell ref="A11:H11"/>
    <mergeCell ref="A27:H27"/>
    <mergeCell ref="A12:H12"/>
    <mergeCell ref="A13:H13"/>
    <mergeCell ref="A14:H14"/>
    <mergeCell ref="A15:H15"/>
    <mergeCell ref="A16:H16"/>
    <mergeCell ref="A20:H20"/>
    <mergeCell ref="A21:H21"/>
    <mergeCell ref="A23:H23"/>
    <mergeCell ref="A24:H24"/>
    <mergeCell ref="A25:H25"/>
    <mergeCell ref="A17:H17"/>
    <mergeCell ref="A18:H18"/>
    <mergeCell ref="A26:H26"/>
    <mergeCell ref="A22:H22"/>
    <mergeCell ref="A19:H19"/>
    <mergeCell ref="A89:H89"/>
    <mergeCell ref="A90:H90"/>
    <mergeCell ref="A91:H91"/>
    <mergeCell ref="S88:T88"/>
    <mergeCell ref="S89:T89"/>
    <mergeCell ref="S90:T90"/>
    <mergeCell ref="S91:T91"/>
    <mergeCell ref="B77:H77"/>
    <mergeCell ref="B81:H81"/>
    <mergeCell ref="A82:H82"/>
    <mergeCell ref="B80:H80"/>
    <mergeCell ref="A85:H85"/>
    <mergeCell ref="A86:H86"/>
    <mergeCell ref="A87:H87"/>
    <mergeCell ref="B78:H78"/>
    <mergeCell ref="B79:H79"/>
    <mergeCell ref="A84:H84"/>
    <mergeCell ref="A83:H83"/>
    <mergeCell ref="S85:T85"/>
    <mergeCell ref="S86:T86"/>
    <mergeCell ref="S87:T87"/>
    <mergeCell ref="S22:T22"/>
    <mergeCell ref="S82:T82"/>
    <mergeCell ref="S83:T83"/>
    <mergeCell ref="S84:T84"/>
    <mergeCell ref="A88:H88"/>
    <mergeCell ref="A55:H55"/>
    <mergeCell ref="A56:H56"/>
    <mergeCell ref="A58:H58"/>
    <mergeCell ref="B76:H76"/>
    <mergeCell ref="A60:H60"/>
    <mergeCell ref="A65:H65"/>
    <mergeCell ref="A62:H62"/>
    <mergeCell ref="A64:H64"/>
    <mergeCell ref="A66:H66"/>
    <mergeCell ref="A50:H50"/>
    <mergeCell ref="A33:H33"/>
    <mergeCell ref="A34:H34"/>
    <mergeCell ref="A28:H28"/>
    <mergeCell ref="A29:H29"/>
    <mergeCell ref="A30:H30"/>
    <mergeCell ref="A31:H31"/>
    <mergeCell ref="A32:H32"/>
    <mergeCell ref="A45:B45"/>
    <mergeCell ref="A43:B43"/>
  </mergeCells>
  <printOptions horizontalCentered="1"/>
  <pageMargins left="1" right="1" top="1" bottom="1" header="0.5" footer="0.5"/>
  <pageSetup scale="95" fitToHeight="0" orientation="portrait" r:id="rId1"/>
  <headerFooter>
    <oddFooter>&amp;C&amp;P</oddFooter>
  </headerFooter>
  <ignoredErrors>
    <ignoredError sqref="U23 U52 U55 U58:U62 U63:U70 U34 E40 G40:G41 E43 D47 F47 G4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AG50"/>
  <sheetViews>
    <sheetView zoomScaleNormal="100" workbookViewId="0">
      <selection activeCell="B8" sqref="B8"/>
    </sheetView>
  </sheetViews>
  <sheetFormatPr defaultColWidth="9.109375" defaultRowHeight="13.2"/>
  <cols>
    <col min="1" max="1" width="14.33203125" style="7" customWidth="1"/>
    <col min="2" max="2" width="28.5546875" style="7" customWidth="1"/>
    <col min="3" max="3" width="1.33203125" style="7" customWidth="1"/>
    <col min="4" max="4" width="10.6640625" style="7" customWidth="1"/>
    <col min="5" max="8" width="5" style="7" customWidth="1"/>
    <col min="9" max="9" width="1" style="7" customWidth="1"/>
    <col min="10" max="13" width="5" style="7" customWidth="1"/>
    <col min="14" max="14" width="1" style="7" customWidth="1"/>
    <col min="15" max="18" width="5" style="7" customWidth="1"/>
    <col min="19" max="19" width="1" style="7" customWidth="1"/>
    <col min="20" max="23" width="5" style="7" customWidth="1"/>
    <col min="24" max="24" width="1" style="7" customWidth="1"/>
    <col min="25" max="28" width="5" style="7" customWidth="1"/>
    <col min="29" max="29" width="1" style="7" customWidth="1"/>
    <col min="30" max="33" width="5" style="7" customWidth="1"/>
    <col min="34" max="16384" width="9.109375" style="7"/>
  </cols>
  <sheetData>
    <row r="1" spans="1:33" ht="14.25" customHeight="1" thickBot="1">
      <c r="A1" s="944" t="s">
        <v>291</v>
      </c>
      <c r="B1" s="945"/>
      <c r="C1" s="945"/>
      <c r="D1" s="945"/>
      <c r="E1" s="945"/>
      <c r="F1" s="945"/>
      <c r="G1" s="945"/>
      <c r="H1" s="945"/>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6"/>
    </row>
    <row r="2" spans="1:33" ht="14.25" customHeight="1" thickTop="1" thickBot="1">
      <c r="A2" s="947" t="s">
        <v>578</v>
      </c>
      <c r="B2" s="948"/>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9"/>
    </row>
    <row r="3" spans="1:33" ht="3.75" customHeight="1"/>
    <row r="4" spans="1:33" ht="12" customHeight="1">
      <c r="E4" s="915" t="s">
        <v>420</v>
      </c>
      <c r="F4" s="915"/>
      <c r="G4" s="915"/>
      <c r="H4" s="915"/>
      <c r="J4" s="915" t="str">
        <f>IF('BP1'!$K$5&gt;1,"Budget Period 2","")</f>
        <v/>
      </c>
      <c r="K4" s="915"/>
      <c r="L4" s="915"/>
      <c r="M4" s="915"/>
      <c r="O4" s="915" t="str">
        <f>IF('BP1'!$K$5&gt;2,"Budget Period 3","")</f>
        <v/>
      </c>
      <c r="P4" s="915"/>
      <c r="Q4" s="915"/>
      <c r="R4" s="915"/>
      <c r="T4" s="915" t="str">
        <f>IF('BP1'!$K$5&gt;3,"Budget Period 4","")</f>
        <v/>
      </c>
      <c r="U4" s="915"/>
      <c r="V4" s="915"/>
      <c r="W4" s="915"/>
      <c r="Y4" s="915" t="str">
        <f>IF('BP1'!$K$5&gt;4,"Budget Period 5","")</f>
        <v/>
      </c>
      <c r="Z4" s="915"/>
      <c r="AA4" s="915"/>
      <c r="AB4" s="915"/>
      <c r="AD4" s="915" t="s">
        <v>582</v>
      </c>
      <c r="AE4" s="915"/>
      <c r="AF4" s="915"/>
      <c r="AG4" s="915"/>
    </row>
    <row r="5" spans="1:33" ht="12" customHeight="1" thickBot="1">
      <c r="E5" s="940" t="str">
        <f>IF('BP1'!$K$5&gt;0,CONCATENATE(TEXT('BP1'!$K$8,"m/d/yy")," - ",TEXT('BP1'!$K$10,"m/d/yy")),"")</f>
        <v>9/1/26 - 8/31/27</v>
      </c>
      <c r="F5" s="940"/>
      <c r="G5" s="940"/>
      <c r="H5" s="940"/>
      <c r="J5" s="940" t="str">
        <f>IF('BP1'!$K$5&gt;1,CONCATENATE(TEXT('BP2'!$K$8,"m/d/yy")," - ",TEXT('BP2'!$K$10,"m/d/yy")),"")</f>
        <v/>
      </c>
      <c r="K5" s="940"/>
      <c r="L5" s="940"/>
      <c r="M5" s="940"/>
      <c r="O5" s="940" t="str">
        <f>IF('BP1'!$K$5&gt;2,CONCATENATE(TEXT('BP3'!$K$8,"m/d/yy")," - ",TEXT('BP3'!$K$10,"m/d/yy")),"")</f>
        <v/>
      </c>
      <c r="P5" s="940"/>
      <c r="Q5" s="940"/>
      <c r="R5" s="940"/>
      <c r="T5" s="940" t="str">
        <f>IF('BP1'!$K$5&gt;3,CONCATENATE(TEXT('BP4'!$K$8,"m/d/yy")," - ",TEXT('BP4'!$K$10,"m/d/yy")),"")</f>
        <v/>
      </c>
      <c r="U5" s="940"/>
      <c r="V5" s="940"/>
      <c r="W5" s="940"/>
      <c r="Y5" s="940" t="str">
        <f>IF('BP1'!$K$5&gt;4,CONCATENATE(TEXT('BP5'!$K$8,"m/d/yy")," - ",TEXT('BP5'!$K$10,"m/d/yy")),"")</f>
        <v/>
      </c>
      <c r="Z5" s="940"/>
      <c r="AA5" s="940"/>
      <c r="AB5" s="940"/>
      <c r="AD5" s="915" t="str">
        <f ca="1">CONCATENATE(TEXT('BP1'!K8,"m/d/yy")," - ",TEXT(INDIRECT("BP"&amp;'BP1'!K5&amp;"!K10"),"m/d/yy"))</f>
        <v>9/1/26 - 8/31/27</v>
      </c>
      <c r="AE5" s="915"/>
      <c r="AF5" s="915"/>
      <c r="AG5" s="915"/>
    </row>
    <row r="6" spans="1:33" ht="12" customHeight="1" thickBot="1">
      <c r="A6" s="481"/>
      <c r="B6" s="491"/>
      <c r="E6" s="930" t="s">
        <v>197</v>
      </c>
      <c r="F6" s="931"/>
      <c r="G6" s="916" t="s">
        <v>505</v>
      </c>
      <c r="H6" s="917"/>
      <c r="J6" s="930" t="s">
        <v>197</v>
      </c>
      <c r="K6" s="931"/>
      <c r="L6" s="916" t="s">
        <v>505</v>
      </c>
      <c r="M6" s="917"/>
      <c r="O6" s="930" t="s">
        <v>197</v>
      </c>
      <c r="P6" s="931"/>
      <c r="Q6" s="916" t="s">
        <v>505</v>
      </c>
      <c r="R6" s="917"/>
      <c r="T6" s="930" t="s">
        <v>197</v>
      </c>
      <c r="U6" s="931"/>
      <c r="V6" s="916" t="s">
        <v>505</v>
      </c>
      <c r="W6" s="917"/>
      <c r="Y6" s="930" t="s">
        <v>197</v>
      </c>
      <c r="Z6" s="931"/>
      <c r="AA6" s="916" t="s">
        <v>505</v>
      </c>
      <c r="AB6" s="917"/>
      <c r="AD6" s="930" t="s">
        <v>197</v>
      </c>
      <c r="AE6" s="931"/>
      <c r="AF6" s="916" t="s">
        <v>505</v>
      </c>
      <c r="AG6" s="917"/>
    </row>
    <row r="7" spans="1:33" ht="12" customHeight="1">
      <c r="A7" s="950" t="s">
        <v>561</v>
      </c>
      <c r="B7" s="950"/>
      <c r="D7" s="490" t="s">
        <v>575</v>
      </c>
      <c r="E7" s="934">
        <v>0</v>
      </c>
      <c r="F7" s="935"/>
      <c r="G7" s="936">
        <v>0</v>
      </c>
      <c r="H7" s="937"/>
      <c r="J7" s="934">
        <v>0</v>
      </c>
      <c r="K7" s="935"/>
      <c r="L7" s="936">
        <v>0</v>
      </c>
      <c r="M7" s="937"/>
      <c r="O7" s="934">
        <v>0</v>
      </c>
      <c r="P7" s="935"/>
      <c r="Q7" s="936">
        <v>0</v>
      </c>
      <c r="R7" s="937"/>
      <c r="T7" s="934">
        <v>0</v>
      </c>
      <c r="U7" s="935"/>
      <c r="V7" s="936">
        <v>0</v>
      </c>
      <c r="W7" s="937"/>
      <c r="Y7" s="934">
        <v>0</v>
      </c>
      <c r="Z7" s="935"/>
      <c r="AA7" s="936">
        <v>0</v>
      </c>
      <c r="AB7" s="937"/>
      <c r="AD7" s="918">
        <f>IF('BP1'!$K$5&gt;4,E7+J7+O7+T7+Y7,IF('BP1'!$K$5&gt;3,E7+J7+O7+T7,IF('BP1'!$K$5&gt;2,E7+J7+O7,IF('BP1'!$K$5&gt;1,E7+J7,E7))))</f>
        <v>0</v>
      </c>
      <c r="AE7" s="919"/>
      <c r="AF7" s="924">
        <f>IF('BP1'!$K$5&gt;4,G7+L7+Q7+V7+AA7,IF('BP1'!$K$5&gt;3,G7+L7+Q7+V7,IF('BP1'!$K$5&gt;2,G7+L7+Q7,IF('BP1'!$K$5&gt;1,G7+L7,G7))))</f>
        <v>0</v>
      </c>
      <c r="AG7" s="925"/>
    </row>
    <row r="8" spans="1:33" ht="12" customHeight="1">
      <c r="A8" s="479" t="s">
        <v>573</v>
      </c>
      <c r="B8" s="480"/>
      <c r="D8" s="490" t="s">
        <v>576</v>
      </c>
      <c r="E8" s="934">
        <v>0</v>
      </c>
      <c r="F8" s="935"/>
      <c r="G8" s="936">
        <v>0</v>
      </c>
      <c r="H8" s="937"/>
      <c r="J8" s="934">
        <v>0</v>
      </c>
      <c r="K8" s="935"/>
      <c r="L8" s="936">
        <v>0</v>
      </c>
      <c r="M8" s="937"/>
      <c r="O8" s="934">
        <v>0</v>
      </c>
      <c r="P8" s="935"/>
      <c r="Q8" s="936">
        <v>0</v>
      </c>
      <c r="R8" s="937"/>
      <c r="T8" s="934">
        <v>0</v>
      </c>
      <c r="U8" s="935"/>
      <c r="V8" s="936">
        <v>0</v>
      </c>
      <c r="W8" s="937"/>
      <c r="Y8" s="934">
        <v>0</v>
      </c>
      <c r="Z8" s="935"/>
      <c r="AA8" s="936">
        <v>0</v>
      </c>
      <c r="AB8" s="937"/>
      <c r="AD8" s="918">
        <f>IF('BP1'!$K$5&gt;4,E8+J8+O8+T8+Y8,IF('BP1'!$K$5&gt;3,E8+J8+O8+T8,IF('BP1'!$K$5&gt;2,E8+J8+O8,IF('BP1'!$K$5&gt;1,E8+J8,E8))))</f>
        <v>0</v>
      </c>
      <c r="AE8" s="919"/>
      <c r="AF8" s="924">
        <f>IF('BP1'!$K$5&gt;4,G8+L8+Q8+V8+AA8,IF('BP1'!$K$5&gt;3,G8+L8+Q8+V8,IF('BP1'!$K$5&gt;2,G8+L8+Q8,IF('BP1'!$K$5&gt;1,G8+L8,G8))))</f>
        <v>0</v>
      </c>
      <c r="AG8" s="925"/>
    </row>
    <row r="9" spans="1:33" ht="12" customHeight="1" thickBot="1">
      <c r="A9" s="494" t="s">
        <v>574</v>
      </c>
      <c r="B9" s="495"/>
      <c r="C9" s="496"/>
      <c r="D9" s="497" t="s">
        <v>93</v>
      </c>
      <c r="E9" s="920">
        <f>E7+E8</f>
        <v>0</v>
      </c>
      <c r="F9" s="921"/>
      <c r="G9" s="928">
        <f>G7+G8</f>
        <v>0</v>
      </c>
      <c r="H9" s="929"/>
      <c r="I9" s="496"/>
      <c r="J9" s="920">
        <f>J7+J8</f>
        <v>0</v>
      </c>
      <c r="K9" s="921"/>
      <c r="L9" s="928">
        <f>IF(AND(L7="",L8=""),"",L7+L8)</f>
        <v>0</v>
      </c>
      <c r="M9" s="929"/>
      <c r="N9" s="496"/>
      <c r="O9" s="920">
        <f>O7+O8</f>
        <v>0</v>
      </c>
      <c r="P9" s="921"/>
      <c r="Q9" s="928">
        <f>IF(AND(Q7="",Q8=""),"",Q7+Q8)</f>
        <v>0</v>
      </c>
      <c r="R9" s="929"/>
      <c r="S9" s="496"/>
      <c r="T9" s="920">
        <f>T7+T8</f>
        <v>0</v>
      </c>
      <c r="U9" s="921"/>
      <c r="V9" s="928">
        <f>IF(AND(V7="",V8=""),"",V7+V8)</f>
        <v>0</v>
      </c>
      <c r="W9" s="929"/>
      <c r="X9" s="496"/>
      <c r="Y9" s="920">
        <f>Y7+Y8</f>
        <v>0</v>
      </c>
      <c r="Z9" s="921"/>
      <c r="AA9" s="928">
        <f>IF(AND(AA7="",AA8=""),"",AA7+AA8)</f>
        <v>0</v>
      </c>
      <c r="AB9" s="929"/>
      <c r="AC9" s="496"/>
      <c r="AD9" s="920">
        <f>AD7+AD8</f>
        <v>0</v>
      </c>
      <c r="AE9" s="921"/>
      <c r="AF9" s="928">
        <f>AF7+AF8</f>
        <v>0</v>
      </c>
      <c r="AG9" s="929"/>
    </row>
    <row r="10" spans="1:33" ht="12" customHeight="1" thickTop="1">
      <c r="A10" s="951" t="s">
        <v>562</v>
      </c>
      <c r="B10" s="951"/>
      <c r="D10" s="490" t="s">
        <v>575</v>
      </c>
      <c r="E10" s="934">
        <v>0</v>
      </c>
      <c r="F10" s="935"/>
      <c r="G10" s="936">
        <v>0</v>
      </c>
      <c r="H10" s="937"/>
      <c r="J10" s="934">
        <v>0</v>
      </c>
      <c r="K10" s="935"/>
      <c r="L10" s="936">
        <v>0</v>
      </c>
      <c r="M10" s="937"/>
      <c r="O10" s="934">
        <v>0</v>
      </c>
      <c r="P10" s="935"/>
      <c r="Q10" s="936">
        <v>0</v>
      </c>
      <c r="R10" s="937"/>
      <c r="T10" s="934">
        <v>0</v>
      </c>
      <c r="U10" s="935"/>
      <c r="V10" s="936">
        <v>0</v>
      </c>
      <c r="W10" s="937"/>
      <c r="Y10" s="934">
        <v>0</v>
      </c>
      <c r="Z10" s="935"/>
      <c r="AA10" s="938">
        <v>0</v>
      </c>
      <c r="AB10" s="939"/>
      <c r="AD10" s="922">
        <f>IF('BP1'!$K$5&gt;4,E10+J10+O10+T10+Y10,IF('BP1'!$K$5&gt;3,E10+J10+O10+T10,IF('BP1'!$K$5&gt;2,E10+J10+O10,IF('BP1'!$K$5&gt;1,E10+J10,E10))))</f>
        <v>0</v>
      </c>
      <c r="AE10" s="923"/>
      <c r="AF10" s="926">
        <f>IF('BP1'!$K$5&gt;4,G10+L10+Q10+V10+AA10,IF('BP1'!$K$5&gt;3,G10+L10+Q10+V10,IF('BP1'!$K$5&gt;2,G10+L10+Q10,IF('BP1'!$K$5&gt;1,G10+L10,G10))))</f>
        <v>0</v>
      </c>
      <c r="AG10" s="927"/>
    </row>
    <row r="11" spans="1:33" ht="12" customHeight="1">
      <c r="A11" s="479" t="s">
        <v>573</v>
      </c>
      <c r="B11" s="480"/>
      <c r="D11" s="490" t="s">
        <v>576</v>
      </c>
      <c r="E11" s="934">
        <v>0</v>
      </c>
      <c r="F11" s="935"/>
      <c r="G11" s="936">
        <v>0</v>
      </c>
      <c r="H11" s="937"/>
      <c r="J11" s="934">
        <v>0</v>
      </c>
      <c r="K11" s="935"/>
      <c r="L11" s="936">
        <v>0</v>
      </c>
      <c r="M11" s="937"/>
      <c r="O11" s="934">
        <v>0</v>
      </c>
      <c r="P11" s="935"/>
      <c r="Q11" s="936">
        <v>0</v>
      </c>
      <c r="R11" s="937"/>
      <c r="T11" s="934">
        <v>0</v>
      </c>
      <c r="U11" s="935"/>
      <c r="V11" s="936">
        <v>0</v>
      </c>
      <c r="W11" s="937"/>
      <c r="Y11" s="934">
        <v>0</v>
      </c>
      <c r="Z11" s="935"/>
      <c r="AA11" s="936">
        <v>0</v>
      </c>
      <c r="AB11" s="937"/>
      <c r="AD11" s="918">
        <f>IF('BP1'!$K$5&gt;4,E11+J11+O11+T11+Y11,IF('BP1'!$K$5&gt;3,E11+J11+O11+T11,IF('BP1'!$K$5&gt;2,E11+J11+O11,IF('BP1'!$K$5&gt;1,E11+J11,E11))))</f>
        <v>0</v>
      </c>
      <c r="AE11" s="919"/>
      <c r="AF11" s="924">
        <f>IF('BP1'!$K$5&gt;4,G11+L11+Q11+V11+AA11,IF('BP1'!$K$5&gt;3,G11+L11+Q11+V11,IF('BP1'!$K$5&gt;2,G11+L11+Q11,IF('BP1'!$K$5&gt;1,G11+L11,G11))))</f>
        <v>0</v>
      </c>
      <c r="AG11" s="925"/>
    </row>
    <row r="12" spans="1:33" ht="12" customHeight="1" thickBot="1">
      <c r="A12" s="494" t="s">
        <v>574</v>
      </c>
      <c r="B12" s="495"/>
      <c r="C12" s="496"/>
      <c r="D12" s="497" t="s">
        <v>93</v>
      </c>
      <c r="E12" s="920">
        <f>E10+E11</f>
        <v>0</v>
      </c>
      <c r="F12" s="921"/>
      <c r="G12" s="928">
        <f>G10+G11</f>
        <v>0</v>
      </c>
      <c r="H12" s="929"/>
      <c r="I12" s="496"/>
      <c r="J12" s="920">
        <f>J10+J11</f>
        <v>0</v>
      </c>
      <c r="K12" s="921"/>
      <c r="L12" s="928">
        <f>IF(AND(L10="",L11=""),"",L10+L11)</f>
        <v>0</v>
      </c>
      <c r="M12" s="929"/>
      <c r="N12" s="496"/>
      <c r="O12" s="920">
        <f>O10+O11</f>
        <v>0</v>
      </c>
      <c r="P12" s="921"/>
      <c r="Q12" s="928">
        <f>IF(AND(Q10="",Q11=""),"",Q10+Q11)</f>
        <v>0</v>
      </c>
      <c r="R12" s="929"/>
      <c r="S12" s="496"/>
      <c r="T12" s="920">
        <f>T10+T11</f>
        <v>0</v>
      </c>
      <c r="U12" s="921"/>
      <c r="V12" s="928">
        <f>IF(AND(V10="",V11=""),"",V10+V11)</f>
        <v>0</v>
      </c>
      <c r="W12" s="929"/>
      <c r="X12" s="496"/>
      <c r="Y12" s="920">
        <f>Y10+Y11</f>
        <v>0</v>
      </c>
      <c r="Z12" s="921"/>
      <c r="AA12" s="928">
        <f>IF(AND(AA10="",AA11=""),"",AA10+AA11)</f>
        <v>0</v>
      </c>
      <c r="AB12" s="929"/>
      <c r="AC12" s="496"/>
      <c r="AD12" s="920">
        <f>AD10+AD11</f>
        <v>0</v>
      </c>
      <c r="AE12" s="921"/>
      <c r="AF12" s="928">
        <f>AF10+AF11</f>
        <v>0</v>
      </c>
      <c r="AG12" s="929"/>
    </row>
    <row r="13" spans="1:33" ht="12" customHeight="1" thickTop="1">
      <c r="A13" s="951" t="s">
        <v>563</v>
      </c>
      <c r="B13" s="951"/>
      <c r="D13" s="490" t="s">
        <v>575</v>
      </c>
      <c r="E13" s="934">
        <v>0</v>
      </c>
      <c r="F13" s="935"/>
      <c r="G13" s="936">
        <v>0</v>
      </c>
      <c r="H13" s="937"/>
      <c r="J13" s="934">
        <v>0</v>
      </c>
      <c r="K13" s="935"/>
      <c r="L13" s="936">
        <v>0</v>
      </c>
      <c r="M13" s="937"/>
      <c r="O13" s="934">
        <v>0</v>
      </c>
      <c r="P13" s="935"/>
      <c r="Q13" s="936">
        <v>0</v>
      </c>
      <c r="R13" s="937"/>
      <c r="T13" s="934">
        <v>0</v>
      </c>
      <c r="U13" s="935"/>
      <c r="V13" s="936">
        <v>0</v>
      </c>
      <c r="W13" s="937"/>
      <c r="Y13" s="934">
        <v>0</v>
      </c>
      <c r="Z13" s="935"/>
      <c r="AA13" s="938">
        <v>0</v>
      </c>
      <c r="AB13" s="939"/>
      <c r="AD13" s="922">
        <f>IF('BP1'!$K$5&gt;4,E13+J13+O13+T13+Y13,IF('BP1'!$K$5&gt;3,E13+J13+O13+T13,IF('BP1'!$K$5&gt;2,E13+J13+O13,IF('BP1'!$K$5&gt;1,E13+J13,E13))))</f>
        <v>0</v>
      </c>
      <c r="AE13" s="923"/>
      <c r="AF13" s="926">
        <f>IF('BP1'!$K$5&gt;4,G13+L13+Q13+V13+AA13,IF('BP1'!$K$5&gt;3,G13+L13+Q13+V13,IF('BP1'!$K$5&gt;2,G13+L13+Q13,IF('BP1'!$K$5&gt;1,G13+L13,G13))))</f>
        <v>0</v>
      </c>
      <c r="AG13" s="927"/>
    </row>
    <row r="14" spans="1:33" ht="12" customHeight="1">
      <c r="A14" s="479" t="s">
        <v>573</v>
      </c>
      <c r="B14" s="480"/>
      <c r="D14" s="490" t="s">
        <v>576</v>
      </c>
      <c r="E14" s="934">
        <v>0</v>
      </c>
      <c r="F14" s="935"/>
      <c r="G14" s="936">
        <v>0</v>
      </c>
      <c r="H14" s="937"/>
      <c r="J14" s="934">
        <v>0</v>
      </c>
      <c r="K14" s="935"/>
      <c r="L14" s="936">
        <v>0</v>
      </c>
      <c r="M14" s="937"/>
      <c r="O14" s="934">
        <v>0</v>
      </c>
      <c r="P14" s="935"/>
      <c r="Q14" s="936">
        <v>0</v>
      </c>
      <c r="R14" s="937"/>
      <c r="T14" s="934">
        <v>0</v>
      </c>
      <c r="U14" s="935"/>
      <c r="V14" s="936">
        <v>0</v>
      </c>
      <c r="W14" s="937"/>
      <c r="Y14" s="934">
        <v>0</v>
      </c>
      <c r="Z14" s="935"/>
      <c r="AA14" s="936">
        <v>0</v>
      </c>
      <c r="AB14" s="937"/>
      <c r="AD14" s="918">
        <f>IF('BP1'!$K$5&gt;4,E14+J14+O14+T14+Y14,IF('BP1'!$K$5&gt;3,E14+J14+O14+T14,IF('BP1'!$K$5&gt;2,E14+J14+O14,IF('BP1'!$K$5&gt;1,E14+J14,E14))))</f>
        <v>0</v>
      </c>
      <c r="AE14" s="919"/>
      <c r="AF14" s="924">
        <f>IF('BP1'!$K$5&gt;4,G14+L14+Q14+V14+AA14,IF('BP1'!$K$5&gt;3,G14+L14+Q14+V14,IF('BP1'!$K$5&gt;2,G14+L14+Q14,IF('BP1'!$K$5&gt;1,G14+L14,G14))))</f>
        <v>0</v>
      </c>
      <c r="AG14" s="925"/>
    </row>
    <row r="15" spans="1:33" ht="12" customHeight="1" thickBot="1">
      <c r="A15" s="494" t="s">
        <v>574</v>
      </c>
      <c r="B15" s="495"/>
      <c r="C15" s="496"/>
      <c r="D15" s="497" t="s">
        <v>93</v>
      </c>
      <c r="E15" s="920">
        <f>E13+E14</f>
        <v>0</v>
      </c>
      <c r="F15" s="921"/>
      <c r="G15" s="928">
        <f>G13+G14</f>
        <v>0</v>
      </c>
      <c r="H15" s="929"/>
      <c r="I15" s="496"/>
      <c r="J15" s="920">
        <f>J13+J14</f>
        <v>0</v>
      </c>
      <c r="K15" s="921"/>
      <c r="L15" s="928">
        <f>IF(AND(L13="",L14=""),"",L13+L14)</f>
        <v>0</v>
      </c>
      <c r="M15" s="929"/>
      <c r="N15" s="496"/>
      <c r="O15" s="920">
        <f>O13+O14</f>
        <v>0</v>
      </c>
      <c r="P15" s="921"/>
      <c r="Q15" s="928">
        <f>IF(AND(Q13="",Q14=""),"",Q13+Q14)</f>
        <v>0</v>
      </c>
      <c r="R15" s="929"/>
      <c r="S15" s="496"/>
      <c r="T15" s="920">
        <f>T13+T14</f>
        <v>0</v>
      </c>
      <c r="U15" s="921"/>
      <c r="V15" s="928">
        <f>IF(AND(V13="",V14=""),"",V13+V14)</f>
        <v>0</v>
      </c>
      <c r="W15" s="929"/>
      <c r="X15" s="496"/>
      <c r="Y15" s="920">
        <f>Y13+Y14</f>
        <v>0</v>
      </c>
      <c r="Z15" s="921"/>
      <c r="AA15" s="928">
        <f>IF(AND(AA13="",AA14=""),"",AA13+AA14)</f>
        <v>0</v>
      </c>
      <c r="AB15" s="929"/>
      <c r="AC15" s="496"/>
      <c r="AD15" s="920">
        <f>AD13+AD14</f>
        <v>0</v>
      </c>
      <c r="AE15" s="921"/>
      <c r="AF15" s="928">
        <f>AF13+AF14</f>
        <v>0</v>
      </c>
      <c r="AG15" s="929"/>
    </row>
    <row r="16" spans="1:33" ht="12" customHeight="1" thickTop="1">
      <c r="A16" s="951" t="s">
        <v>564</v>
      </c>
      <c r="B16" s="951"/>
      <c r="D16" s="490" t="s">
        <v>575</v>
      </c>
      <c r="E16" s="934">
        <v>0</v>
      </c>
      <c r="F16" s="935"/>
      <c r="G16" s="936">
        <v>0</v>
      </c>
      <c r="H16" s="937"/>
      <c r="J16" s="934">
        <v>0</v>
      </c>
      <c r="K16" s="935"/>
      <c r="L16" s="936">
        <v>0</v>
      </c>
      <c r="M16" s="937"/>
      <c r="O16" s="934">
        <v>0</v>
      </c>
      <c r="P16" s="935"/>
      <c r="Q16" s="936">
        <v>0</v>
      </c>
      <c r="R16" s="937"/>
      <c r="T16" s="934">
        <v>0</v>
      </c>
      <c r="U16" s="935"/>
      <c r="V16" s="936">
        <v>0</v>
      </c>
      <c r="W16" s="937"/>
      <c r="Y16" s="934">
        <v>0</v>
      </c>
      <c r="Z16" s="935"/>
      <c r="AA16" s="938">
        <v>0</v>
      </c>
      <c r="AB16" s="939"/>
      <c r="AD16" s="922">
        <f>IF('BP1'!$K$5&gt;4,E16+J16+O16+T16+Y16,IF('BP1'!$K$5&gt;3,E16+J16+O16+T16,IF('BP1'!$K$5&gt;2,E16+J16+O16,IF('BP1'!$K$5&gt;1,E16+J16,E16))))</f>
        <v>0</v>
      </c>
      <c r="AE16" s="923"/>
      <c r="AF16" s="926">
        <f>IF('BP1'!$K$5&gt;4,G16+L16+Q16+V16+AA16,IF('BP1'!$K$5&gt;3,G16+L16+Q16+V16,IF('BP1'!$K$5&gt;2,G16+L16+Q16,IF('BP1'!$K$5&gt;1,G16+L16,G16))))</f>
        <v>0</v>
      </c>
      <c r="AG16" s="927"/>
    </row>
    <row r="17" spans="1:33" ht="12" customHeight="1">
      <c r="A17" s="479" t="s">
        <v>573</v>
      </c>
      <c r="B17" s="480"/>
      <c r="D17" s="490" t="s">
        <v>576</v>
      </c>
      <c r="E17" s="934">
        <v>0</v>
      </c>
      <c r="F17" s="935"/>
      <c r="G17" s="936">
        <v>0</v>
      </c>
      <c r="H17" s="937"/>
      <c r="J17" s="934">
        <v>0</v>
      </c>
      <c r="K17" s="935"/>
      <c r="L17" s="936">
        <v>0</v>
      </c>
      <c r="M17" s="937"/>
      <c r="O17" s="934">
        <v>0</v>
      </c>
      <c r="P17" s="935"/>
      <c r="Q17" s="936">
        <v>0</v>
      </c>
      <c r="R17" s="937"/>
      <c r="T17" s="934">
        <v>0</v>
      </c>
      <c r="U17" s="935"/>
      <c r="V17" s="936">
        <v>0</v>
      </c>
      <c r="W17" s="937"/>
      <c r="Y17" s="934">
        <v>0</v>
      </c>
      <c r="Z17" s="935"/>
      <c r="AA17" s="936">
        <v>0</v>
      </c>
      <c r="AB17" s="937"/>
      <c r="AD17" s="918">
        <f>IF('BP1'!$K$5&gt;4,E17+J17+O17+T17+Y17,IF('BP1'!$K$5&gt;3,E17+J17+O17+T17,IF('BP1'!$K$5&gt;2,E17+J17+O17,IF('BP1'!$K$5&gt;1,E17+J17,E17))))</f>
        <v>0</v>
      </c>
      <c r="AE17" s="919"/>
      <c r="AF17" s="924">
        <f>IF('BP1'!$K$5&gt;4,G17+L17+Q17+V17+AA17,IF('BP1'!$K$5&gt;3,G17+L17+Q17+V17,IF('BP1'!$K$5&gt;2,G17+L17+Q17,IF('BP1'!$K$5&gt;1,G17+L17,G17))))</f>
        <v>0</v>
      </c>
      <c r="AG17" s="925"/>
    </row>
    <row r="18" spans="1:33" ht="12" customHeight="1" thickBot="1">
      <c r="A18" s="494" t="s">
        <v>574</v>
      </c>
      <c r="B18" s="495"/>
      <c r="C18" s="496"/>
      <c r="D18" s="497" t="s">
        <v>93</v>
      </c>
      <c r="E18" s="920">
        <f>E16+E17</f>
        <v>0</v>
      </c>
      <c r="F18" s="921"/>
      <c r="G18" s="928">
        <f>G16+G17</f>
        <v>0</v>
      </c>
      <c r="H18" s="929"/>
      <c r="I18" s="496"/>
      <c r="J18" s="920">
        <f>J16+J17</f>
        <v>0</v>
      </c>
      <c r="K18" s="921"/>
      <c r="L18" s="928">
        <f>IF(AND(L16="",L17=""),"",L16+L17)</f>
        <v>0</v>
      </c>
      <c r="M18" s="929"/>
      <c r="N18" s="496"/>
      <c r="O18" s="920">
        <f>O16+O17</f>
        <v>0</v>
      </c>
      <c r="P18" s="921"/>
      <c r="Q18" s="928">
        <f>IF(AND(Q16="",Q17=""),"",Q16+Q17)</f>
        <v>0</v>
      </c>
      <c r="R18" s="929"/>
      <c r="S18" s="496"/>
      <c r="T18" s="920">
        <f>T16+T17</f>
        <v>0</v>
      </c>
      <c r="U18" s="921"/>
      <c r="V18" s="928">
        <f>IF(AND(V16="",V17=""),"",V16+V17)</f>
        <v>0</v>
      </c>
      <c r="W18" s="929"/>
      <c r="X18" s="496"/>
      <c r="Y18" s="920">
        <f>Y16+Y17</f>
        <v>0</v>
      </c>
      <c r="Z18" s="921"/>
      <c r="AA18" s="928">
        <f>IF(AND(AA16="",AA17=""),"",AA16+AA17)</f>
        <v>0</v>
      </c>
      <c r="AB18" s="929"/>
      <c r="AC18" s="496"/>
      <c r="AD18" s="920">
        <f>AD16+AD17</f>
        <v>0</v>
      </c>
      <c r="AE18" s="921"/>
      <c r="AF18" s="928">
        <f>AF16+AF17</f>
        <v>0</v>
      </c>
      <c r="AG18" s="929"/>
    </row>
    <row r="19" spans="1:33" ht="12" customHeight="1" thickTop="1">
      <c r="A19" s="951" t="s">
        <v>565</v>
      </c>
      <c r="B19" s="951"/>
      <c r="D19" s="490" t="s">
        <v>575</v>
      </c>
      <c r="E19" s="934">
        <v>0</v>
      </c>
      <c r="F19" s="935"/>
      <c r="G19" s="936">
        <v>0</v>
      </c>
      <c r="H19" s="937"/>
      <c r="J19" s="934">
        <v>0</v>
      </c>
      <c r="K19" s="935"/>
      <c r="L19" s="936">
        <v>0</v>
      </c>
      <c r="M19" s="937"/>
      <c r="O19" s="934">
        <v>0</v>
      </c>
      <c r="P19" s="935"/>
      <c r="Q19" s="936">
        <v>0</v>
      </c>
      <c r="R19" s="937"/>
      <c r="T19" s="934">
        <v>0</v>
      </c>
      <c r="U19" s="935"/>
      <c r="V19" s="936">
        <v>0</v>
      </c>
      <c r="W19" s="937"/>
      <c r="Y19" s="934">
        <v>0</v>
      </c>
      <c r="Z19" s="935"/>
      <c r="AA19" s="938">
        <v>0</v>
      </c>
      <c r="AB19" s="939"/>
      <c r="AD19" s="922">
        <f>IF('BP1'!$K$5&gt;4,E19+J19+O19+T19+Y19,IF('BP1'!$K$5&gt;3,E19+J19+O19+T19,IF('BP1'!$K$5&gt;2,E19+J19+O19,IF('BP1'!$K$5&gt;1,E19+J19,E19))))</f>
        <v>0</v>
      </c>
      <c r="AE19" s="923"/>
      <c r="AF19" s="926">
        <f>IF('BP1'!$K$5&gt;4,G19+L19+Q19+V19+AA19,IF('BP1'!$K$5&gt;3,G19+L19+Q19+V19,IF('BP1'!$K$5&gt;2,G19+L19+Q19,IF('BP1'!$K$5&gt;1,G19+L19,G19))))</f>
        <v>0</v>
      </c>
      <c r="AG19" s="927"/>
    </row>
    <row r="20" spans="1:33" ht="12" customHeight="1">
      <c r="A20" s="479" t="s">
        <v>573</v>
      </c>
      <c r="B20" s="480"/>
      <c r="D20" s="490" t="s">
        <v>576</v>
      </c>
      <c r="E20" s="934">
        <v>0</v>
      </c>
      <c r="F20" s="935"/>
      <c r="G20" s="936">
        <v>0</v>
      </c>
      <c r="H20" s="937"/>
      <c r="J20" s="934">
        <v>0</v>
      </c>
      <c r="K20" s="935"/>
      <c r="L20" s="936">
        <v>0</v>
      </c>
      <c r="M20" s="937"/>
      <c r="O20" s="934">
        <v>0</v>
      </c>
      <c r="P20" s="935"/>
      <c r="Q20" s="936">
        <v>0</v>
      </c>
      <c r="R20" s="937"/>
      <c r="T20" s="934">
        <v>0</v>
      </c>
      <c r="U20" s="935"/>
      <c r="V20" s="936">
        <v>0</v>
      </c>
      <c r="W20" s="937"/>
      <c r="Y20" s="934">
        <v>0</v>
      </c>
      <c r="Z20" s="935"/>
      <c r="AA20" s="936">
        <v>0</v>
      </c>
      <c r="AB20" s="937"/>
      <c r="AD20" s="918">
        <f>IF('BP1'!$K$5&gt;4,E20+J20+O20+T20+Y20,IF('BP1'!$K$5&gt;3,E20+J20+O20+T20,IF('BP1'!$K$5&gt;2,E20+J20+O20,IF('BP1'!$K$5&gt;1,E20+J20,E20))))</f>
        <v>0</v>
      </c>
      <c r="AE20" s="919"/>
      <c r="AF20" s="924">
        <f>IF('BP1'!$K$5&gt;4,G20+L20+Q20+V20+AA20,IF('BP1'!$K$5&gt;3,G20+L20+Q20+V20,IF('BP1'!$K$5&gt;2,G20+L20+Q20,IF('BP1'!$K$5&gt;1,G20+L20,G20))))</f>
        <v>0</v>
      </c>
      <c r="AG20" s="925"/>
    </row>
    <row r="21" spans="1:33" ht="12" customHeight="1" thickBot="1">
      <c r="A21" s="494" t="s">
        <v>574</v>
      </c>
      <c r="B21" s="495"/>
      <c r="C21" s="496"/>
      <c r="D21" s="497" t="s">
        <v>93</v>
      </c>
      <c r="E21" s="920">
        <f>E19+E20</f>
        <v>0</v>
      </c>
      <c r="F21" s="921"/>
      <c r="G21" s="928">
        <f>G19+G20</f>
        <v>0</v>
      </c>
      <c r="H21" s="929"/>
      <c r="I21" s="496"/>
      <c r="J21" s="920">
        <f>J19+J20</f>
        <v>0</v>
      </c>
      <c r="K21" s="921"/>
      <c r="L21" s="928">
        <f>IF(AND(L19="",L20=""),"",L19+L20)</f>
        <v>0</v>
      </c>
      <c r="M21" s="929"/>
      <c r="N21" s="496"/>
      <c r="O21" s="920">
        <f>O19+O20</f>
        <v>0</v>
      </c>
      <c r="P21" s="921"/>
      <c r="Q21" s="928">
        <f>IF(AND(Q19="",Q20=""),"",Q19+Q20)</f>
        <v>0</v>
      </c>
      <c r="R21" s="929"/>
      <c r="S21" s="496"/>
      <c r="T21" s="920">
        <f>T19+T20</f>
        <v>0</v>
      </c>
      <c r="U21" s="921"/>
      <c r="V21" s="928">
        <f>IF(AND(V19="",V20=""),"",V19+V20)</f>
        <v>0</v>
      </c>
      <c r="W21" s="929"/>
      <c r="X21" s="496"/>
      <c r="Y21" s="920">
        <f>Y19+Y20</f>
        <v>0</v>
      </c>
      <c r="Z21" s="921"/>
      <c r="AA21" s="928">
        <f>IF(AND(AA19="",AA20=""),"",AA19+AA20)</f>
        <v>0</v>
      </c>
      <c r="AB21" s="929"/>
      <c r="AC21" s="496"/>
      <c r="AD21" s="920">
        <f>AD19+AD20</f>
        <v>0</v>
      </c>
      <c r="AE21" s="921"/>
      <c r="AF21" s="928">
        <f>AF19+AF20</f>
        <v>0</v>
      </c>
      <c r="AG21" s="929"/>
    </row>
    <row r="22" spans="1:33" ht="12" customHeight="1" thickTop="1">
      <c r="A22" s="951" t="s">
        <v>566</v>
      </c>
      <c r="B22" s="951"/>
      <c r="D22" s="490" t="s">
        <v>575</v>
      </c>
      <c r="E22" s="934">
        <v>0</v>
      </c>
      <c r="F22" s="935"/>
      <c r="G22" s="936">
        <v>0</v>
      </c>
      <c r="H22" s="937"/>
      <c r="J22" s="934">
        <v>0</v>
      </c>
      <c r="K22" s="935"/>
      <c r="L22" s="936">
        <v>0</v>
      </c>
      <c r="M22" s="937"/>
      <c r="O22" s="934">
        <v>0</v>
      </c>
      <c r="P22" s="935"/>
      <c r="Q22" s="936">
        <v>0</v>
      </c>
      <c r="R22" s="937"/>
      <c r="T22" s="934">
        <v>0</v>
      </c>
      <c r="U22" s="935"/>
      <c r="V22" s="936">
        <v>0</v>
      </c>
      <c r="W22" s="937"/>
      <c r="Y22" s="934">
        <v>0</v>
      </c>
      <c r="Z22" s="935"/>
      <c r="AA22" s="938">
        <v>0</v>
      </c>
      <c r="AB22" s="939"/>
      <c r="AD22" s="922">
        <f>IF('BP1'!$K$5&gt;4,E22+J22+O22+T22+Y22,IF('BP1'!$K$5&gt;3,E22+J22+O22+T22,IF('BP1'!$K$5&gt;2,E22+J22+O22,IF('BP1'!$K$5&gt;1,E22+J22,E22))))</f>
        <v>0</v>
      </c>
      <c r="AE22" s="923"/>
      <c r="AF22" s="926">
        <f>IF('BP1'!$K$5&gt;4,G22+L22+Q22+V22+AA22,IF('BP1'!$K$5&gt;3,G22+L22+Q22+V22,IF('BP1'!$K$5&gt;2,G22+L22+Q22,IF('BP1'!$K$5&gt;1,G22+L22,G22))))</f>
        <v>0</v>
      </c>
      <c r="AG22" s="927"/>
    </row>
    <row r="23" spans="1:33" ht="12" customHeight="1">
      <c r="A23" s="479" t="s">
        <v>573</v>
      </c>
      <c r="B23" s="480"/>
      <c r="D23" s="490" t="s">
        <v>576</v>
      </c>
      <c r="E23" s="934">
        <v>0</v>
      </c>
      <c r="F23" s="935"/>
      <c r="G23" s="936">
        <v>0</v>
      </c>
      <c r="H23" s="937"/>
      <c r="J23" s="934">
        <v>0</v>
      </c>
      <c r="K23" s="935"/>
      <c r="L23" s="936">
        <v>0</v>
      </c>
      <c r="M23" s="937"/>
      <c r="O23" s="934">
        <v>0</v>
      </c>
      <c r="P23" s="935"/>
      <c r="Q23" s="936">
        <v>0</v>
      </c>
      <c r="R23" s="937"/>
      <c r="T23" s="934">
        <v>0</v>
      </c>
      <c r="U23" s="935"/>
      <c r="V23" s="936">
        <v>0</v>
      </c>
      <c r="W23" s="937"/>
      <c r="Y23" s="934">
        <v>0</v>
      </c>
      <c r="Z23" s="935"/>
      <c r="AA23" s="936">
        <v>0</v>
      </c>
      <c r="AB23" s="937"/>
      <c r="AD23" s="918">
        <f>IF('BP1'!$K$5&gt;4,E23+J23+O23+T23+Y23,IF('BP1'!$K$5&gt;3,E23+J23+O23+T23,IF('BP1'!$K$5&gt;2,E23+J23+O23,IF('BP1'!$K$5&gt;1,E23+J23,E23))))</f>
        <v>0</v>
      </c>
      <c r="AE23" s="919"/>
      <c r="AF23" s="924">
        <f>IF('BP1'!$K$5&gt;4,G23+L23+Q23+V23+AA23,IF('BP1'!$K$5&gt;3,G23+L23+Q23+V23,IF('BP1'!$K$5&gt;2,G23+L23+Q23,IF('BP1'!$K$5&gt;1,G23+L23,G23))))</f>
        <v>0</v>
      </c>
      <c r="AG23" s="925"/>
    </row>
    <row r="24" spans="1:33" ht="12" customHeight="1" thickBot="1">
      <c r="A24" s="494" t="s">
        <v>574</v>
      </c>
      <c r="B24" s="495"/>
      <c r="C24" s="496"/>
      <c r="D24" s="497" t="s">
        <v>93</v>
      </c>
      <c r="E24" s="920">
        <f>E22+E23</f>
        <v>0</v>
      </c>
      <c r="F24" s="921"/>
      <c r="G24" s="928">
        <f>G22+G23</f>
        <v>0</v>
      </c>
      <c r="H24" s="929"/>
      <c r="I24" s="496"/>
      <c r="J24" s="920">
        <f>J22+J23</f>
        <v>0</v>
      </c>
      <c r="K24" s="921"/>
      <c r="L24" s="928">
        <f>IF(AND(L22="",L23=""),"",L22+L23)</f>
        <v>0</v>
      </c>
      <c r="M24" s="929"/>
      <c r="N24" s="496"/>
      <c r="O24" s="920">
        <f>O22+O23</f>
        <v>0</v>
      </c>
      <c r="P24" s="921"/>
      <c r="Q24" s="928">
        <f>IF(AND(Q22="",Q23=""),"",Q22+Q23)</f>
        <v>0</v>
      </c>
      <c r="R24" s="929"/>
      <c r="S24" s="496"/>
      <c r="T24" s="920">
        <f>T22+T23</f>
        <v>0</v>
      </c>
      <c r="U24" s="921"/>
      <c r="V24" s="928">
        <f>IF(AND(V22="",V23=""),"",V22+V23)</f>
        <v>0</v>
      </c>
      <c r="W24" s="929"/>
      <c r="X24" s="496"/>
      <c r="Y24" s="920">
        <f>Y22+Y23</f>
        <v>0</v>
      </c>
      <c r="Z24" s="921"/>
      <c r="AA24" s="928">
        <f>IF(AND(AA22="",AA23=""),"",AA22+AA23)</f>
        <v>0</v>
      </c>
      <c r="AB24" s="929"/>
      <c r="AC24" s="496"/>
      <c r="AD24" s="920">
        <f>AD22+AD23</f>
        <v>0</v>
      </c>
      <c r="AE24" s="921"/>
      <c r="AF24" s="928">
        <f>AF22+AF23</f>
        <v>0</v>
      </c>
      <c r="AG24" s="929"/>
    </row>
    <row r="25" spans="1:33" ht="12" customHeight="1" thickTop="1">
      <c r="A25" s="951" t="s">
        <v>567</v>
      </c>
      <c r="B25" s="951"/>
      <c r="D25" s="490" t="s">
        <v>575</v>
      </c>
      <c r="E25" s="934">
        <v>0</v>
      </c>
      <c r="F25" s="935"/>
      <c r="G25" s="936">
        <v>0</v>
      </c>
      <c r="H25" s="937"/>
      <c r="J25" s="934">
        <v>0</v>
      </c>
      <c r="K25" s="935"/>
      <c r="L25" s="936">
        <v>0</v>
      </c>
      <c r="M25" s="937"/>
      <c r="O25" s="934">
        <v>0</v>
      </c>
      <c r="P25" s="935"/>
      <c r="Q25" s="936">
        <v>0</v>
      </c>
      <c r="R25" s="937"/>
      <c r="T25" s="934">
        <v>0</v>
      </c>
      <c r="U25" s="935"/>
      <c r="V25" s="936">
        <v>0</v>
      </c>
      <c r="W25" s="937"/>
      <c r="Y25" s="934">
        <v>0</v>
      </c>
      <c r="Z25" s="935"/>
      <c r="AA25" s="938">
        <v>0</v>
      </c>
      <c r="AB25" s="939"/>
      <c r="AD25" s="922">
        <f>IF('BP1'!$K$5&gt;4,E25+J25+O25+T25+Y25,IF('BP1'!$K$5&gt;3,E25+J25+O25+T25,IF('BP1'!$K$5&gt;2,E25+J25+O25,IF('BP1'!$K$5&gt;1,E25+J25,E25))))</f>
        <v>0</v>
      </c>
      <c r="AE25" s="923"/>
      <c r="AF25" s="926">
        <f>IF('BP1'!$K$5&gt;4,G25+L25+Q25+V25+AA25,IF('BP1'!$K$5&gt;3,G25+L25+Q25+V25,IF('BP1'!$K$5&gt;2,G25+L25+Q25,IF('BP1'!$K$5&gt;1,G25+L25,G25))))</f>
        <v>0</v>
      </c>
      <c r="AG25" s="927"/>
    </row>
    <row r="26" spans="1:33" ht="12" customHeight="1">
      <c r="A26" s="479" t="s">
        <v>573</v>
      </c>
      <c r="B26" s="480"/>
      <c r="D26" s="490" t="s">
        <v>576</v>
      </c>
      <c r="E26" s="934">
        <v>0</v>
      </c>
      <c r="F26" s="935"/>
      <c r="G26" s="936">
        <v>0</v>
      </c>
      <c r="H26" s="937"/>
      <c r="J26" s="934">
        <v>0</v>
      </c>
      <c r="K26" s="935"/>
      <c r="L26" s="936">
        <v>0</v>
      </c>
      <c r="M26" s="937"/>
      <c r="O26" s="934">
        <v>0</v>
      </c>
      <c r="P26" s="935"/>
      <c r="Q26" s="936">
        <v>0</v>
      </c>
      <c r="R26" s="937"/>
      <c r="T26" s="934">
        <v>0</v>
      </c>
      <c r="U26" s="935"/>
      <c r="V26" s="936">
        <v>0</v>
      </c>
      <c r="W26" s="937"/>
      <c r="Y26" s="934">
        <v>0</v>
      </c>
      <c r="Z26" s="935"/>
      <c r="AA26" s="936">
        <v>0</v>
      </c>
      <c r="AB26" s="937"/>
      <c r="AD26" s="918">
        <f>IF('BP1'!$K$5&gt;4,E26+J26+O26+T26+Y26,IF('BP1'!$K$5&gt;3,E26+J26+O26+T26,IF('BP1'!$K$5&gt;2,E26+J26+O26,IF('BP1'!$K$5&gt;1,E26+J26,E26))))</f>
        <v>0</v>
      </c>
      <c r="AE26" s="919"/>
      <c r="AF26" s="924">
        <f>IF('BP1'!$K$5&gt;4,G26+L26+Q26+V26+AA26,IF('BP1'!$K$5&gt;3,G26+L26+Q26+V26,IF('BP1'!$K$5&gt;2,G26+L26+Q26,IF('BP1'!$K$5&gt;1,G26+L26,G26))))</f>
        <v>0</v>
      </c>
      <c r="AG26" s="925"/>
    </row>
    <row r="27" spans="1:33" ht="12" customHeight="1" thickBot="1">
      <c r="A27" s="494" t="s">
        <v>574</v>
      </c>
      <c r="B27" s="495"/>
      <c r="C27" s="496"/>
      <c r="D27" s="497" t="s">
        <v>93</v>
      </c>
      <c r="E27" s="920">
        <f>E25+E26</f>
        <v>0</v>
      </c>
      <c r="F27" s="921"/>
      <c r="G27" s="928">
        <f>G25+G26</f>
        <v>0</v>
      </c>
      <c r="H27" s="929"/>
      <c r="I27" s="496"/>
      <c r="J27" s="920">
        <f>J25+J26</f>
        <v>0</v>
      </c>
      <c r="K27" s="921"/>
      <c r="L27" s="928">
        <f>IF(AND(L25="",L26=""),"",L25+L26)</f>
        <v>0</v>
      </c>
      <c r="M27" s="929"/>
      <c r="N27" s="496"/>
      <c r="O27" s="920">
        <f>O25+O26</f>
        <v>0</v>
      </c>
      <c r="P27" s="921"/>
      <c r="Q27" s="928">
        <f>IF(AND(Q25="",Q26=""),"",Q25+Q26)</f>
        <v>0</v>
      </c>
      <c r="R27" s="929"/>
      <c r="S27" s="496"/>
      <c r="T27" s="920">
        <f>T25+T26</f>
        <v>0</v>
      </c>
      <c r="U27" s="921"/>
      <c r="V27" s="928">
        <f>IF(AND(V25="",V26=""),"",V25+V26)</f>
        <v>0</v>
      </c>
      <c r="W27" s="929"/>
      <c r="X27" s="496"/>
      <c r="Y27" s="920">
        <f>Y25+Y26</f>
        <v>0</v>
      </c>
      <c r="Z27" s="921"/>
      <c r="AA27" s="928">
        <f>IF(AND(AA25="",AA26=""),"",AA25+AA26)</f>
        <v>0</v>
      </c>
      <c r="AB27" s="929"/>
      <c r="AC27" s="496"/>
      <c r="AD27" s="920">
        <f>AD25+AD26</f>
        <v>0</v>
      </c>
      <c r="AE27" s="921"/>
      <c r="AF27" s="928">
        <f>AF25+AF26</f>
        <v>0</v>
      </c>
      <c r="AG27" s="929"/>
    </row>
    <row r="28" spans="1:33" ht="12" customHeight="1" thickTop="1">
      <c r="A28" s="951" t="s">
        <v>568</v>
      </c>
      <c r="B28" s="951"/>
      <c r="D28" s="490" t="s">
        <v>575</v>
      </c>
      <c r="E28" s="934">
        <v>0</v>
      </c>
      <c r="F28" s="935"/>
      <c r="G28" s="936">
        <v>0</v>
      </c>
      <c r="H28" s="937"/>
      <c r="J28" s="934">
        <v>0</v>
      </c>
      <c r="K28" s="935"/>
      <c r="L28" s="936">
        <v>0</v>
      </c>
      <c r="M28" s="937"/>
      <c r="O28" s="934">
        <v>0</v>
      </c>
      <c r="P28" s="935"/>
      <c r="Q28" s="936">
        <v>0</v>
      </c>
      <c r="R28" s="937"/>
      <c r="T28" s="934">
        <v>0</v>
      </c>
      <c r="U28" s="935"/>
      <c r="V28" s="936">
        <v>0</v>
      </c>
      <c r="W28" s="937"/>
      <c r="Y28" s="934">
        <v>0</v>
      </c>
      <c r="Z28" s="935"/>
      <c r="AA28" s="938">
        <v>0</v>
      </c>
      <c r="AB28" s="939"/>
      <c r="AD28" s="922">
        <f>IF('BP1'!$K$5&gt;4,E28+J28+O28+T28+Y28,IF('BP1'!$K$5&gt;3,E28+J28+O28+T28,IF('BP1'!$K$5&gt;2,E28+J28+O28,IF('BP1'!$K$5&gt;1,E28+J28,E28))))</f>
        <v>0</v>
      </c>
      <c r="AE28" s="923"/>
      <c r="AF28" s="926">
        <f>IF('BP1'!$K$5&gt;4,G28+L28+Q28+V28+AA28,IF('BP1'!$K$5&gt;3,G28+L28+Q28+V28,IF('BP1'!$K$5&gt;2,G28+L28+Q28,IF('BP1'!$K$5&gt;1,G28+L28,G28))))</f>
        <v>0</v>
      </c>
      <c r="AG28" s="927"/>
    </row>
    <row r="29" spans="1:33" ht="12" customHeight="1">
      <c r="A29" s="479" t="s">
        <v>573</v>
      </c>
      <c r="B29" s="480"/>
      <c r="D29" s="490" t="s">
        <v>576</v>
      </c>
      <c r="E29" s="934">
        <v>0</v>
      </c>
      <c r="F29" s="935"/>
      <c r="G29" s="936">
        <v>0</v>
      </c>
      <c r="H29" s="937"/>
      <c r="J29" s="934">
        <v>0</v>
      </c>
      <c r="K29" s="935"/>
      <c r="L29" s="936">
        <v>0</v>
      </c>
      <c r="M29" s="937"/>
      <c r="O29" s="934">
        <v>0</v>
      </c>
      <c r="P29" s="935"/>
      <c r="Q29" s="936">
        <v>0</v>
      </c>
      <c r="R29" s="937"/>
      <c r="T29" s="934">
        <v>0</v>
      </c>
      <c r="U29" s="935"/>
      <c r="V29" s="936">
        <v>0</v>
      </c>
      <c r="W29" s="937"/>
      <c r="Y29" s="934">
        <v>0</v>
      </c>
      <c r="Z29" s="935"/>
      <c r="AA29" s="936">
        <v>0</v>
      </c>
      <c r="AB29" s="937"/>
      <c r="AD29" s="918">
        <f>IF('BP1'!$K$5&gt;4,E29+J29+O29+T29+Y29,IF('BP1'!$K$5&gt;3,E29+J29+O29+T29,IF('BP1'!$K$5&gt;2,E29+J29+O29,IF('BP1'!$K$5&gt;1,E29+J29,E29))))</f>
        <v>0</v>
      </c>
      <c r="AE29" s="919"/>
      <c r="AF29" s="924">
        <f>IF('BP1'!$K$5&gt;4,G29+L29+Q29+V29+AA29,IF('BP1'!$K$5&gt;3,G29+L29+Q29+V29,IF('BP1'!$K$5&gt;2,G29+L29+Q29,IF('BP1'!$K$5&gt;1,G29+L29,G29))))</f>
        <v>0</v>
      </c>
      <c r="AG29" s="925"/>
    </row>
    <row r="30" spans="1:33" ht="12" customHeight="1" thickBot="1">
      <c r="A30" s="494" t="s">
        <v>574</v>
      </c>
      <c r="B30" s="495"/>
      <c r="C30" s="496"/>
      <c r="D30" s="497" t="s">
        <v>93</v>
      </c>
      <c r="E30" s="920">
        <f>E28+E29</f>
        <v>0</v>
      </c>
      <c r="F30" s="921"/>
      <c r="G30" s="928">
        <f>G28+G29</f>
        <v>0</v>
      </c>
      <c r="H30" s="929"/>
      <c r="I30" s="496"/>
      <c r="J30" s="920">
        <f>J28+J29</f>
        <v>0</v>
      </c>
      <c r="K30" s="921"/>
      <c r="L30" s="928">
        <f>IF(AND(L28="",L29=""),"",L28+L29)</f>
        <v>0</v>
      </c>
      <c r="M30" s="929"/>
      <c r="N30" s="496"/>
      <c r="O30" s="920">
        <f>O28+O29</f>
        <v>0</v>
      </c>
      <c r="P30" s="921"/>
      <c r="Q30" s="928">
        <f>IF(AND(Q28="",Q29=""),"",Q28+Q29)</f>
        <v>0</v>
      </c>
      <c r="R30" s="929"/>
      <c r="S30" s="496"/>
      <c r="T30" s="920">
        <f>T28+T29</f>
        <v>0</v>
      </c>
      <c r="U30" s="921"/>
      <c r="V30" s="928">
        <f>IF(AND(V28="",V29=""),"",V28+V29)</f>
        <v>0</v>
      </c>
      <c r="W30" s="929"/>
      <c r="X30" s="496"/>
      <c r="Y30" s="920">
        <f>Y28+Y29</f>
        <v>0</v>
      </c>
      <c r="Z30" s="921"/>
      <c r="AA30" s="928">
        <f>IF(AND(AA28="",AA29=""),"",AA28+AA29)</f>
        <v>0</v>
      </c>
      <c r="AB30" s="929"/>
      <c r="AC30" s="496"/>
      <c r="AD30" s="920">
        <f>AD28+AD29</f>
        <v>0</v>
      </c>
      <c r="AE30" s="921"/>
      <c r="AF30" s="928">
        <f>AF28+AF29</f>
        <v>0</v>
      </c>
      <c r="AG30" s="929"/>
    </row>
    <row r="31" spans="1:33" ht="12" customHeight="1" thickTop="1">
      <c r="A31" s="951" t="s">
        <v>569</v>
      </c>
      <c r="B31" s="951"/>
      <c r="D31" s="490" t="s">
        <v>575</v>
      </c>
      <c r="E31" s="934">
        <v>0</v>
      </c>
      <c r="F31" s="935"/>
      <c r="G31" s="936">
        <v>0</v>
      </c>
      <c r="H31" s="937"/>
      <c r="J31" s="934">
        <v>0</v>
      </c>
      <c r="K31" s="935"/>
      <c r="L31" s="936">
        <v>0</v>
      </c>
      <c r="M31" s="937"/>
      <c r="O31" s="934">
        <v>0</v>
      </c>
      <c r="P31" s="935"/>
      <c r="Q31" s="936">
        <v>0</v>
      </c>
      <c r="R31" s="937"/>
      <c r="T31" s="934">
        <v>0</v>
      </c>
      <c r="U31" s="935"/>
      <c r="V31" s="936">
        <v>0</v>
      </c>
      <c r="W31" s="937"/>
      <c r="Y31" s="934">
        <v>0</v>
      </c>
      <c r="Z31" s="935"/>
      <c r="AA31" s="938">
        <v>0</v>
      </c>
      <c r="AB31" s="939"/>
      <c r="AD31" s="922">
        <f>IF('BP1'!$K$5&gt;4,E31+J31+O31+T31+Y31,IF('BP1'!$K$5&gt;3,E31+J31+O31+T31,IF('BP1'!$K$5&gt;2,E31+J31+O31,IF('BP1'!$K$5&gt;1,E31+J31,E31))))</f>
        <v>0</v>
      </c>
      <c r="AE31" s="923"/>
      <c r="AF31" s="926">
        <f>IF('BP1'!$K$5&gt;4,G31+L31+Q31+V31+AA31,IF('BP1'!$K$5&gt;3,G31+L31+Q31+V31,IF('BP1'!$K$5&gt;2,G31+L31+Q31,IF('BP1'!$K$5&gt;1,G31+L31,G31))))</f>
        <v>0</v>
      </c>
      <c r="AG31" s="927"/>
    </row>
    <row r="32" spans="1:33" ht="12" customHeight="1">
      <c r="A32" s="479" t="s">
        <v>573</v>
      </c>
      <c r="B32" s="480"/>
      <c r="D32" s="490" t="s">
        <v>576</v>
      </c>
      <c r="E32" s="934">
        <v>0</v>
      </c>
      <c r="F32" s="935"/>
      <c r="G32" s="936">
        <v>0</v>
      </c>
      <c r="H32" s="937"/>
      <c r="J32" s="934">
        <v>0</v>
      </c>
      <c r="K32" s="935"/>
      <c r="L32" s="936">
        <v>0</v>
      </c>
      <c r="M32" s="937"/>
      <c r="O32" s="934">
        <v>0</v>
      </c>
      <c r="P32" s="935"/>
      <c r="Q32" s="936">
        <v>0</v>
      </c>
      <c r="R32" s="937"/>
      <c r="T32" s="934">
        <v>0</v>
      </c>
      <c r="U32" s="935"/>
      <c r="V32" s="936">
        <v>0</v>
      </c>
      <c r="W32" s="937"/>
      <c r="Y32" s="934">
        <v>0</v>
      </c>
      <c r="Z32" s="935"/>
      <c r="AA32" s="936">
        <v>0</v>
      </c>
      <c r="AB32" s="937"/>
      <c r="AD32" s="918">
        <f>IF('BP1'!$K$5&gt;4,E32+J32+O32+T32+Y32,IF('BP1'!$K$5&gt;3,E32+J32+O32+T32,IF('BP1'!$K$5&gt;2,E32+J32+O32,IF('BP1'!$K$5&gt;1,E32+J32,E32))))</f>
        <v>0</v>
      </c>
      <c r="AE32" s="919"/>
      <c r="AF32" s="924">
        <f>IF('BP1'!$K$5&gt;4,G32+L32+Q32+V32+AA32,IF('BP1'!$K$5&gt;3,G32+L32+Q32+V32,IF('BP1'!$K$5&gt;2,G32+L32+Q32,IF('BP1'!$K$5&gt;1,G32+L32,G32))))</f>
        <v>0</v>
      </c>
      <c r="AG32" s="925"/>
    </row>
    <row r="33" spans="1:33" ht="12" customHeight="1" thickBot="1">
      <c r="A33" s="494" t="s">
        <v>574</v>
      </c>
      <c r="B33" s="495"/>
      <c r="C33" s="496"/>
      <c r="D33" s="497" t="s">
        <v>93</v>
      </c>
      <c r="E33" s="920">
        <f>E31+E32</f>
        <v>0</v>
      </c>
      <c r="F33" s="921"/>
      <c r="G33" s="928">
        <f>G31+G32</f>
        <v>0</v>
      </c>
      <c r="H33" s="929"/>
      <c r="I33" s="496"/>
      <c r="J33" s="920">
        <f>J31+J32</f>
        <v>0</v>
      </c>
      <c r="K33" s="921"/>
      <c r="L33" s="928">
        <f>IF(AND(L31="",L32=""),"",L31+L32)</f>
        <v>0</v>
      </c>
      <c r="M33" s="929"/>
      <c r="N33" s="496"/>
      <c r="O33" s="920">
        <f>O31+O32</f>
        <v>0</v>
      </c>
      <c r="P33" s="921"/>
      <c r="Q33" s="928">
        <f>IF(AND(Q31="",Q32=""),"",Q31+Q32)</f>
        <v>0</v>
      </c>
      <c r="R33" s="929"/>
      <c r="S33" s="496"/>
      <c r="T33" s="920">
        <f>T31+T32</f>
        <v>0</v>
      </c>
      <c r="U33" s="921"/>
      <c r="V33" s="928">
        <f>IF(AND(V31="",V32=""),"",V31+V32)</f>
        <v>0</v>
      </c>
      <c r="W33" s="929"/>
      <c r="X33" s="496"/>
      <c r="Y33" s="920">
        <f>Y31+Y32</f>
        <v>0</v>
      </c>
      <c r="Z33" s="921"/>
      <c r="AA33" s="928">
        <f>IF(AND(AA31="",AA32=""),"",AA31+AA32)</f>
        <v>0</v>
      </c>
      <c r="AB33" s="929"/>
      <c r="AC33" s="496"/>
      <c r="AD33" s="920">
        <f>AD31+AD32</f>
        <v>0</v>
      </c>
      <c r="AE33" s="921"/>
      <c r="AF33" s="928">
        <f>AF31+AF32</f>
        <v>0</v>
      </c>
      <c r="AG33" s="929"/>
    </row>
    <row r="34" spans="1:33" ht="12" customHeight="1" thickTop="1">
      <c r="A34" s="951" t="s">
        <v>570</v>
      </c>
      <c r="B34" s="951"/>
      <c r="D34" s="490" t="s">
        <v>575</v>
      </c>
      <c r="E34" s="934">
        <v>0</v>
      </c>
      <c r="F34" s="935"/>
      <c r="G34" s="936">
        <v>0</v>
      </c>
      <c r="H34" s="937"/>
      <c r="J34" s="934">
        <v>0</v>
      </c>
      <c r="K34" s="935"/>
      <c r="L34" s="936">
        <v>0</v>
      </c>
      <c r="M34" s="937"/>
      <c r="O34" s="934">
        <v>0</v>
      </c>
      <c r="P34" s="935"/>
      <c r="Q34" s="936">
        <v>0</v>
      </c>
      <c r="R34" s="937"/>
      <c r="T34" s="934">
        <v>0</v>
      </c>
      <c r="U34" s="935"/>
      <c r="V34" s="936">
        <v>0</v>
      </c>
      <c r="W34" s="937"/>
      <c r="Y34" s="934">
        <v>0</v>
      </c>
      <c r="Z34" s="935"/>
      <c r="AA34" s="938">
        <v>0</v>
      </c>
      <c r="AB34" s="939"/>
      <c r="AD34" s="922">
        <f>IF('BP1'!$K$5&gt;4,E34+J34+O34+T34+Y34,IF('BP1'!$K$5&gt;3,E34+J34+O34+T34,IF('BP1'!$K$5&gt;2,E34+J34+O34,IF('BP1'!$K$5&gt;1,E34+J34,E34))))</f>
        <v>0</v>
      </c>
      <c r="AE34" s="923"/>
      <c r="AF34" s="926">
        <f>IF('BP1'!$K$5&gt;4,G34+L34+Q34+V34+AA34,IF('BP1'!$K$5&gt;3,G34+L34+Q34+V34,IF('BP1'!$K$5&gt;2,G34+L34+Q34,IF('BP1'!$K$5&gt;1,G34+L34,G34))))</f>
        <v>0</v>
      </c>
      <c r="AG34" s="927"/>
    </row>
    <row r="35" spans="1:33" ht="12" customHeight="1">
      <c r="A35" s="479" t="s">
        <v>573</v>
      </c>
      <c r="B35" s="480"/>
      <c r="D35" s="490" t="s">
        <v>576</v>
      </c>
      <c r="E35" s="934">
        <v>0</v>
      </c>
      <c r="F35" s="935"/>
      <c r="G35" s="936">
        <v>0</v>
      </c>
      <c r="H35" s="937"/>
      <c r="J35" s="934">
        <v>0</v>
      </c>
      <c r="K35" s="935"/>
      <c r="L35" s="936">
        <v>0</v>
      </c>
      <c r="M35" s="937"/>
      <c r="O35" s="934">
        <v>0</v>
      </c>
      <c r="P35" s="935"/>
      <c r="Q35" s="936">
        <v>0</v>
      </c>
      <c r="R35" s="937"/>
      <c r="T35" s="934">
        <v>0</v>
      </c>
      <c r="U35" s="935"/>
      <c r="V35" s="936">
        <v>0</v>
      </c>
      <c r="W35" s="937"/>
      <c r="Y35" s="934">
        <v>0</v>
      </c>
      <c r="Z35" s="935"/>
      <c r="AA35" s="936">
        <v>0</v>
      </c>
      <c r="AB35" s="937"/>
      <c r="AD35" s="918">
        <f>IF('BP1'!$K$5&gt;4,E35+J35+O35+T35+Y35,IF('BP1'!$K$5&gt;3,E35+J35+O35+T35,IF('BP1'!$K$5&gt;2,E35+J35+O35,IF('BP1'!$K$5&gt;1,E35+J35,E35))))</f>
        <v>0</v>
      </c>
      <c r="AE35" s="919"/>
      <c r="AF35" s="924">
        <f>IF('BP1'!$K$5&gt;4,G35+L35+Q35+V35+AA35,IF('BP1'!$K$5&gt;3,G35+L35+Q35+V35,IF('BP1'!$K$5&gt;2,G35+L35+Q35,IF('BP1'!$K$5&gt;1,G35+L35,G35))))</f>
        <v>0</v>
      </c>
      <c r="AG35" s="925"/>
    </row>
    <row r="36" spans="1:33" ht="12" customHeight="1" thickBot="1">
      <c r="A36" s="494" t="s">
        <v>574</v>
      </c>
      <c r="B36" s="495"/>
      <c r="C36" s="496"/>
      <c r="D36" s="497" t="s">
        <v>93</v>
      </c>
      <c r="E36" s="920">
        <f>E34+E35</f>
        <v>0</v>
      </c>
      <c r="F36" s="921"/>
      <c r="G36" s="928">
        <f>G34+G35</f>
        <v>0</v>
      </c>
      <c r="H36" s="929"/>
      <c r="I36" s="496"/>
      <c r="J36" s="920">
        <f>J34+J35</f>
        <v>0</v>
      </c>
      <c r="K36" s="921"/>
      <c r="L36" s="928">
        <f>IF(AND(L34="",L35=""),"",L34+L35)</f>
        <v>0</v>
      </c>
      <c r="M36" s="929"/>
      <c r="N36" s="496"/>
      <c r="O36" s="920">
        <f>O34+O35</f>
        <v>0</v>
      </c>
      <c r="P36" s="921"/>
      <c r="Q36" s="928">
        <f>IF(AND(Q34="",Q35=""),"",Q34+Q35)</f>
        <v>0</v>
      </c>
      <c r="R36" s="929"/>
      <c r="S36" s="496"/>
      <c r="T36" s="920">
        <f>T34+T35</f>
        <v>0</v>
      </c>
      <c r="U36" s="921"/>
      <c r="V36" s="928">
        <f>IF(AND(V34="",V35=""),"",V34+V35)</f>
        <v>0</v>
      </c>
      <c r="W36" s="929"/>
      <c r="X36" s="496"/>
      <c r="Y36" s="920">
        <f>Y34+Y35</f>
        <v>0</v>
      </c>
      <c r="Z36" s="921"/>
      <c r="AA36" s="928">
        <f>IF(AND(AA34="",AA35=""),"",AA34+AA35)</f>
        <v>0</v>
      </c>
      <c r="AB36" s="929"/>
      <c r="AC36" s="496"/>
      <c r="AD36" s="920">
        <f>AD34+AD35</f>
        <v>0</v>
      </c>
      <c r="AE36" s="921"/>
      <c r="AF36" s="928">
        <f>AF34+AF35</f>
        <v>0</v>
      </c>
      <c r="AG36" s="929"/>
    </row>
    <row r="37" spans="1:33" ht="12" customHeight="1" thickTop="1">
      <c r="A37" s="951" t="s">
        <v>571</v>
      </c>
      <c r="B37" s="951"/>
      <c r="D37" s="490" t="s">
        <v>575</v>
      </c>
      <c r="E37" s="934">
        <v>0</v>
      </c>
      <c r="F37" s="935"/>
      <c r="G37" s="936">
        <v>0</v>
      </c>
      <c r="H37" s="937"/>
      <c r="J37" s="934">
        <v>0</v>
      </c>
      <c r="K37" s="935"/>
      <c r="L37" s="936">
        <v>0</v>
      </c>
      <c r="M37" s="937"/>
      <c r="O37" s="934">
        <v>0</v>
      </c>
      <c r="P37" s="935"/>
      <c r="Q37" s="936">
        <v>0</v>
      </c>
      <c r="R37" s="937"/>
      <c r="T37" s="934">
        <v>0</v>
      </c>
      <c r="U37" s="935"/>
      <c r="V37" s="936">
        <v>0</v>
      </c>
      <c r="W37" s="937"/>
      <c r="Y37" s="934">
        <v>0</v>
      </c>
      <c r="Z37" s="935"/>
      <c r="AA37" s="938">
        <v>0</v>
      </c>
      <c r="AB37" s="939"/>
      <c r="AD37" s="922">
        <f>IF('BP1'!$K$5&gt;4,E37+J37+O37+T37+Y37,IF('BP1'!$K$5&gt;3,E37+J37+O37+T37,IF('BP1'!$K$5&gt;2,E37+J37+O37,IF('BP1'!$K$5&gt;1,E37+J37,E37))))</f>
        <v>0</v>
      </c>
      <c r="AE37" s="923"/>
      <c r="AF37" s="926">
        <f>IF('BP1'!$K$5&gt;4,G37+L37+Q37+V37+AA37,IF('BP1'!$K$5&gt;3,G37+L37+Q37+V37,IF('BP1'!$K$5&gt;2,G37+L37+Q37,IF('BP1'!$K$5&gt;1,G37+L37,G37))))</f>
        <v>0</v>
      </c>
      <c r="AG37" s="927"/>
    </row>
    <row r="38" spans="1:33" ht="12" customHeight="1">
      <c r="A38" s="479" t="s">
        <v>573</v>
      </c>
      <c r="B38" s="480"/>
      <c r="D38" s="490" t="s">
        <v>576</v>
      </c>
      <c r="E38" s="934">
        <v>0</v>
      </c>
      <c r="F38" s="935"/>
      <c r="G38" s="936">
        <v>0</v>
      </c>
      <c r="H38" s="937"/>
      <c r="J38" s="934">
        <v>0</v>
      </c>
      <c r="K38" s="935"/>
      <c r="L38" s="936">
        <v>0</v>
      </c>
      <c r="M38" s="937"/>
      <c r="O38" s="934">
        <v>0</v>
      </c>
      <c r="P38" s="935"/>
      <c r="Q38" s="936">
        <v>0</v>
      </c>
      <c r="R38" s="937"/>
      <c r="T38" s="934">
        <v>0</v>
      </c>
      <c r="U38" s="935"/>
      <c r="V38" s="936">
        <v>0</v>
      </c>
      <c r="W38" s="937"/>
      <c r="Y38" s="934">
        <v>0</v>
      </c>
      <c r="Z38" s="935"/>
      <c r="AA38" s="936">
        <v>0</v>
      </c>
      <c r="AB38" s="937"/>
      <c r="AD38" s="918">
        <f>IF('BP1'!$K$5&gt;4,E38+J38+O38+T38+Y38,IF('BP1'!$K$5&gt;3,E38+J38+O38+T38,IF('BP1'!$K$5&gt;2,E38+J38+O38,IF('BP1'!$K$5&gt;1,E38+J38,E38))))</f>
        <v>0</v>
      </c>
      <c r="AE38" s="919"/>
      <c r="AF38" s="924">
        <f>IF('BP1'!$K$5&gt;4,G38+L38+Q38+V38+AA38,IF('BP1'!$K$5&gt;3,G38+L38+Q38+V38,IF('BP1'!$K$5&gt;2,G38+L38+Q38,IF('BP1'!$K$5&gt;1,G38+L38,G38))))</f>
        <v>0</v>
      </c>
      <c r="AG38" s="925"/>
    </row>
    <row r="39" spans="1:33" ht="12" customHeight="1" thickBot="1">
      <c r="A39" s="494" t="s">
        <v>574</v>
      </c>
      <c r="B39" s="495"/>
      <c r="C39" s="496"/>
      <c r="D39" s="497" t="s">
        <v>93</v>
      </c>
      <c r="E39" s="920">
        <f>E37+E38</f>
        <v>0</v>
      </c>
      <c r="F39" s="921"/>
      <c r="G39" s="928">
        <f>G37+G38</f>
        <v>0</v>
      </c>
      <c r="H39" s="929"/>
      <c r="I39" s="496"/>
      <c r="J39" s="920">
        <f>J37+J38</f>
        <v>0</v>
      </c>
      <c r="K39" s="921"/>
      <c r="L39" s="928">
        <f>IF(AND(L37="",L38=""),"",L37+L38)</f>
        <v>0</v>
      </c>
      <c r="M39" s="929"/>
      <c r="N39" s="496"/>
      <c r="O39" s="920">
        <f>O37+O38</f>
        <v>0</v>
      </c>
      <c r="P39" s="921"/>
      <c r="Q39" s="928">
        <f>IF(AND(Q37="",Q38=""),"",Q37+Q38)</f>
        <v>0</v>
      </c>
      <c r="R39" s="929"/>
      <c r="S39" s="496"/>
      <c r="T39" s="920">
        <f>T37+T38</f>
        <v>0</v>
      </c>
      <c r="U39" s="921"/>
      <c r="V39" s="928">
        <f>IF(AND(V37="",V38=""),"",V37+V38)</f>
        <v>0</v>
      </c>
      <c r="W39" s="929"/>
      <c r="X39" s="496"/>
      <c r="Y39" s="920">
        <f>Y37+Y38</f>
        <v>0</v>
      </c>
      <c r="Z39" s="921"/>
      <c r="AA39" s="928">
        <f>IF(AND(AA37="",AA38=""),"",AA37+AA38)</f>
        <v>0</v>
      </c>
      <c r="AB39" s="929"/>
      <c r="AC39" s="496"/>
      <c r="AD39" s="920">
        <f>AD37+AD38</f>
        <v>0</v>
      </c>
      <c r="AE39" s="921"/>
      <c r="AF39" s="928">
        <f>AF37+AF38</f>
        <v>0</v>
      </c>
      <c r="AG39" s="929"/>
    </row>
    <row r="40" spans="1:33" ht="12" customHeight="1" thickTop="1">
      <c r="A40" s="951" t="s">
        <v>572</v>
      </c>
      <c r="B40" s="951"/>
      <c r="D40" s="490" t="s">
        <v>575</v>
      </c>
      <c r="E40" s="934">
        <v>0</v>
      </c>
      <c r="F40" s="935"/>
      <c r="G40" s="936">
        <v>0</v>
      </c>
      <c r="H40" s="937"/>
      <c r="J40" s="934">
        <v>0</v>
      </c>
      <c r="K40" s="935"/>
      <c r="L40" s="936">
        <v>0</v>
      </c>
      <c r="M40" s="937"/>
      <c r="O40" s="934">
        <v>0</v>
      </c>
      <c r="P40" s="935"/>
      <c r="Q40" s="936">
        <v>0</v>
      </c>
      <c r="R40" s="937"/>
      <c r="T40" s="934">
        <v>0</v>
      </c>
      <c r="U40" s="935"/>
      <c r="V40" s="936">
        <v>0</v>
      </c>
      <c r="W40" s="937"/>
      <c r="Y40" s="934">
        <v>0</v>
      </c>
      <c r="Z40" s="935"/>
      <c r="AA40" s="938">
        <v>0</v>
      </c>
      <c r="AB40" s="939"/>
      <c r="AD40" s="922">
        <f>IF('BP1'!$K$5&gt;4,E40+J40+O40+T40+Y40,IF('BP1'!$K$5&gt;3,E40+J40+O40+T40,IF('BP1'!$K$5&gt;2,E40+J40+O40,IF('BP1'!$K$5&gt;1,E40+J40,E40))))</f>
        <v>0</v>
      </c>
      <c r="AE40" s="923"/>
      <c r="AF40" s="926">
        <f>IF('BP1'!$K$5&gt;4,G40+L40+Q40+V40+AA40,IF('BP1'!$K$5&gt;3,G40+L40+Q40+V40,IF('BP1'!$K$5&gt;2,G40+L40+Q40,IF('BP1'!$K$5&gt;1,G40+L40,G40))))</f>
        <v>0</v>
      </c>
      <c r="AG40" s="927"/>
    </row>
    <row r="41" spans="1:33" ht="12" customHeight="1">
      <c r="A41" s="479" t="s">
        <v>573</v>
      </c>
      <c r="B41" s="480"/>
      <c r="D41" s="490" t="s">
        <v>576</v>
      </c>
      <c r="E41" s="934">
        <v>0</v>
      </c>
      <c r="F41" s="935"/>
      <c r="G41" s="936">
        <v>0</v>
      </c>
      <c r="H41" s="937"/>
      <c r="J41" s="934">
        <v>0</v>
      </c>
      <c r="K41" s="935"/>
      <c r="L41" s="936">
        <v>0</v>
      </c>
      <c r="M41" s="937"/>
      <c r="O41" s="934">
        <v>0</v>
      </c>
      <c r="P41" s="935"/>
      <c r="Q41" s="936">
        <v>0</v>
      </c>
      <c r="R41" s="937"/>
      <c r="T41" s="934">
        <v>0</v>
      </c>
      <c r="U41" s="935"/>
      <c r="V41" s="936">
        <v>0</v>
      </c>
      <c r="W41" s="937"/>
      <c r="Y41" s="934">
        <v>0</v>
      </c>
      <c r="Z41" s="935"/>
      <c r="AA41" s="936">
        <v>0</v>
      </c>
      <c r="AB41" s="937"/>
      <c r="AD41" s="918">
        <f>IF('BP1'!$K$5&gt;4,E41+J41+O41+T41+Y41,IF('BP1'!$K$5&gt;3,E41+J41+O41+T41,IF('BP1'!$K$5&gt;2,E41+J41+O41,IF('BP1'!$K$5&gt;1,E41+J41,E41))))</f>
        <v>0</v>
      </c>
      <c r="AE41" s="919"/>
      <c r="AF41" s="924">
        <f>IF('BP1'!$K$5&gt;4,G41+L41+Q41+V41+AA41,IF('BP1'!$K$5&gt;3,G41+L41+Q41+V41,IF('BP1'!$K$5&gt;2,G41+L41+Q41,IF('BP1'!$K$5&gt;1,G41+L41,G41))))</f>
        <v>0</v>
      </c>
      <c r="AG41" s="925"/>
    </row>
    <row r="42" spans="1:33" ht="12" customHeight="1">
      <c r="A42" s="479" t="s">
        <v>574</v>
      </c>
      <c r="B42" s="480"/>
      <c r="D42" s="490" t="s">
        <v>93</v>
      </c>
      <c r="E42" s="932">
        <f>E40+E41</f>
        <v>0</v>
      </c>
      <c r="F42" s="933"/>
      <c r="G42" s="941">
        <f>G40+G41</f>
        <v>0</v>
      </c>
      <c r="H42" s="942"/>
      <c r="J42" s="932">
        <f>J40+J41</f>
        <v>0</v>
      </c>
      <c r="K42" s="933"/>
      <c r="L42" s="941">
        <f>IF(AND(L40="",L41=""),"",L40+L41)</f>
        <v>0</v>
      </c>
      <c r="M42" s="942"/>
      <c r="O42" s="932">
        <f>O40+O41</f>
        <v>0</v>
      </c>
      <c r="P42" s="933"/>
      <c r="Q42" s="941">
        <f>IF(AND(Q40="",Q41=""),"",Q40+Q41)</f>
        <v>0</v>
      </c>
      <c r="R42" s="942"/>
      <c r="T42" s="932">
        <f>T40+T41</f>
        <v>0</v>
      </c>
      <c r="U42" s="933"/>
      <c r="V42" s="941">
        <f>IF(AND(V40="",V41=""),"",V40+V41)</f>
        <v>0</v>
      </c>
      <c r="W42" s="942"/>
      <c r="Y42" s="932">
        <f>Y40+Y41</f>
        <v>0</v>
      </c>
      <c r="Z42" s="933"/>
      <c r="AA42" s="941">
        <f>IF(AND(AA40="",AA41=""),"",AA40+AA41)</f>
        <v>0</v>
      </c>
      <c r="AB42" s="942"/>
      <c r="AD42" s="932">
        <f>AD40+AD41</f>
        <v>0</v>
      </c>
      <c r="AE42" s="933"/>
      <c r="AF42" s="941">
        <f>AF40+AF41</f>
        <v>0</v>
      </c>
      <c r="AG42" s="942"/>
    </row>
    <row r="43" spans="1:33" ht="5.25" customHeight="1">
      <c r="A43" s="487"/>
      <c r="B43" s="488"/>
      <c r="E43" s="489"/>
      <c r="F43" s="489"/>
      <c r="G43" s="489"/>
      <c r="H43" s="489"/>
      <c r="J43" s="489"/>
      <c r="K43" s="489"/>
      <c r="L43" s="489"/>
      <c r="M43" s="489"/>
      <c r="O43" s="489"/>
      <c r="P43" s="489"/>
      <c r="Q43" s="489"/>
      <c r="R43" s="489"/>
      <c r="T43" s="489"/>
      <c r="U43" s="489"/>
      <c r="V43" s="489"/>
      <c r="W43" s="489"/>
      <c r="Y43" s="489"/>
      <c r="Z43" s="489"/>
      <c r="AA43" s="489"/>
      <c r="AB43" s="489"/>
      <c r="AD43" s="489"/>
      <c r="AE43" s="489"/>
      <c r="AF43" s="489"/>
      <c r="AG43" s="489"/>
    </row>
    <row r="44" spans="1:33" ht="12" customHeight="1">
      <c r="A44" s="943" t="s">
        <v>583</v>
      </c>
      <c r="B44" s="943"/>
      <c r="D44" s="490" t="s">
        <v>575</v>
      </c>
      <c r="E44" s="918">
        <f>E7+E10+E13+E16+E19+E22+E25+E28+E31+E34+E37+E40</f>
        <v>0</v>
      </c>
      <c r="F44" s="919"/>
      <c r="G44" s="924">
        <f>G7+G10+G13+G16+G19+G22+G25+G28+G31+G34+G37+G40</f>
        <v>0</v>
      </c>
      <c r="H44" s="925"/>
      <c r="J44" s="918">
        <f>IF(J7="",0,J7)+IF(J10="",0,J10)+IF(J13="",0,J13)+IF(J16="",0,J16)+IF(J19="",0,J19)+IF(J22="",0,J22)+IF(J25="",0,J25)+IF(J28="",0,J28)+IF(J31="",0,J31)+IF(J34="",0,J34)+IF(J37="",0,J37)+IF(J40="",0,J40)</f>
        <v>0</v>
      </c>
      <c r="K44" s="919"/>
      <c r="L44" s="924">
        <f>IF(L7="",0,L7)+IF(L10="",0,L10)+IF(L13="",0,L13)+IF(L16="",0,L16)+IF(L19="",0,L19)+IF(L22="",0,L22)+IF(L25="",0,L25)+IF(L28="",0,L28)+IF(L31="",0,L31)+IF(L34="",0,L34)+IF(L37="",0,L37)+IF(L40="",0,L40)</f>
        <v>0</v>
      </c>
      <c r="M44" s="925"/>
      <c r="O44" s="918">
        <f>IF(O7="",0,O7)+IF(O10="",0,O10)+IF(O13="",0,O13)+IF(O16="",0,O16)+IF(O19="",0,O19)+IF(O22="",0,O22)+IF(O25="",0,O25)+IF(O28="",0,O28)+IF(O31="",0,O31)+IF(O34="",0,O34)+IF(O37="",0,O37)+IF(O40="",0,O40)</f>
        <v>0</v>
      </c>
      <c r="P44" s="919"/>
      <c r="Q44" s="924">
        <f>IF(Q7="",0,Q7)+IF(Q10="",0,Q10)+IF(Q13="",0,Q13)+IF(Q16="",0,Q16)+IF(Q19="",0,Q19)+IF(Q22="",0,Q22)+IF(Q25="",0,Q25)+IF(Q28="",0,Q28)+IF(Q31="",0,Q31)+IF(Q34="",0,Q34)+IF(Q37="",0,Q37)+IF(Q40="",0,Q40)</f>
        <v>0</v>
      </c>
      <c r="R44" s="925"/>
      <c r="T44" s="918">
        <f>IF(T7="",0,T7)+IF(T10="",0,T10)+IF(T13="",0,T13)+IF(T16="",0,T16)+IF(T19="",0,T19)+IF(T22="",0,T22)+IF(T25="",0,T25)+IF(T28="",0,T28)+IF(T31="",0,T31)+IF(T34="",0,T34)+IF(T37="",0,T37)+IF(T40="",0,T40)</f>
        <v>0</v>
      </c>
      <c r="U44" s="919"/>
      <c r="V44" s="924">
        <f>IF(V7="",0,V7)+IF(V10="",0,V10)+IF(V13="",0,V13)+IF(V16="",0,V16)+IF(V19="",0,V19)+IF(V22="",0,V22)+IF(V25="",0,V25)+IF(V28="",0,V28)+IF(V31="",0,V31)+IF(V34="",0,V34)+IF(V37="",0,V37)+IF(V40="",0,V40)</f>
        <v>0</v>
      </c>
      <c r="W44" s="925"/>
      <c r="Y44" s="918">
        <f>IF(Y7="",0,Y7)+IF(Y10="",0,Y10)+IF(Y13="",0,Y13)+IF(Y16="",0,Y16)+IF(Y19="",0,Y19)+IF(Y22="",0,Y22)+IF(Y25="",0,Y25)+IF(Y28="",0,Y28)+IF(Y31="",0,Y31)+IF(Y34="",0,Y34)+IF(Y37="",0,Y37)+IF(Y40="",0,Y40)</f>
        <v>0</v>
      </c>
      <c r="Z44" s="919"/>
      <c r="AA44" s="924">
        <f>IF(AA7="",0,AA7)+IF(AA10="",0,AA10)+IF(AA13="",0,AA13)+IF(AA16="",0,AA16)+IF(AA19="",0,AA19)+IF(AA22="",0,AA22)+IF(AA25="",0,AA25)+IF(AA28="",0,AA28)+IF(AA31="",0,AA31)+IF(AA34="",0,AA34)+IF(AA37="",0,AA37)+IF(AA40="",0,AA40)</f>
        <v>0</v>
      </c>
      <c r="AB44" s="925"/>
      <c r="AD44" s="918">
        <f>IF(AD7="",0,AD7)+IF(AD10="",0,AD10)+IF(AD13="",0,AD13)+IF(AD16="",0,AD16)+IF(AD19="",0,AD19)+IF(AD22="",0,AD22)+IF(AD25="",0,AD25)+IF(AD28="",0,AD28)+IF(AD31="",0,AD31)+IF(AD34="",0,AD34)+IF(AD37="",0,AD37)+IF(AD40="",0,AD40)</f>
        <v>0</v>
      </c>
      <c r="AE44" s="919"/>
      <c r="AF44" s="924">
        <f>IF(AF7="",0,AF7)+IF(AF10="",0,AF10)+IF(AF13="",0,AF13)+IF(AF16="",0,AF16)+IF(AF19="",0,AF19)+IF(AF22="",0,AF22)+IF(AF25="",0,AF25)+IF(AF28="",0,AF28)+IF(AF31="",0,AF31)+IF(AF34="",0,AF34)+IF(AF37="",0,AF37)+IF(AF40="",0,AF40)</f>
        <v>0</v>
      </c>
      <c r="AG44" s="925"/>
    </row>
    <row r="45" spans="1:33" ht="12" customHeight="1">
      <c r="A45" s="943"/>
      <c r="B45" s="943"/>
      <c r="D45" s="490" t="s">
        <v>576</v>
      </c>
      <c r="E45" s="918">
        <f>E8+E11+E14+E17+E20+E23+E26+E29+E32+E35+E38+E41</f>
        <v>0</v>
      </c>
      <c r="F45" s="919"/>
      <c r="G45" s="924">
        <f>G8+G11+G14+G17+G20+G23+G26+G29+G32+G35+G38+G41</f>
        <v>0</v>
      </c>
      <c r="H45" s="925"/>
      <c r="J45" s="918">
        <f>IF(J8="",0,J8)+IF(J11="",0,J11)+IF(J14="",0,J14)+IF(J17="",0,J17)+IF(J20="",0,J20)+IF(J23="",0,J23)+IF(J26="",0,J26)+IF(J29="",0,J29)+IF(J32="",0,J32)+IF(J35="",0,J35)+IF(J38="",0,J38)+IF(J41="",0,J41)</f>
        <v>0</v>
      </c>
      <c r="K45" s="919"/>
      <c r="L45" s="924">
        <f>IF(L8="",0,L8)+IF(L11="",0,L11)+IF(L14="",0,L14)+IF(L17="",0,L17)+IF(L20="",0,L20)+IF(L23="",0,L23)+IF(L26="",0,L26)+IF(L29="",0,L29)+IF(L32="",0,L32)+IF(L35="",0,L35)+IF(L38="",0,L38)+IF(L41="",0,L41)</f>
        <v>0</v>
      </c>
      <c r="M45" s="925"/>
      <c r="O45" s="918">
        <f>IF(O8="",0,O8)+IF(O11="",0,O11)+IF(O14="",0,O14)+IF(O17="",0,O17)+IF(O20="",0,O20)+IF(O23="",0,O23)+IF(O26="",0,O26)+IF(O29="",0,O29)+IF(O32="",0,O32)+IF(O35="",0,O35)+IF(O38="",0,O38)+IF(O41="",0,O41)</f>
        <v>0</v>
      </c>
      <c r="P45" s="919"/>
      <c r="Q45" s="924">
        <f>IF(Q8="",0,Q8)+IF(Q11="",0,Q11)+IF(Q14="",0,Q14)+IF(Q17="",0,Q17)+IF(Q20="",0,Q20)+IF(Q23="",0,Q23)+IF(Q26="",0,Q26)+IF(Q29="",0,Q29)+IF(Q32="",0,Q32)+IF(Q35="",0,Q35)+IF(Q38="",0,Q38)+IF(Q41="",0,Q41)</f>
        <v>0</v>
      </c>
      <c r="R45" s="925"/>
      <c r="T45" s="918">
        <f>IF(T8="",0,T8)+IF(T11="",0,T11)+IF(T14="",0,T14)+IF(T17="",0,T17)+IF(T20="",0,T20)+IF(T23="",0,T23)+IF(T26="",0,T26)+IF(T29="",0,T29)+IF(T32="",0,T32)+IF(T35="",0,T35)+IF(T38="",0,T38)+IF(T41="",0,T41)</f>
        <v>0</v>
      </c>
      <c r="U45" s="919"/>
      <c r="V45" s="924">
        <f>IF(V8="",0,V8)+IF(V11="",0,V11)+IF(V14="",0,V14)+IF(V17="",0,V17)+IF(V20="",0,V20)+IF(V23="",0,V23)+IF(V26="",0,V26)+IF(V29="",0,V29)+IF(V32="",0,V32)+IF(V35="",0,V35)+IF(V38="",0,V38)+IF(V41="",0,V41)</f>
        <v>0</v>
      </c>
      <c r="W45" s="925"/>
      <c r="Y45" s="918">
        <f>IF(Y8="",0,Y8)+IF(Y11="",0,Y11)+IF(Y14="",0,Y14)+IF(Y17="",0,Y17)+IF(Y20="",0,Y20)+IF(Y23="",0,Y23)+IF(Y26="",0,Y26)+IF(Y29="",0,Y29)+IF(Y32="",0,Y32)+IF(Y35="",0,Y35)+IF(Y38="",0,Y38)+IF(Y41="",0,Y41)</f>
        <v>0</v>
      </c>
      <c r="Z45" s="919"/>
      <c r="AA45" s="924">
        <f>IF(AA8="",0,AA8)+IF(AA11="",0,AA11)+IF(AA14="",0,AA14)+IF(AA17="",0,AA17)+IF(AA20="",0,AA20)+IF(AA23="",0,AA23)+IF(AA26="",0,AA26)+IF(AA29="",0,AA29)+IF(AA32="",0,AA32)+IF(AA35="",0,AA35)+IF(AA38="",0,AA38)+IF(AA41="",0,AA41)</f>
        <v>0</v>
      </c>
      <c r="AB45" s="925"/>
      <c r="AD45" s="918">
        <f>IF(AD8="",0,AD8)+IF(AD11="",0,AD11)+IF(AD14="",0,AD14)+IF(AD17="",0,AD17)+IF(AD20="",0,AD20)+IF(AD23="",0,AD23)+IF(AD26="",0,AD26)+IF(AD29="",0,AD29)+IF(AD32="",0,AD32)+IF(AD35="",0,AD35)+IF(AD38="",0,AD38)+IF(AD41="",0,AD41)</f>
        <v>0</v>
      </c>
      <c r="AE45" s="919"/>
      <c r="AF45" s="924">
        <f>IF(AF8="",0,AF8)+IF(AF11="",0,AF11)+IF(AF14="",0,AF14)+IF(AF17="",0,AF17)+IF(AF20="",0,AF20)+IF(AF23="",0,AF23)+IF(AF26="",0,AF26)+IF(AF29="",0,AF29)+IF(AF32="",0,AF32)+IF(AF35="",0,AF35)+IF(AF38="",0,AF38)+IF(AF41="",0,AF41)</f>
        <v>0</v>
      </c>
      <c r="AG45" s="925"/>
    </row>
    <row r="46" spans="1:33" ht="12" customHeight="1">
      <c r="A46" s="943"/>
      <c r="B46" s="943"/>
      <c r="D46" s="490" t="s">
        <v>93</v>
      </c>
      <c r="E46" s="932">
        <f>E44+E45</f>
        <v>0</v>
      </c>
      <c r="F46" s="933"/>
      <c r="G46" s="941">
        <f>G44+G45</f>
        <v>0</v>
      </c>
      <c r="H46" s="942"/>
      <c r="J46" s="932">
        <f>J44+J45</f>
        <v>0</v>
      </c>
      <c r="K46" s="933"/>
      <c r="L46" s="941">
        <f>L44+L45</f>
        <v>0</v>
      </c>
      <c r="M46" s="942"/>
      <c r="O46" s="932">
        <f>O44+O45</f>
        <v>0</v>
      </c>
      <c r="P46" s="933"/>
      <c r="Q46" s="941">
        <f>Q44+Q45</f>
        <v>0</v>
      </c>
      <c r="R46" s="942"/>
      <c r="T46" s="932">
        <f>T44+T45</f>
        <v>0</v>
      </c>
      <c r="U46" s="933"/>
      <c r="V46" s="941">
        <f>V44+V45</f>
        <v>0</v>
      </c>
      <c r="W46" s="942"/>
      <c r="Y46" s="932">
        <f>Y44+Y45</f>
        <v>0</v>
      </c>
      <c r="Z46" s="933"/>
      <c r="AA46" s="941">
        <f>AA44+AA45</f>
        <v>0</v>
      </c>
      <c r="AB46" s="942"/>
      <c r="AD46" s="932">
        <f>AD44+AD45</f>
        <v>0</v>
      </c>
      <c r="AE46" s="933"/>
      <c r="AF46" s="941">
        <f>AF44+AF45</f>
        <v>0</v>
      </c>
      <c r="AG46" s="942"/>
    </row>
    <row r="47" spans="1:33" ht="14.25" customHeight="1"/>
    <row r="48" spans="1:33" ht="14.25" customHeight="1"/>
    <row r="49" ht="14.25" customHeight="1"/>
    <row r="50" ht="14.25" customHeight="1"/>
  </sheetData>
  <mergeCells count="507">
    <mergeCell ref="T45:U45"/>
    <mergeCell ref="AD44:AE44"/>
    <mergeCell ref="AD45:AE45"/>
    <mergeCell ref="AD46:AE46"/>
    <mergeCell ref="A44:B46"/>
    <mergeCell ref="A1:AG1"/>
    <mergeCell ref="A2:AG2"/>
    <mergeCell ref="A7:B7"/>
    <mergeCell ref="A10:B10"/>
    <mergeCell ref="A13:B13"/>
    <mergeCell ref="A16:B16"/>
    <mergeCell ref="A19:B19"/>
    <mergeCell ref="A22:B22"/>
    <mergeCell ref="A25:B25"/>
    <mergeCell ref="A28:B28"/>
    <mergeCell ref="A31:B31"/>
    <mergeCell ref="A34:B34"/>
    <mergeCell ref="A37:B37"/>
    <mergeCell ref="A40:B40"/>
    <mergeCell ref="Y21:Z21"/>
    <mergeCell ref="Y24:Z24"/>
    <mergeCell ref="J8:K8"/>
    <mergeCell ref="J10:K10"/>
    <mergeCell ref="J11:K11"/>
    <mergeCell ref="AF42:AG42"/>
    <mergeCell ref="G44:H44"/>
    <mergeCell ref="G45:H45"/>
    <mergeCell ref="G46:H46"/>
    <mergeCell ref="L44:M44"/>
    <mergeCell ref="L45:M45"/>
    <mergeCell ref="L46:M46"/>
    <mergeCell ref="Q44:R44"/>
    <mergeCell ref="Q45:R45"/>
    <mergeCell ref="Q46:R46"/>
    <mergeCell ref="J45:K45"/>
    <mergeCell ref="O44:P44"/>
    <mergeCell ref="O45:P45"/>
    <mergeCell ref="J44:K44"/>
    <mergeCell ref="V44:W44"/>
    <mergeCell ref="V45:W45"/>
    <mergeCell ref="V46:W46"/>
    <mergeCell ref="AA44:AB44"/>
    <mergeCell ref="AA45:AB45"/>
    <mergeCell ref="AA46:AB46"/>
    <mergeCell ref="AF44:AG44"/>
    <mergeCell ref="AF45:AG45"/>
    <mergeCell ref="AF46:AG46"/>
    <mergeCell ref="Y46:Z46"/>
    <mergeCell ref="AF37:AG37"/>
    <mergeCell ref="AF38:AG38"/>
    <mergeCell ref="AF39:AG39"/>
    <mergeCell ref="G40:H40"/>
    <mergeCell ref="G41:H41"/>
    <mergeCell ref="G42:H42"/>
    <mergeCell ref="L40:M40"/>
    <mergeCell ref="L41:M41"/>
    <mergeCell ref="L42:M42"/>
    <mergeCell ref="Q40:R40"/>
    <mergeCell ref="Q41:R41"/>
    <mergeCell ref="Q42:R42"/>
    <mergeCell ref="O40:P40"/>
    <mergeCell ref="O41:P41"/>
    <mergeCell ref="J40:K40"/>
    <mergeCell ref="J41:K41"/>
    <mergeCell ref="V40:W40"/>
    <mergeCell ref="V41:W41"/>
    <mergeCell ref="V42:W42"/>
    <mergeCell ref="AA40:AB40"/>
    <mergeCell ref="AA41:AB41"/>
    <mergeCell ref="AA42:AB42"/>
    <mergeCell ref="AF40:AG40"/>
    <mergeCell ref="AF41:AG41"/>
    <mergeCell ref="L37:M37"/>
    <mergeCell ref="L38:M38"/>
    <mergeCell ref="L39:M39"/>
    <mergeCell ref="Q37:R37"/>
    <mergeCell ref="Q38:R38"/>
    <mergeCell ref="Q39:R39"/>
    <mergeCell ref="J37:K37"/>
    <mergeCell ref="J38:K38"/>
    <mergeCell ref="V37:W37"/>
    <mergeCell ref="V38:W38"/>
    <mergeCell ref="V39:W39"/>
    <mergeCell ref="AF33:AG33"/>
    <mergeCell ref="G34:H34"/>
    <mergeCell ref="G35:H35"/>
    <mergeCell ref="G36:H36"/>
    <mergeCell ref="L34:M34"/>
    <mergeCell ref="L35:M35"/>
    <mergeCell ref="L36:M36"/>
    <mergeCell ref="Q34:R34"/>
    <mergeCell ref="Q35:R35"/>
    <mergeCell ref="Q36:R36"/>
    <mergeCell ref="V34:W34"/>
    <mergeCell ref="V35:W35"/>
    <mergeCell ref="V36:W36"/>
    <mergeCell ref="AA34:AB34"/>
    <mergeCell ref="AA35:AB35"/>
    <mergeCell ref="AA36:AB36"/>
    <mergeCell ref="AF34:AG34"/>
    <mergeCell ref="AF35:AG35"/>
    <mergeCell ref="AF36:AG36"/>
    <mergeCell ref="G33:H33"/>
    <mergeCell ref="L33:M33"/>
    <mergeCell ref="Q33:R33"/>
    <mergeCell ref="V33:W33"/>
    <mergeCell ref="AA33:AB33"/>
    <mergeCell ref="AF9:AG9"/>
    <mergeCell ref="G10:H10"/>
    <mergeCell ref="G11:H11"/>
    <mergeCell ref="AF15:AG15"/>
    <mergeCell ref="G16:H16"/>
    <mergeCell ref="AF20:AG20"/>
    <mergeCell ref="AF21:AG21"/>
    <mergeCell ref="G31:H31"/>
    <mergeCell ref="G32:H32"/>
    <mergeCell ref="L31:M31"/>
    <mergeCell ref="L32:M32"/>
    <mergeCell ref="Q31:R31"/>
    <mergeCell ref="Q32:R32"/>
    <mergeCell ref="V31:W31"/>
    <mergeCell ref="V32:W32"/>
    <mergeCell ref="AA31:AB31"/>
    <mergeCell ref="AA32:AB32"/>
    <mergeCell ref="AF31:AG31"/>
    <mergeCell ref="AF32:AG32"/>
    <mergeCell ref="V28:W28"/>
    <mergeCell ref="V29:W29"/>
    <mergeCell ref="V30:W30"/>
    <mergeCell ref="AA28:AB28"/>
    <mergeCell ref="AA29:AB29"/>
    <mergeCell ref="AF28:AG28"/>
    <mergeCell ref="AF29:AG29"/>
    <mergeCell ref="AF30:AG30"/>
    <mergeCell ref="G28:H28"/>
    <mergeCell ref="G29:H29"/>
    <mergeCell ref="G30:H30"/>
    <mergeCell ref="L28:M28"/>
    <mergeCell ref="L29:M29"/>
    <mergeCell ref="L30:M30"/>
    <mergeCell ref="Q28:R28"/>
    <mergeCell ref="Q29:R29"/>
    <mergeCell ref="Q30:R30"/>
    <mergeCell ref="T29:U29"/>
    <mergeCell ref="Y30:Z30"/>
    <mergeCell ref="J28:K28"/>
    <mergeCell ref="J29:K29"/>
    <mergeCell ref="O30:P30"/>
    <mergeCell ref="AF24:AG24"/>
    <mergeCell ref="G25:H25"/>
    <mergeCell ref="G26:H26"/>
    <mergeCell ref="G27:H27"/>
    <mergeCell ref="L25:M25"/>
    <mergeCell ref="L26:M26"/>
    <mergeCell ref="L27:M27"/>
    <mergeCell ref="Q25:R25"/>
    <mergeCell ref="Q26:R26"/>
    <mergeCell ref="Q27:R27"/>
    <mergeCell ref="V25:W25"/>
    <mergeCell ref="V26:W26"/>
    <mergeCell ref="V27:W27"/>
    <mergeCell ref="AA25:AB25"/>
    <mergeCell ref="AA26:AB26"/>
    <mergeCell ref="AA27:AB27"/>
    <mergeCell ref="AF25:AG25"/>
    <mergeCell ref="AF26:AG26"/>
    <mergeCell ref="AF27:AG27"/>
    <mergeCell ref="Y27:Z27"/>
    <mergeCell ref="AF16:AG16"/>
    <mergeCell ref="AF17:AG17"/>
    <mergeCell ref="AF18:AG18"/>
    <mergeCell ref="G19:H19"/>
    <mergeCell ref="AA19:AB19"/>
    <mergeCell ref="G22:H22"/>
    <mergeCell ref="G23:H23"/>
    <mergeCell ref="G24:H24"/>
    <mergeCell ref="L22:M22"/>
    <mergeCell ref="L23:M23"/>
    <mergeCell ref="L24:M24"/>
    <mergeCell ref="Q22:R22"/>
    <mergeCell ref="Q23:R23"/>
    <mergeCell ref="Q24:R24"/>
    <mergeCell ref="O22:P22"/>
    <mergeCell ref="O23:P23"/>
    <mergeCell ref="V22:W22"/>
    <mergeCell ref="V23:W23"/>
    <mergeCell ref="V24:W24"/>
    <mergeCell ref="AA22:AB22"/>
    <mergeCell ref="AA23:AB23"/>
    <mergeCell ref="AA24:AB24"/>
    <mergeCell ref="AF22:AG22"/>
    <mergeCell ref="AF23:AG23"/>
    <mergeCell ref="O20:P20"/>
    <mergeCell ref="T20:U20"/>
    <mergeCell ref="J18:K18"/>
    <mergeCell ref="G20:H20"/>
    <mergeCell ref="G21:H21"/>
    <mergeCell ref="L19:M19"/>
    <mergeCell ref="L20:M20"/>
    <mergeCell ref="L21:M21"/>
    <mergeCell ref="Q19:R19"/>
    <mergeCell ref="Q20:R20"/>
    <mergeCell ref="Q21:R21"/>
    <mergeCell ref="G17:H17"/>
    <mergeCell ref="G18:H18"/>
    <mergeCell ref="L16:M16"/>
    <mergeCell ref="L17:M17"/>
    <mergeCell ref="L18:M18"/>
    <mergeCell ref="Q16:R16"/>
    <mergeCell ref="Q17:R17"/>
    <mergeCell ref="Q18:R18"/>
    <mergeCell ref="V16:W16"/>
    <mergeCell ref="V17:W17"/>
    <mergeCell ref="V18:W18"/>
    <mergeCell ref="J16:K16"/>
    <mergeCell ref="J17:K17"/>
    <mergeCell ref="V10:W10"/>
    <mergeCell ref="V11:W11"/>
    <mergeCell ref="O10:P10"/>
    <mergeCell ref="O11:P11"/>
    <mergeCell ref="O13:P13"/>
    <mergeCell ref="O14:P14"/>
    <mergeCell ref="V12:W12"/>
    <mergeCell ref="J15:K15"/>
    <mergeCell ref="G15:H15"/>
    <mergeCell ref="L13:M13"/>
    <mergeCell ref="L14:M14"/>
    <mergeCell ref="L15:M15"/>
    <mergeCell ref="Q13:R13"/>
    <mergeCell ref="Q14:R14"/>
    <mergeCell ref="Q15:R15"/>
    <mergeCell ref="V13:W13"/>
    <mergeCell ref="V14:W14"/>
    <mergeCell ref="V15:W15"/>
    <mergeCell ref="G13:H13"/>
    <mergeCell ref="G14:H14"/>
    <mergeCell ref="J13:K13"/>
    <mergeCell ref="J14:K14"/>
    <mergeCell ref="E5:H5"/>
    <mergeCell ref="J5:M5"/>
    <mergeCell ref="O5:R5"/>
    <mergeCell ref="T5:W5"/>
    <mergeCell ref="Y5:AB5"/>
    <mergeCell ref="J6:K6"/>
    <mergeCell ref="L6:M6"/>
    <mergeCell ref="J7:K7"/>
    <mergeCell ref="E6:F6"/>
    <mergeCell ref="G6:H6"/>
    <mergeCell ref="O6:P6"/>
    <mergeCell ref="Q6:R6"/>
    <mergeCell ref="O7:P7"/>
    <mergeCell ref="T6:U6"/>
    <mergeCell ref="V6:W6"/>
    <mergeCell ref="G7:H7"/>
    <mergeCell ref="L7:M7"/>
    <mergeCell ref="Q7:R7"/>
    <mergeCell ref="Y6:Z6"/>
    <mergeCell ref="AA6:AB6"/>
    <mergeCell ref="Y7:Z7"/>
    <mergeCell ref="E7:F7"/>
    <mergeCell ref="AD41:AE41"/>
    <mergeCell ref="AD42:AE42"/>
    <mergeCell ref="AD32:AE32"/>
    <mergeCell ref="AD33:AE33"/>
    <mergeCell ref="V7:W7"/>
    <mergeCell ref="V8:W8"/>
    <mergeCell ref="V9:W9"/>
    <mergeCell ref="AA7:AB7"/>
    <mergeCell ref="AA8:AB8"/>
    <mergeCell ref="AA9:AB9"/>
    <mergeCell ref="AA15:AB15"/>
    <mergeCell ref="AA10:AB10"/>
    <mergeCell ref="AA11:AB11"/>
    <mergeCell ref="AA12:AB12"/>
    <mergeCell ref="AA13:AB13"/>
    <mergeCell ref="AA14:AB14"/>
    <mergeCell ref="AA20:AB20"/>
    <mergeCell ref="AA21:AB21"/>
    <mergeCell ref="V19:W19"/>
    <mergeCell ref="V20:W20"/>
    <mergeCell ref="V21:W21"/>
    <mergeCell ref="AA16:AB16"/>
    <mergeCell ref="AA17:AB17"/>
    <mergeCell ref="AA18:AB18"/>
    <mergeCell ref="Y8:Z8"/>
    <mergeCell ref="Y10:Z10"/>
    <mergeCell ref="Y11:Z11"/>
    <mergeCell ref="Y13:Z13"/>
    <mergeCell ref="AD40:AE40"/>
    <mergeCell ref="AD28:AE28"/>
    <mergeCell ref="AD31:AE31"/>
    <mergeCell ref="AD34:AE34"/>
    <mergeCell ref="AA30:AB30"/>
    <mergeCell ref="AA37:AB37"/>
    <mergeCell ref="AA38:AB38"/>
    <mergeCell ref="AA39:AB39"/>
    <mergeCell ref="AD35:AE35"/>
    <mergeCell ref="AD36:AE36"/>
    <mergeCell ref="AD38:AE38"/>
    <mergeCell ref="AD39:AE39"/>
    <mergeCell ref="AD23:AE23"/>
    <mergeCell ref="AD24:AE24"/>
    <mergeCell ref="AD26:AE26"/>
    <mergeCell ref="AD27:AE27"/>
    <mergeCell ref="AD29:AE29"/>
    <mergeCell ref="AD30:AE30"/>
    <mergeCell ref="E10:F10"/>
    <mergeCell ref="E13:F13"/>
    <mergeCell ref="E16:F16"/>
    <mergeCell ref="E19:F19"/>
    <mergeCell ref="E22:F22"/>
    <mergeCell ref="Y33:Z33"/>
    <mergeCell ref="Y36:Z36"/>
    <mergeCell ref="Y39:Z39"/>
    <mergeCell ref="Y9:Z9"/>
    <mergeCell ref="Y12:Z12"/>
    <mergeCell ref="Y15:Z15"/>
    <mergeCell ref="Y18:Z18"/>
    <mergeCell ref="J35:K35"/>
    <mergeCell ref="J19:K19"/>
    <mergeCell ref="J20:K20"/>
    <mergeCell ref="J22:K22"/>
    <mergeCell ref="J23:K23"/>
    <mergeCell ref="J25:K25"/>
    <mergeCell ref="J26:K26"/>
    <mergeCell ref="J21:K21"/>
    <mergeCell ref="T14:U14"/>
    <mergeCell ref="T16:U16"/>
    <mergeCell ref="T17:U17"/>
    <mergeCell ref="T19:U19"/>
    <mergeCell ref="O8:P8"/>
    <mergeCell ref="G8:H8"/>
    <mergeCell ref="G9:H9"/>
    <mergeCell ref="L8:M8"/>
    <mergeCell ref="L9:M9"/>
    <mergeCell ref="Q8:R8"/>
    <mergeCell ref="Q9:R9"/>
    <mergeCell ref="G12:H12"/>
    <mergeCell ref="L10:M10"/>
    <mergeCell ref="L11:M11"/>
    <mergeCell ref="L12:M12"/>
    <mergeCell ref="Q10:R10"/>
    <mergeCell ref="Q11:R11"/>
    <mergeCell ref="Q12:R12"/>
    <mergeCell ref="E45:F45"/>
    <mergeCell ref="E26:F26"/>
    <mergeCell ref="E29:F29"/>
    <mergeCell ref="E32:F32"/>
    <mergeCell ref="E35:F35"/>
    <mergeCell ref="E38:F38"/>
    <mergeCell ref="E41:F41"/>
    <mergeCell ref="E8:F8"/>
    <mergeCell ref="E11:F11"/>
    <mergeCell ref="E14:F14"/>
    <mergeCell ref="E17:F17"/>
    <mergeCell ref="E20:F20"/>
    <mergeCell ref="E23:F23"/>
    <mergeCell ref="E25:F25"/>
    <mergeCell ref="E28:F28"/>
    <mergeCell ref="E31:F31"/>
    <mergeCell ref="E30:F30"/>
    <mergeCell ref="E33:F33"/>
    <mergeCell ref="E36:F36"/>
    <mergeCell ref="E39:F39"/>
    <mergeCell ref="E42:F42"/>
    <mergeCell ref="E34:F34"/>
    <mergeCell ref="E37:F37"/>
    <mergeCell ref="E40:F40"/>
    <mergeCell ref="E44:F44"/>
    <mergeCell ref="G37:H37"/>
    <mergeCell ref="G38:H38"/>
    <mergeCell ref="G39:H39"/>
    <mergeCell ref="T7:U7"/>
    <mergeCell ref="T8:U8"/>
    <mergeCell ref="T10:U10"/>
    <mergeCell ref="T11:U11"/>
    <mergeCell ref="T13:U13"/>
    <mergeCell ref="O34:P34"/>
    <mergeCell ref="O35:P35"/>
    <mergeCell ref="O37:P37"/>
    <mergeCell ref="O38:P38"/>
    <mergeCell ref="O25:P25"/>
    <mergeCell ref="O26:P26"/>
    <mergeCell ref="O28:P28"/>
    <mergeCell ref="O29:P29"/>
    <mergeCell ref="O31:P31"/>
    <mergeCell ref="O32:P32"/>
    <mergeCell ref="O16:P16"/>
    <mergeCell ref="O17:P17"/>
    <mergeCell ref="O19:P19"/>
    <mergeCell ref="T31:U31"/>
    <mergeCell ref="T32:U32"/>
    <mergeCell ref="T22:U22"/>
    <mergeCell ref="T23:U23"/>
    <mergeCell ref="Y16:Z16"/>
    <mergeCell ref="Y17:Z17"/>
    <mergeCell ref="Y19:Z19"/>
    <mergeCell ref="Y20:Z20"/>
    <mergeCell ref="Y22:Z22"/>
    <mergeCell ref="Y23:Z23"/>
    <mergeCell ref="T44:U44"/>
    <mergeCell ref="T34:U34"/>
    <mergeCell ref="T35:U35"/>
    <mergeCell ref="T37:U37"/>
    <mergeCell ref="T38:U38"/>
    <mergeCell ref="T40:U40"/>
    <mergeCell ref="T41:U41"/>
    <mergeCell ref="T25:U25"/>
    <mergeCell ref="T26:U26"/>
    <mergeCell ref="T28:U28"/>
    <mergeCell ref="Y42:Z42"/>
    <mergeCell ref="E46:F46"/>
    <mergeCell ref="Y44:Z44"/>
    <mergeCell ref="Y45:Z45"/>
    <mergeCell ref="E9:F9"/>
    <mergeCell ref="E12:F12"/>
    <mergeCell ref="E15:F15"/>
    <mergeCell ref="E18:F18"/>
    <mergeCell ref="E21:F21"/>
    <mergeCell ref="E24:F24"/>
    <mergeCell ref="E27:F27"/>
    <mergeCell ref="Y34:Z34"/>
    <mergeCell ref="Y35:Z35"/>
    <mergeCell ref="Y37:Z37"/>
    <mergeCell ref="Y38:Z38"/>
    <mergeCell ref="Y40:Z40"/>
    <mergeCell ref="Y41:Z41"/>
    <mergeCell ref="Y25:Z25"/>
    <mergeCell ref="Y26:Z26"/>
    <mergeCell ref="Y28:Z28"/>
    <mergeCell ref="Y29:Z29"/>
    <mergeCell ref="Y31:Z31"/>
    <mergeCell ref="Y32:Z32"/>
    <mergeCell ref="Y14:Z14"/>
    <mergeCell ref="J12:K12"/>
    <mergeCell ref="O33:P33"/>
    <mergeCell ref="O36:P36"/>
    <mergeCell ref="O39:P39"/>
    <mergeCell ref="O42:P42"/>
    <mergeCell ref="O46:P46"/>
    <mergeCell ref="J42:K42"/>
    <mergeCell ref="J46:K46"/>
    <mergeCell ref="O9:P9"/>
    <mergeCell ref="O12:P12"/>
    <mergeCell ref="O15:P15"/>
    <mergeCell ref="O18:P18"/>
    <mergeCell ref="O21:P21"/>
    <mergeCell ref="O24:P24"/>
    <mergeCell ref="O27:P27"/>
    <mergeCell ref="J24:K24"/>
    <mergeCell ref="J27:K27"/>
    <mergeCell ref="J30:K30"/>
    <mergeCell ref="J33:K33"/>
    <mergeCell ref="J36:K36"/>
    <mergeCell ref="J39:K39"/>
    <mergeCell ref="J9:K9"/>
    <mergeCell ref="J31:K31"/>
    <mergeCell ref="J32:K32"/>
    <mergeCell ref="J34:K34"/>
    <mergeCell ref="Y4:AB4"/>
    <mergeCell ref="AD6:AE6"/>
    <mergeCell ref="AD7:AE7"/>
    <mergeCell ref="AD10:AE10"/>
    <mergeCell ref="AD13:AE13"/>
    <mergeCell ref="AD16:AE16"/>
    <mergeCell ref="T42:U42"/>
    <mergeCell ref="T46:U46"/>
    <mergeCell ref="E4:H4"/>
    <mergeCell ref="J4:M4"/>
    <mergeCell ref="O4:R4"/>
    <mergeCell ref="T4:W4"/>
    <mergeCell ref="T24:U24"/>
    <mergeCell ref="T27:U27"/>
    <mergeCell ref="T30:U30"/>
    <mergeCell ref="T33:U33"/>
    <mergeCell ref="T36:U36"/>
    <mergeCell ref="T39:U39"/>
    <mergeCell ref="T9:U9"/>
    <mergeCell ref="T12:U12"/>
    <mergeCell ref="T15:U15"/>
    <mergeCell ref="T18:U18"/>
    <mergeCell ref="T21:U21"/>
    <mergeCell ref="AD37:AE37"/>
    <mergeCell ref="AD4:AG4"/>
    <mergeCell ref="AF6:AG6"/>
    <mergeCell ref="AD8:AE8"/>
    <mergeCell ref="AD9:AE9"/>
    <mergeCell ref="AD11:AE11"/>
    <mergeCell ref="AD12:AE12"/>
    <mergeCell ref="AD19:AE19"/>
    <mergeCell ref="AD22:AE22"/>
    <mergeCell ref="AD25:AE25"/>
    <mergeCell ref="AD14:AE14"/>
    <mergeCell ref="AD15:AE15"/>
    <mergeCell ref="AD17:AE17"/>
    <mergeCell ref="AD18:AE18"/>
    <mergeCell ref="AD20:AE20"/>
    <mergeCell ref="AD21:AE21"/>
    <mergeCell ref="AD5:AG5"/>
    <mergeCell ref="AF7:AG7"/>
    <mergeCell ref="AF8:AG8"/>
    <mergeCell ref="AF13:AG13"/>
    <mergeCell ref="AF14:AG14"/>
    <mergeCell ref="AF10:AG10"/>
    <mergeCell ref="AF11:AG11"/>
    <mergeCell ref="AF12:AG12"/>
    <mergeCell ref="AF19:AG19"/>
  </mergeCells>
  <pageMargins left="0.25" right="0.25" top="0.75" bottom="0.75" header="0.3" footer="0.3"/>
  <pageSetup scale="75" orientation="landscape" r:id="rId1"/>
  <ignoredErrors>
    <ignoredError sqref="F8:I8 E43:AG46 F7 H7:I7 AC9 AC13 AC8:AG8 AC11 AC14 AC17 AC20 AC23 AC26 AC29 AC32 AC35 AC38 AC41 AC10 AC12 AC15:AC16 AC18:AC19 AC21:AC22 AC24:AC25 AC27:AC28 AC30:AC31 AC33:AC34 AC36:AC37 AC39:AC40 AB41 X8 S8 N8 N7 S7 X7 AB40 AC7:AG7 AA42:AC42 V42:X42 Q42:S42 L42:N42 E42:I42 E39:I39 E36:I36 E33:I33 E30:I30 E27:I27 E24:I24 E21:I21 E18:I18 E15:I15 E12:I12 F9:I9 E10:Z11 E9 J9:K9 E13:Z14 J12:K12 E16:Z17 J15:K15 E19:Z20 J18:K18 E22:Z23 J21:K21 E25:Z26 J24:K24 E28:Z29 J27:K27 E31:Z32 J30:K30 E34:Z35 J33:K33 E37:Z38 J36:K36 E40:Z41 J39:K39 J42:K42 O42:P42 T42:U42 Y42:Z42 O9:P9 O12:P12 O15:P15 O18:P18 O21:P21 O24:P24 O27:P27 O30:P30 O33:P33 O36:P36 O39:P39 T9:U9 T12:U12 T15:U15 T18:U18 T21:U21 T24:U24 T27:U27 T30:U30 T33:U33 T36:U36 T39:U39 Y9:Z9 Y12:Z12 Y15:Z15 Y18:Z18 Y21:Z21 Y24:Z24 Y27:Z27 Y30:Z30 Y33:Z33 Y36:Z36 Y39:Z39" unlockedFormula="1"/>
    <ignoredError sqref="AD9:AG42 AB11 AB14 AB17 AB20 AB23 AB26 AB29 AB32 AB35 AB38 AB10 AA9:AB9 AA12:AB12 AA15:AB15 AB13 AA18:AB18 AA21:AB21 AA24:AB24 AA27:AB27 AA30:AB30 AA33:AB33 AA36:AB36 AA39:AB39 AB16 AB19 AB22 AB25 AB28 AB31 AB34 AB37 V39:X39 V36:X36 V33:X33 V30:X30 V27:X27 V24:X24 V21:X21 V18:X18 V15:X15 V12:X12 V9:X9 Q39:S39 Q36:S36 Q33:S33 Q30:S30 Q27:S27 Q24:S24 Q21:S21 Q18:S18 Q15:S15 Q12:S12 Q9:S9 L39:N39 L36:N36 L33:N33 L30:N30 L27:N27 L24:N24 L21:N21 L18:N18 L15:N15 L12:N12 L9:N9" formula="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AD70"/>
  <sheetViews>
    <sheetView zoomScaleNormal="100" workbookViewId="0">
      <selection activeCell="I9" sqref="I9"/>
    </sheetView>
  </sheetViews>
  <sheetFormatPr defaultColWidth="9.109375" defaultRowHeight="14.4"/>
  <cols>
    <col min="1" max="6" width="9.109375" style="271"/>
    <col min="7" max="7" width="2.88671875" style="271" customWidth="1"/>
    <col min="8" max="8" width="9.44140625" style="271" bestFit="1" customWidth="1"/>
    <col min="9" max="11" width="10.5546875" style="271" customWidth="1"/>
    <col min="12" max="12" width="10.33203125" style="271" bestFit="1" customWidth="1"/>
    <col min="13" max="13" width="10.5546875" style="271" bestFit="1" customWidth="1"/>
    <col min="14" max="14" width="10.5546875" style="271" customWidth="1"/>
    <col min="15" max="15" width="2.6640625" style="271" customWidth="1"/>
    <col min="16" max="16" width="3.5546875" style="271" bestFit="1" customWidth="1"/>
    <col min="17" max="20" width="9.33203125" style="271" customWidth="1"/>
    <col min="21" max="21" width="2.6640625" style="271" customWidth="1"/>
    <col min="22" max="25" width="9.33203125" style="271" customWidth="1"/>
    <col min="26" max="26" width="2.6640625" style="271" customWidth="1"/>
    <col min="27" max="30" width="9.33203125" style="271" customWidth="1"/>
    <col min="31" max="16384" width="9.109375" style="271"/>
  </cols>
  <sheetData>
    <row r="1" spans="1:30" ht="15" thickBot="1">
      <c r="A1" s="952" t="s">
        <v>291</v>
      </c>
      <c r="B1" s="953"/>
      <c r="C1" s="953"/>
      <c r="D1" s="953"/>
      <c r="E1" s="953"/>
      <c r="F1" s="954"/>
      <c r="G1" s="270"/>
      <c r="H1" s="952" t="s">
        <v>292</v>
      </c>
      <c r="I1" s="953"/>
      <c r="J1" s="953"/>
      <c r="K1" s="953"/>
      <c r="L1" s="953"/>
      <c r="M1" s="953"/>
      <c r="N1" s="954"/>
      <c r="O1" s="270"/>
      <c r="Q1" s="955" t="s">
        <v>293</v>
      </c>
      <c r="R1" s="956"/>
      <c r="S1" s="956"/>
      <c r="T1" s="957"/>
      <c r="V1" s="955" t="s">
        <v>294</v>
      </c>
      <c r="W1" s="956"/>
      <c r="X1" s="956"/>
      <c r="Y1" s="957"/>
      <c r="AA1" s="955" t="s">
        <v>295</v>
      </c>
      <c r="AB1" s="956"/>
      <c r="AC1" s="956"/>
      <c r="AD1" s="957"/>
    </row>
    <row r="2" spans="1:30" ht="15.75" customHeight="1" thickTop="1" thickBot="1">
      <c r="A2" s="958" t="s">
        <v>296</v>
      </c>
      <c r="B2" s="959"/>
      <c r="C2" s="959"/>
      <c r="D2" s="959"/>
      <c r="E2" s="959"/>
      <c r="F2" s="960"/>
      <c r="G2" s="272"/>
      <c r="H2" s="273" t="s">
        <v>297</v>
      </c>
      <c r="I2" s="967" t="str">
        <f>'BP1'!A11</f>
        <v>Professor McCormick</v>
      </c>
      <c r="J2" s="967"/>
      <c r="K2" s="967"/>
      <c r="M2" s="274" t="s">
        <v>298</v>
      </c>
      <c r="N2" s="275">
        <v>3</v>
      </c>
      <c r="O2" s="272"/>
      <c r="P2" s="968" t="s">
        <v>442</v>
      </c>
      <c r="Q2" s="971" t="str">
        <f>IF((VLOOKUP($P2,$H$9:$K$13,(MATCH(Q$1,$I$8:$K$8,0))+1))&gt;0,(CONCATENATE((VLOOKUP($P2,$H$9:$K$13,(MATCH(Q$1,$I$8:$K$8,0))+1)),", ",VLOOKUP((VLOOKUP($P2,$H$9:$K$13,(MATCH(Q$1,$I$8:$K$8,0))+1)),$H$17:$M$35,2,FALSE))),"No Trip")</f>
        <v>No Trip</v>
      </c>
      <c r="R2" s="972"/>
      <c r="S2" s="972"/>
      <c r="T2" s="973"/>
      <c r="U2" s="276"/>
      <c r="V2" s="971" t="str">
        <f>IF((VLOOKUP($P2,$H$9:$K$13,(MATCH(V$1,$I$8:$K$8,0))+1))&gt;0,(CONCATENATE((VLOOKUP($P2,$H$9:$K$13,(MATCH(V$1,$I$8:$K$8,0))+1)),", ",VLOOKUP((VLOOKUP($P2,$H$9:$K$13,(MATCH(V$1,$I$8:$K$8,0))+1)),$H$17:$M$35,2,FALSE))),"No Trip")</f>
        <v>No Trip</v>
      </c>
      <c r="W2" s="972"/>
      <c r="X2" s="972"/>
      <c r="Y2" s="973"/>
      <c r="Z2" s="276"/>
      <c r="AA2" s="971" t="str">
        <f>IF((VLOOKUP($P2,$H$9:$K$13,(MATCH(AA$1,$I$8:$K$8,0))+1))&gt;0,(CONCATENATE((VLOOKUP($P2,$H$9:$K$13,(MATCH(AA$1,$I$8:$K$8,0))+1)),", ",VLOOKUP((VLOOKUP($P2,$H$9:$K$13,(MATCH(AA$1,$I$8:$K$8,0))+1)),$H$17:$M$35,2,FALSE))),"No Trip")</f>
        <v>No Trip</v>
      </c>
      <c r="AB2" s="972"/>
      <c r="AC2" s="972"/>
      <c r="AD2" s="973"/>
    </row>
    <row r="3" spans="1:30" ht="15.75" customHeight="1" thickTop="1">
      <c r="A3" s="961"/>
      <c r="B3" s="962"/>
      <c r="C3" s="962"/>
      <c r="D3" s="962"/>
      <c r="E3" s="962"/>
      <c r="F3" s="963"/>
      <c r="G3" s="277"/>
      <c r="H3" s="273" t="s">
        <v>197</v>
      </c>
      <c r="I3" s="967" t="str">
        <f>IF(ISBLANK('BP1'!E9),"",'BP1'!E9)</f>
        <v/>
      </c>
      <c r="J3" s="967"/>
      <c r="K3" s="967"/>
      <c r="M3" s="274" t="s">
        <v>299</v>
      </c>
      <c r="N3" s="275">
        <v>2</v>
      </c>
      <c r="O3" s="277"/>
      <c r="P3" s="969"/>
      <c r="Q3" s="464" t="s">
        <v>298</v>
      </c>
      <c r="R3" s="476">
        <f>IF((VLOOKUP($P2,$H$9:$K$13,(MATCH(Q$1,$I$8:$K$8,0))+1))=0,,VLOOKUP(Q3,$M$2:$N$3,2,0))</f>
        <v>0</v>
      </c>
      <c r="S3" s="474" t="s">
        <v>299</v>
      </c>
      <c r="T3" s="475">
        <f>IF((VLOOKUP($P2,$H$9:$K$13,(MATCH(Q$1,$I$8:$K$8,0))+1))=0,,VLOOKUP(S3,$M$2:$N$3,2,0))</f>
        <v>0</v>
      </c>
      <c r="U3" s="278"/>
      <c r="V3" s="464" t="s">
        <v>298</v>
      </c>
      <c r="W3" s="476">
        <f>IF((VLOOKUP($P2,$H$9:$K$13,(MATCH(V$1,$I$8:$K$8,0))+1))=0,,VLOOKUP(V3,$M$2:$N$3,2,0))</f>
        <v>0</v>
      </c>
      <c r="X3" s="474" t="s">
        <v>299</v>
      </c>
      <c r="Y3" s="475">
        <f>IF((VLOOKUP($P2,$H$9:$K$13,(MATCH(V$1,$I$8:$K$8,0))+1))=0,,VLOOKUP(X3,$M$2:$N$3,2,0))</f>
        <v>0</v>
      </c>
      <c r="Z3" s="278"/>
      <c r="AA3" s="464" t="s">
        <v>298</v>
      </c>
      <c r="AB3" s="476">
        <f>IF((VLOOKUP($P2,$H$9:$K$13,(MATCH(AA$1,$I$8:$K$8,0))+1))=0,,VLOOKUP(AA3,$M$2:$N$3,2,0))</f>
        <v>0</v>
      </c>
      <c r="AC3" s="474" t="s">
        <v>299</v>
      </c>
      <c r="AD3" s="475">
        <f>IF((VLOOKUP($P2,$H$9:$K$13,(MATCH(AA$1,$I$8:$K$8,0))+1))=0,,VLOOKUP(AC3,$M$2:$N$3,2,0))</f>
        <v>0</v>
      </c>
    </row>
    <row r="4" spans="1:30" ht="15" customHeight="1" thickBot="1">
      <c r="A4" s="964"/>
      <c r="B4" s="965"/>
      <c r="C4" s="965"/>
      <c r="D4" s="965"/>
      <c r="E4" s="965"/>
      <c r="F4" s="966"/>
      <c r="G4" s="277"/>
      <c r="H4" s="273" t="s">
        <v>317</v>
      </c>
      <c r="I4" s="1013" t="str">
        <f>'BP1'!A1</f>
        <v>Title</v>
      </c>
      <c r="J4" s="1013"/>
      <c r="K4" s="1013"/>
      <c r="L4" s="1013"/>
      <c r="M4" s="274" t="s">
        <v>318</v>
      </c>
      <c r="N4" s="318">
        <v>0</v>
      </c>
      <c r="O4" s="277"/>
      <c r="P4" s="969"/>
      <c r="Q4" s="989" t="s">
        <v>300</v>
      </c>
      <c r="R4" s="990"/>
      <c r="S4" s="990"/>
      <c r="T4" s="470" t="s">
        <v>93</v>
      </c>
      <c r="U4" s="278"/>
      <c r="V4" s="989" t="s">
        <v>300</v>
      </c>
      <c r="W4" s="990"/>
      <c r="X4" s="990"/>
      <c r="Y4" s="470" t="s">
        <v>93</v>
      </c>
      <c r="Z4" s="278"/>
      <c r="AA4" s="989" t="s">
        <v>300</v>
      </c>
      <c r="AB4" s="990"/>
      <c r="AC4" s="990"/>
      <c r="AD4" s="470" t="s">
        <v>93</v>
      </c>
    </row>
    <row r="5" spans="1:30" ht="15" customHeight="1" thickTop="1" thickBot="1">
      <c r="A5" s="280"/>
      <c r="B5" s="280"/>
      <c r="C5" s="280"/>
      <c r="D5" s="280"/>
      <c r="E5" s="280"/>
      <c r="F5" s="280"/>
      <c r="G5" s="277"/>
      <c r="H5" s="279"/>
      <c r="I5" s="1014"/>
      <c r="J5" s="1014"/>
      <c r="K5" s="1014"/>
      <c r="L5" s="1014"/>
      <c r="M5" s="302"/>
      <c r="N5" s="317"/>
      <c r="O5" s="277"/>
      <c r="P5" s="969"/>
      <c r="Q5" s="977" t="s">
        <v>205</v>
      </c>
      <c r="R5" s="978"/>
      <c r="S5" s="466">
        <f>IF((VLOOKUP($P2,$H$9:$K$13,(MATCH(Q$1,$I$8:$K$8,0))+1))=0,,VLOOKUP((VLOOKUP($P2,$H$9:$K$13,(MATCH(Q$1,$I$8:$K$8,0))+1)),$H$17:$N$35,6,FALSE))</f>
        <v>0</v>
      </c>
      <c r="T5" s="284">
        <f>S5*T3</f>
        <v>0</v>
      </c>
      <c r="U5" s="270"/>
      <c r="V5" s="979" t="s">
        <v>205</v>
      </c>
      <c r="W5" s="980"/>
      <c r="X5" s="468">
        <f>IF((VLOOKUP($P2,$H$9:$K$13,(MATCH(V$1,$I$8:$K$8,0))+1))=0,,VLOOKUP((VLOOKUP($P2,$H$9:$K$13,(MATCH(V$1,$I$8:$K$8,0))+1)),$H$17:$N$35,6,FALSE))</f>
        <v>0</v>
      </c>
      <c r="Y5" s="285">
        <f>X5*Y3</f>
        <v>0</v>
      </c>
      <c r="Z5" s="270"/>
      <c r="AA5" s="977" t="s">
        <v>205</v>
      </c>
      <c r="AB5" s="978"/>
      <c r="AC5" s="466">
        <f>IF((VLOOKUP($P2,$H$9:$K$13,(MATCH(AA$1,$I$8:$K$8,0))+1))=0,,VLOOKUP((VLOOKUP($P2,$H$9:$K$13,(MATCH(AA$1,$I$8:$K$8,0))+1)),$H$17:$N$35,6,FALSE))</f>
        <v>0</v>
      </c>
      <c r="AD5" s="284">
        <f>AC5*AD3</f>
        <v>0</v>
      </c>
    </row>
    <row r="6" spans="1:30" ht="15.75" customHeight="1" thickBot="1">
      <c r="A6" s="974" t="s">
        <v>418</v>
      </c>
      <c r="B6" s="975"/>
      <c r="C6" s="975"/>
      <c r="D6" s="975"/>
      <c r="E6" s="975"/>
      <c r="F6" s="976"/>
      <c r="G6" s="270"/>
      <c r="O6" s="270"/>
      <c r="P6" s="969"/>
      <c r="Q6" s="981" t="s">
        <v>559</v>
      </c>
      <c r="R6" s="982"/>
      <c r="S6" s="471">
        <f>IF((VLOOKUP($P2,$H$9:$K$13,(MATCH(Q$1,$I$8:$K$8,0))+1))=0,,VLOOKUP((VLOOKUP($P2,$H$9:$K$13,(MATCH(Q$1,$I$8:$K$8,0))+1)),$H$17:$N$35,7,FALSE))</f>
        <v>0</v>
      </c>
      <c r="T6" s="472">
        <f>S6*T3</f>
        <v>0</v>
      </c>
      <c r="U6" s="281"/>
      <c r="V6" s="991" t="s">
        <v>559</v>
      </c>
      <c r="W6" s="992"/>
      <c r="X6" s="477">
        <f>IF((VLOOKUP($P2,$H$9:$K$13,(MATCH(V$1,$I$8:$K$8,0))+1))=0,,VLOOKUP((VLOOKUP($P2,$H$9:$K$13,(MATCH(V$1,$I$8:$K$8,0))+1)),$H$17:$N$35,7,FALSE))</f>
        <v>0</v>
      </c>
      <c r="Y6" s="478">
        <f>X6*Y3</f>
        <v>0</v>
      </c>
      <c r="Z6" s="281"/>
      <c r="AA6" s="981" t="s">
        <v>559</v>
      </c>
      <c r="AB6" s="982"/>
      <c r="AC6" s="471">
        <f>IF((VLOOKUP($P2,$H$9:$K$13,(MATCH(AA$1,$I$8:$K$8,0))+1))=0,,VLOOKUP((VLOOKUP($P2,$H$9:$K$13,(MATCH(AA$1,$I$8:$K$8,0))+1)),$H$17:$N$35,7,FALSE))</f>
        <v>0</v>
      </c>
      <c r="AD6" s="472">
        <f>AC6*AD3</f>
        <v>0</v>
      </c>
    </row>
    <row r="7" spans="1:30" ht="16.5" customHeight="1" thickBot="1">
      <c r="A7" s="961"/>
      <c r="B7" s="962"/>
      <c r="C7" s="962"/>
      <c r="D7" s="962"/>
      <c r="E7" s="962"/>
      <c r="F7" s="963"/>
      <c r="G7" s="281"/>
      <c r="H7" s="952" t="s">
        <v>301</v>
      </c>
      <c r="I7" s="953"/>
      <c r="J7" s="953"/>
      <c r="K7" s="953"/>
      <c r="L7" s="953"/>
      <c r="M7" s="953"/>
      <c r="N7" s="954"/>
      <c r="O7" s="281"/>
      <c r="P7" s="969"/>
      <c r="Q7" s="983" t="s">
        <v>304</v>
      </c>
      <c r="R7" s="984"/>
      <c r="S7" s="466">
        <f>IF((VLOOKUP($P2,$H$9:$K$13,(MATCH(Q$1,$I$8:$K$8,0))+1))=0,,VLOOKUP((VLOOKUP($P2,$H$9:$K$13,(MATCH(Q$1,$I$8:$K$8,0))+1)),$H$16:$N$35,4,FALSE))</f>
        <v>0</v>
      </c>
      <c r="T7" s="284">
        <f>S7*T3*(R3-1)</f>
        <v>0</v>
      </c>
      <c r="U7" s="281"/>
      <c r="V7" s="995" t="s">
        <v>304</v>
      </c>
      <c r="W7" s="996"/>
      <c r="X7" s="468">
        <f>IF((VLOOKUP($P2,$H$9:$K$13,(MATCH(V$1,$I$8:$K$8,0))+1))=0,,VLOOKUP((VLOOKUP($P2,$H$9:$K$13,(MATCH(V$1,$I$8:$K$8,0))+1)),$H$16:$N$35,4,FALSE))</f>
        <v>0</v>
      </c>
      <c r="Y7" s="285">
        <f>X7*Y3*(W3-1)</f>
        <v>0</v>
      </c>
      <c r="Z7" s="281"/>
      <c r="AA7" s="983" t="s">
        <v>304</v>
      </c>
      <c r="AB7" s="984"/>
      <c r="AC7" s="466">
        <f>IF((VLOOKUP($P2,$H$9:$K$13,(MATCH(AA$1,$I$8:$K$8,0))+1))=0,,VLOOKUP((VLOOKUP($P2,$H$9:$K$13,(MATCH(AA$1,$I$8:$K$8,0))+1)),$H$16:$N$35,4,FALSE))</f>
        <v>0</v>
      </c>
      <c r="AD7" s="284">
        <f>AC7*AD3*(AB3-1)</f>
        <v>0</v>
      </c>
    </row>
    <row r="8" spans="1:30" ht="15.6" thickTop="1" thickBot="1">
      <c r="A8" s="961"/>
      <c r="B8" s="962"/>
      <c r="C8" s="962"/>
      <c r="D8" s="962"/>
      <c r="E8" s="962"/>
      <c r="F8" s="963"/>
      <c r="G8" s="277"/>
      <c r="H8" s="465"/>
      <c r="I8" s="282" t="s">
        <v>293</v>
      </c>
      <c r="J8" s="282" t="s">
        <v>294</v>
      </c>
      <c r="K8" s="282" t="s">
        <v>295</v>
      </c>
      <c r="L8" s="282" t="s">
        <v>302</v>
      </c>
      <c r="M8" s="283" t="s">
        <v>303</v>
      </c>
      <c r="N8" s="283" t="s">
        <v>93</v>
      </c>
      <c r="O8" s="277"/>
      <c r="P8" s="969"/>
      <c r="Q8" s="985" t="s">
        <v>305</v>
      </c>
      <c r="R8" s="986"/>
      <c r="S8" s="467">
        <f>IF((VLOOKUP($P2,$H$9:$K$13,(MATCH(Q$1,$I$8:$K$8,0))+1))=0,,VLOOKUP((VLOOKUP($P2,$H$9:$K$13,(MATCH(Q$1,$I$8:$K$8,0))+1)),$H$16:$N$35,5,FALSE))</f>
        <v>0</v>
      </c>
      <c r="T8" s="290">
        <f>S8*(R3-(2*0.25))*T3</f>
        <v>0</v>
      </c>
      <c r="U8" s="281"/>
      <c r="V8" s="993" t="s">
        <v>305</v>
      </c>
      <c r="W8" s="994"/>
      <c r="X8" s="469">
        <f>IF((VLOOKUP($P2,$H$9:$K$13,(MATCH(V$1,$I$8:$K$8,0))+1))=0,,VLOOKUP((VLOOKUP($P2,$H$9:$K$13,(MATCH(V$1,$I$8:$K$8,0))+1)),$H$16:$N$35,5,FALSE))</f>
        <v>0</v>
      </c>
      <c r="Y8" s="291">
        <f>X8*(W3-(2*0.25))*Y3</f>
        <v>0</v>
      </c>
      <c r="Z8" s="281"/>
      <c r="AA8" s="985" t="s">
        <v>305</v>
      </c>
      <c r="AB8" s="986"/>
      <c r="AC8" s="467">
        <f>IF((VLOOKUP($P2,$H$9:$K$13,(MATCH(AA$1,$I$8:$K$8,0))+1))=0,,VLOOKUP((VLOOKUP($P2,$H$9:$K$13,(MATCH(AA$1,$I$8:$K$8,0))+1)),$H$16:$N$35,5,FALSE))</f>
        <v>0</v>
      </c>
      <c r="AD8" s="290">
        <f>AC8*(AB3-(2*0.25))*AD3</f>
        <v>0</v>
      </c>
    </row>
    <row r="9" spans="1:30" ht="15.75" customHeight="1" thickTop="1" thickBot="1">
      <c r="A9" s="961"/>
      <c r="B9" s="962"/>
      <c r="C9" s="962"/>
      <c r="D9" s="962"/>
      <c r="E9" s="962"/>
      <c r="F9" s="963"/>
      <c r="G9" s="277"/>
      <c r="H9" s="286" t="s">
        <v>442</v>
      </c>
      <c r="I9" s="287"/>
      <c r="J9" s="287"/>
      <c r="K9" s="287"/>
      <c r="L9" s="288">
        <f>(IF(Q9=L$8,T9,))+(IF(V9=L$8,Y9,))+(IF(AA9=L$8,AD9,))</f>
        <v>0</v>
      </c>
      <c r="M9" s="289">
        <f>(IF(Q9=M$8,T9,))+(IF(V9=M$8,Y9,))+(IF(AA9=M$8,AD9,))</f>
        <v>0</v>
      </c>
      <c r="N9" s="289">
        <f>L9+M9</f>
        <v>0</v>
      </c>
      <c r="O9" s="277"/>
      <c r="P9" s="970"/>
      <c r="Q9" s="987" t="str">
        <f>IF((VLOOKUP($P2,$H$9:$K$13,(MATCH(Q$1,$I$8:$K$8,0))+1))=0,"",VLOOKUP((VLOOKUP($P2,$H$9:$K$13,(MATCH(Q$1,$I$8:$K$8,0))+1)),$H$17:$M$35,3,FALSE))</f>
        <v/>
      </c>
      <c r="R9" s="988"/>
      <c r="S9" s="473" t="s">
        <v>560</v>
      </c>
      <c r="T9" s="296">
        <f>SUM(T5:T8)</f>
        <v>0</v>
      </c>
      <c r="U9" s="297"/>
      <c r="V9" s="987" t="str">
        <f>IF((VLOOKUP($P2,$H$9:$K$13,(MATCH(V$1,$I$8:$K$8,0))+1))=0,"",VLOOKUP((VLOOKUP($P2,$H$9:$K$13,(MATCH(V$1,$I$8:$K$8,0))+1)),$H$17:$M$35,3,FALSE))</f>
        <v/>
      </c>
      <c r="W9" s="988"/>
      <c r="X9" s="473" t="s">
        <v>560</v>
      </c>
      <c r="Y9" s="296">
        <f>SUM(Y5:Y8)</f>
        <v>0</v>
      </c>
      <c r="Z9" s="297"/>
      <c r="AA9" s="987" t="str">
        <f>IF((VLOOKUP($P2,$H$9:$K$13,(MATCH(AA$1,$I$8:$K$8,0))+1))=0,"",VLOOKUP((VLOOKUP($P2,$H$9:$K$13,(MATCH(AA$1,$I$8:$K$8,0))+1)),$H$17:$M$35,3,FALSE))</f>
        <v/>
      </c>
      <c r="AB9" s="988"/>
      <c r="AC9" s="473" t="s">
        <v>560</v>
      </c>
      <c r="AD9" s="296">
        <f>SUM(AD5:AD8)</f>
        <v>0</v>
      </c>
    </row>
    <row r="10" spans="1:30" ht="15.75" customHeight="1" thickBot="1">
      <c r="A10" s="961"/>
      <c r="B10" s="962"/>
      <c r="C10" s="962"/>
      <c r="D10" s="962"/>
      <c r="E10" s="962"/>
      <c r="F10" s="963"/>
      <c r="G10" s="270"/>
      <c r="H10" s="292" t="s">
        <v>443</v>
      </c>
      <c r="I10" s="293"/>
      <c r="J10" s="293"/>
      <c r="K10" s="293"/>
      <c r="L10" s="294">
        <f>(IF(Q17=L$8,T17,))+(IF(V17=L$8,Y17,))+(IF(AA17=L$8,AD17,))</f>
        <v>0</v>
      </c>
      <c r="M10" s="295">
        <f>(IF(Q17=M$8,T17,))+(IF(V17=M$8,Y17,))+(IF(AA17=M$8,AD17,))</f>
        <v>0</v>
      </c>
      <c r="N10" s="295">
        <f>L10+M10</f>
        <v>0</v>
      </c>
      <c r="O10" s="270"/>
      <c r="P10" s="968" t="s">
        <v>443</v>
      </c>
      <c r="Q10" s="971" t="str">
        <f>IF((VLOOKUP($P10,$H$9:$K$13,(MATCH(Q$1,$I$8:$K$8,0))+1))&gt;0,(CONCATENATE((VLOOKUP($P10,$H$9:$K$13,(MATCH(Q$1,$I$8:$K$8,0))+1)),", ",VLOOKUP((VLOOKUP($P10,$H$9:$K$13,(MATCH(Q$1,$I$8:$K$8,0))+1)),$H$17:$M$35,2,FALSE))),"No Trip")</f>
        <v>No Trip</v>
      </c>
      <c r="R10" s="972"/>
      <c r="S10" s="972"/>
      <c r="T10" s="973"/>
      <c r="U10" s="276"/>
      <c r="V10" s="971" t="str">
        <f>IF((VLOOKUP($P10,$H$9:$K$13,(MATCH(V$1,$I$8:$K$8,0))+1))&gt;0,(CONCATENATE((VLOOKUP($P10,$H$9:$K$13,(MATCH(V$1,$I$8:$K$8,0))+1)),", ",VLOOKUP((VLOOKUP($P10,$H$9:$K$13,(MATCH(V$1,$I$8:$K$8,0))+1)),$H$17:$M$35,2,FALSE))),"No Trip")</f>
        <v>No Trip</v>
      </c>
      <c r="W10" s="972"/>
      <c r="X10" s="972"/>
      <c r="Y10" s="973"/>
      <c r="Z10" s="276"/>
      <c r="AA10" s="971" t="str">
        <f>IF((VLOOKUP($P10,$H$9:$K$13,(MATCH(AA$1,$I$8:$K$8,0))+1))&gt;0,(CONCATENATE((VLOOKUP($P10,$H$9:$K$13,(MATCH(AA$1,$I$8:$K$8,0))+1)),", ",VLOOKUP((VLOOKUP($P10,$H$9:$K$13,(MATCH(AA$1,$I$8:$K$8,0))+1)),$H$17:$M$35,2,FALSE))),"No Trip")</f>
        <v>No Trip</v>
      </c>
      <c r="AB10" s="972"/>
      <c r="AC10" s="972"/>
      <c r="AD10" s="973"/>
    </row>
    <row r="11" spans="1:30" ht="15" thickTop="1">
      <c r="A11" s="961"/>
      <c r="B11" s="962"/>
      <c r="C11" s="962"/>
      <c r="D11" s="962"/>
      <c r="E11" s="962"/>
      <c r="F11" s="963"/>
      <c r="G11" s="281"/>
      <c r="H11" s="286" t="s">
        <v>444</v>
      </c>
      <c r="I11" s="287"/>
      <c r="J11" s="287"/>
      <c r="K11" s="287"/>
      <c r="L11" s="288">
        <f>(IF(Q25=L$8,T25,))+(IF(V25=L$8,Y25,))+(IF(AA25=L$8,AD25,))</f>
        <v>0</v>
      </c>
      <c r="M11" s="289">
        <f>(IF(Q25=M$8,T25,))+(IF(V25=M$8,Y25,))+(IF(AA25=M$8,AD25,))</f>
        <v>0</v>
      </c>
      <c r="N11" s="289">
        <f>L11+M11</f>
        <v>0</v>
      </c>
      <c r="O11" s="281"/>
      <c r="P11" s="969"/>
      <c r="Q11" s="464" t="s">
        <v>298</v>
      </c>
      <c r="R11" s="476">
        <f>IF((VLOOKUP($P10,$H$9:$K$13,(MATCH(Q$1,$I$8:$K$8,0))+1))=0,,VLOOKUP(Q11,$M$2:$N$3,2,0))</f>
        <v>0</v>
      </c>
      <c r="S11" s="474" t="s">
        <v>299</v>
      </c>
      <c r="T11" s="475">
        <f>IF((VLOOKUP($P10,$H$9:$K$13,(MATCH(Q$1,$I$8:$K$8,0))+1))=0,,VLOOKUP(S11,$M$2:$N$3,2,0))</f>
        <v>0</v>
      </c>
      <c r="U11" s="278"/>
      <c r="V11" s="464" t="s">
        <v>298</v>
      </c>
      <c r="W11" s="476">
        <f>IF((VLOOKUP($P10,$H$9:$K$13,(MATCH(V$1,$I$8:$K$8,0))+1))=0,,VLOOKUP(V11,$M$2:$N$3,2,0))</f>
        <v>0</v>
      </c>
      <c r="X11" s="474" t="s">
        <v>299</v>
      </c>
      <c r="Y11" s="475">
        <f>IF((VLOOKUP($P10,$H$9:$K$13,(MATCH(V$1,$I$8:$K$8,0))+1))=0,,VLOOKUP(X11,$M$2:$N$3,2,0))</f>
        <v>0</v>
      </c>
      <c r="Z11" s="278"/>
      <c r="AA11" s="464" t="s">
        <v>298</v>
      </c>
      <c r="AB11" s="476">
        <f>IF((VLOOKUP($P10,$H$9:$K$13,(MATCH(AA$1,$I$8:$K$8,0))+1))=0,,VLOOKUP(AA11,$M$2:$N$3,2,0))</f>
        <v>0</v>
      </c>
      <c r="AC11" s="474" t="s">
        <v>299</v>
      </c>
      <c r="AD11" s="475">
        <f>IF((VLOOKUP($P10,$H$9:$K$13,(MATCH(AA$1,$I$8:$K$8,0))+1))=0,,VLOOKUP(AC11,$M$2:$N$3,2,0))</f>
        <v>0</v>
      </c>
    </row>
    <row r="12" spans="1:30" ht="15.75" customHeight="1" thickBot="1">
      <c r="A12" s="961"/>
      <c r="B12" s="962"/>
      <c r="C12" s="962"/>
      <c r="D12" s="962"/>
      <c r="E12" s="962"/>
      <c r="F12" s="963"/>
      <c r="G12" s="281"/>
      <c r="H12" s="292" t="s">
        <v>445</v>
      </c>
      <c r="I12" s="293"/>
      <c r="J12" s="293"/>
      <c r="K12" s="293"/>
      <c r="L12" s="294">
        <f>(IF(Q33=L$8,T33,))+(IF(V33=L$8,Y33,))+(IF(AA33=L$8,AD33,))</f>
        <v>0</v>
      </c>
      <c r="M12" s="295">
        <f>(IF(Q33=M$8,T33,))+(IF(V33=M$8,Y33,))+(IF(AA33=M$8,AD33,))</f>
        <v>0</v>
      </c>
      <c r="N12" s="295">
        <f>L12+M12</f>
        <v>0</v>
      </c>
      <c r="O12" s="281"/>
      <c r="P12" s="969"/>
      <c r="Q12" s="989" t="s">
        <v>300</v>
      </c>
      <c r="R12" s="990"/>
      <c r="S12" s="990"/>
      <c r="T12" s="470" t="s">
        <v>93</v>
      </c>
      <c r="U12" s="278"/>
      <c r="V12" s="989" t="s">
        <v>300</v>
      </c>
      <c r="W12" s="990"/>
      <c r="X12" s="990"/>
      <c r="Y12" s="470" t="s">
        <v>93</v>
      </c>
      <c r="Z12" s="278"/>
      <c r="AA12" s="989" t="s">
        <v>300</v>
      </c>
      <c r="AB12" s="990"/>
      <c r="AC12" s="990"/>
      <c r="AD12" s="470" t="s">
        <v>93</v>
      </c>
    </row>
    <row r="13" spans="1:30" ht="15.75" customHeight="1" thickTop="1" thickBot="1">
      <c r="A13" s="964"/>
      <c r="B13" s="965"/>
      <c r="C13" s="965"/>
      <c r="D13" s="965"/>
      <c r="E13" s="965"/>
      <c r="F13" s="966"/>
      <c r="G13" s="272"/>
      <c r="H13" s="298" t="s">
        <v>446</v>
      </c>
      <c r="I13" s="557"/>
      <c r="J13" s="438"/>
      <c r="K13" s="438"/>
      <c r="L13" s="299">
        <f>(IF(Q41=L$8,T41,))+(IF(V41=L$8,Y41,))+(IF(AA41=L$8,AD41,))</f>
        <v>0</v>
      </c>
      <c r="M13" s="300">
        <f>(IF(Q41=M$8,T41,))+(IF(V41=M$8,Y41,))+(IF(AA41=M$8,AD41,))</f>
        <v>0</v>
      </c>
      <c r="N13" s="300">
        <f>L13+M13</f>
        <v>0</v>
      </c>
      <c r="O13" s="272"/>
      <c r="P13" s="969"/>
      <c r="Q13" s="977" t="s">
        <v>205</v>
      </c>
      <c r="R13" s="978"/>
      <c r="S13" s="466">
        <f>IF((VLOOKUP($P10,$H$9:$K$13,(MATCH(Q$1,$I$8:$K$8,0))+1))=0,,VLOOKUP((VLOOKUP($P10,$H$9:$K$13,(MATCH(Q$1,$I$8:$K$8,0))+1)),$H$17:$N$35,6,FALSE))</f>
        <v>0</v>
      </c>
      <c r="T13" s="284">
        <f>S13*T11</f>
        <v>0</v>
      </c>
      <c r="U13" s="270"/>
      <c r="V13" s="979" t="s">
        <v>205</v>
      </c>
      <c r="W13" s="980"/>
      <c r="X13" s="468">
        <f>IF((VLOOKUP($P10,$H$9:$K$13,(MATCH(V$1,$I$8:$K$8,0))+1))=0,,VLOOKUP((VLOOKUP($P10,$H$9:$K$13,(MATCH(V$1,$I$8:$K$8,0))+1)),$H$17:$N$35,6,FALSE))</f>
        <v>0</v>
      </c>
      <c r="Y13" s="285">
        <f>X13*Y11</f>
        <v>0</v>
      </c>
      <c r="Z13" s="270"/>
      <c r="AA13" s="977" t="s">
        <v>205</v>
      </c>
      <c r="AB13" s="978"/>
      <c r="AC13" s="466">
        <f>IF((VLOOKUP($P10,$H$9:$K$13,(MATCH(AA$1,$I$8:$K$8,0))+1))=0,,VLOOKUP((VLOOKUP($P10,$H$9:$K$13,(MATCH(AA$1,$I$8:$K$8,0))+1)),$H$17:$N$35,6,FALSE))</f>
        <v>0</v>
      </c>
      <c r="AD13" s="284">
        <f>AC13*AD11</f>
        <v>0</v>
      </c>
    </row>
    <row r="14" spans="1:30" ht="15" thickBot="1">
      <c r="A14" s="280"/>
      <c r="B14" s="280"/>
      <c r="C14" s="280"/>
      <c r="D14" s="280"/>
      <c r="E14" s="280"/>
      <c r="F14" s="280"/>
      <c r="G14" s="277"/>
      <c r="H14" s="301" t="s">
        <v>306</v>
      </c>
      <c r="I14" s="302"/>
      <c r="J14" s="302"/>
      <c r="K14" s="303"/>
      <c r="L14" s="304">
        <f>SUM(L9:L13)</f>
        <v>0</v>
      </c>
      <c r="M14" s="305">
        <f>SUM(M9:M13)</f>
        <v>0</v>
      </c>
      <c r="N14" s="305">
        <f>SUM(N9:N13)</f>
        <v>0</v>
      </c>
      <c r="O14" s="277"/>
      <c r="P14" s="969"/>
      <c r="Q14" s="981" t="s">
        <v>559</v>
      </c>
      <c r="R14" s="982"/>
      <c r="S14" s="471">
        <f>IF((VLOOKUP($P10,$H$9:$K$13,(MATCH(Q$1,$I$8:$K$8,0))+1))=0,,VLOOKUP((VLOOKUP($P10,$H$9:$K$13,(MATCH(Q$1,$I$8:$K$8,0))+1)),$H$17:$N$35,7,FALSE))</f>
        <v>0</v>
      </c>
      <c r="T14" s="472">
        <f>S14*T11</f>
        <v>0</v>
      </c>
      <c r="U14" s="281"/>
      <c r="V14" s="991" t="s">
        <v>559</v>
      </c>
      <c r="W14" s="992"/>
      <c r="X14" s="477">
        <f>IF((VLOOKUP($P10,$H$9:$K$13,(MATCH(V$1,$I$8:$K$8,0))+1))=0,,VLOOKUP((VLOOKUP($P10,$H$9:$K$13,(MATCH(V$1,$I$8:$K$8,0))+1)),$H$17:$N$35,7,FALSE))</f>
        <v>0</v>
      </c>
      <c r="Y14" s="478">
        <f>X14*Y11</f>
        <v>0</v>
      </c>
      <c r="Z14" s="281"/>
      <c r="AA14" s="981" t="s">
        <v>559</v>
      </c>
      <c r="AB14" s="982"/>
      <c r="AC14" s="471">
        <f>IF((VLOOKUP($P10,$H$9:$K$13,(MATCH(AA$1,$I$8:$K$8,0))+1))=0,,VLOOKUP((VLOOKUP($P10,$H$9:$K$13,(MATCH(AA$1,$I$8:$K$8,0))+1)),$H$17:$N$35,7,FALSE))</f>
        <v>0</v>
      </c>
      <c r="AD14" s="472">
        <f>AC14*AD11</f>
        <v>0</v>
      </c>
    </row>
    <row r="15" spans="1:30" ht="15.75" customHeight="1" thickBot="1">
      <c r="A15" s="1009" t="s">
        <v>307</v>
      </c>
      <c r="B15" s="975"/>
      <c r="C15" s="975"/>
      <c r="D15" s="975"/>
      <c r="E15" s="975"/>
      <c r="F15" s="976"/>
      <c r="P15" s="969"/>
      <c r="Q15" s="983" t="s">
        <v>304</v>
      </c>
      <c r="R15" s="984"/>
      <c r="S15" s="466">
        <f>IF((VLOOKUP($P10,$H$9:$K$13,(MATCH(Q$1,$I$8:$K$8,0))+1))=0,,VLOOKUP((VLOOKUP($P10,$H$9:$K$13,(MATCH(Q$1,$I$8:$K$8,0))+1)),$H$16:$N$35,4,FALSE))</f>
        <v>0</v>
      </c>
      <c r="T15" s="284">
        <f>S15*T11*(R11-1)</f>
        <v>0</v>
      </c>
      <c r="U15" s="281"/>
      <c r="V15" s="995" t="s">
        <v>304</v>
      </c>
      <c r="W15" s="996"/>
      <c r="X15" s="468">
        <f>IF((VLOOKUP($P10,$H$9:$K$13,(MATCH(V$1,$I$8:$K$8,0))+1))=0,,VLOOKUP((VLOOKUP($P10,$H$9:$K$13,(MATCH(V$1,$I$8:$K$8,0))+1)),$H$16:$N$35,4,FALSE))</f>
        <v>0</v>
      </c>
      <c r="Y15" s="285">
        <f>X15*Y11*(W11-1)</f>
        <v>0</v>
      </c>
      <c r="Z15" s="281"/>
      <c r="AA15" s="983" t="s">
        <v>304</v>
      </c>
      <c r="AB15" s="984"/>
      <c r="AC15" s="466">
        <f>IF((VLOOKUP($P10,$H$9:$K$13,(MATCH(AA$1,$I$8:$K$8,0))+1))=0,,VLOOKUP((VLOOKUP($P10,$H$9:$K$13,(MATCH(AA$1,$I$8:$K$8,0))+1)),$H$16:$N$35,4,FALSE))</f>
        <v>0</v>
      </c>
      <c r="AD15" s="284">
        <f>AC15*AD11*(AB11-1)</f>
        <v>0</v>
      </c>
    </row>
    <row r="16" spans="1:30" ht="15" thickBot="1">
      <c r="A16" s="961"/>
      <c r="B16" s="962"/>
      <c r="C16" s="962"/>
      <c r="D16" s="962"/>
      <c r="E16" s="962"/>
      <c r="F16" s="963"/>
      <c r="H16" s="462" t="s">
        <v>308</v>
      </c>
      <c r="I16" s="463" t="s">
        <v>309</v>
      </c>
      <c r="J16" s="463" t="s">
        <v>310</v>
      </c>
      <c r="K16" s="463" t="s">
        <v>304</v>
      </c>
      <c r="L16" s="463" t="s">
        <v>305</v>
      </c>
      <c r="M16" s="463" t="s">
        <v>205</v>
      </c>
      <c r="N16" s="306" t="s">
        <v>558</v>
      </c>
      <c r="P16" s="969"/>
      <c r="Q16" s="985" t="s">
        <v>305</v>
      </c>
      <c r="R16" s="986"/>
      <c r="S16" s="467">
        <f>IF((VLOOKUP($P10,$H$9:$K$13,(MATCH(Q$1,$I$8:$K$8,0))+1))=0,,VLOOKUP((VLOOKUP($P10,$H$9:$K$13,(MATCH(Q$1,$I$8:$K$8,0))+1)),$H$16:$N$35,5,FALSE))</f>
        <v>0</v>
      </c>
      <c r="T16" s="290">
        <f>S16*(R11-(2*0.25))*T11</f>
        <v>0</v>
      </c>
      <c r="U16" s="281"/>
      <c r="V16" s="993" t="s">
        <v>305</v>
      </c>
      <c r="W16" s="994"/>
      <c r="X16" s="469">
        <f>IF((VLOOKUP($P10,$H$9:$K$13,(MATCH(V$1,$I$8:$K$8,0))+1))=0,,VLOOKUP((VLOOKUP($P10,$H$9:$K$13,(MATCH(V$1,$I$8:$K$8,0))+1)),$H$16:$N$35,5,FALSE))</f>
        <v>0</v>
      </c>
      <c r="Y16" s="291">
        <f>X16*(W11-(2*0.25))*Y11</f>
        <v>0</v>
      </c>
      <c r="Z16" s="281"/>
      <c r="AA16" s="985" t="s">
        <v>305</v>
      </c>
      <c r="AB16" s="986"/>
      <c r="AC16" s="467">
        <f>IF((VLOOKUP($P10,$H$9:$K$13,(MATCH(AA$1,$I$8:$K$8,0))+1))=0,,VLOOKUP((VLOOKUP($P10,$H$9:$K$13,(MATCH(AA$1,$I$8:$K$8,0))+1)),$H$16:$N$35,5,FALSE))</f>
        <v>0</v>
      </c>
      <c r="AD16" s="290">
        <f>AC16*(AB11-(2*0.25))*AD11</f>
        <v>0</v>
      </c>
    </row>
    <row r="17" spans="1:30" ht="15.6" thickTop="1" thickBot="1">
      <c r="A17" s="961"/>
      <c r="B17" s="962"/>
      <c r="C17" s="962"/>
      <c r="D17" s="962"/>
      <c r="E17" s="962"/>
      <c r="F17" s="963"/>
      <c r="G17" s="270"/>
      <c r="H17" s="434" t="s">
        <v>491</v>
      </c>
      <c r="I17" s="435" t="s">
        <v>492</v>
      </c>
      <c r="J17" s="435" t="s">
        <v>302</v>
      </c>
      <c r="K17" s="436">
        <v>110</v>
      </c>
      <c r="L17" s="436">
        <v>68</v>
      </c>
      <c r="M17" s="436">
        <v>500</v>
      </c>
      <c r="N17" s="437">
        <v>250</v>
      </c>
      <c r="P17" s="970"/>
      <c r="Q17" s="987" t="str">
        <f>IF((VLOOKUP($P10,$H$9:$K$13,(MATCH(Q$1,$I$8:$K$8,0))+1))=0,"",VLOOKUP((VLOOKUP($P10,$H$9:$K$13,(MATCH(Q$1,$I$8:$K$8,0))+1)),$H$17:$M$35,3,FALSE))</f>
        <v/>
      </c>
      <c r="R17" s="988"/>
      <c r="S17" s="473" t="s">
        <v>560</v>
      </c>
      <c r="T17" s="296">
        <f>SUM(T13:T16)</f>
        <v>0</v>
      </c>
      <c r="U17" s="297"/>
      <c r="V17" s="987" t="str">
        <f>IF((VLOOKUP($P10,$H$9:$K$13,(MATCH(V$1,$I$8:$K$8,0))+1))=0,"",VLOOKUP((VLOOKUP($P10,$H$9:$K$13,(MATCH(V$1,$I$8:$K$8,0))+1)),$H$17:$M$35,3,FALSE))</f>
        <v/>
      </c>
      <c r="W17" s="988"/>
      <c r="X17" s="473" t="s">
        <v>560</v>
      </c>
      <c r="Y17" s="296">
        <f>SUM(Y13:Y16)</f>
        <v>0</v>
      </c>
      <c r="Z17" s="297"/>
      <c r="AA17" s="987" t="str">
        <f>IF((VLOOKUP($P10,$H$9:$K$13,(MATCH(AA$1,$I$8:$K$8,0))+1))=0,"",VLOOKUP((VLOOKUP($P10,$H$9:$K$13,(MATCH(AA$1,$I$8:$K$8,0))+1)),$H$17:$M$35,3,FALSE))</f>
        <v/>
      </c>
      <c r="AB17" s="988"/>
      <c r="AC17" s="473" t="s">
        <v>560</v>
      </c>
      <c r="AD17" s="296">
        <f>SUM(AD13:AD16)</f>
        <v>0</v>
      </c>
    </row>
    <row r="18" spans="1:30" ht="15.75" customHeight="1" thickBot="1">
      <c r="A18" s="961"/>
      <c r="B18" s="962"/>
      <c r="C18" s="962"/>
      <c r="D18" s="962"/>
      <c r="E18" s="962"/>
      <c r="F18" s="963"/>
      <c r="G18" s="272"/>
      <c r="H18" s="307"/>
      <c r="I18" s="310"/>
      <c r="J18" s="310"/>
      <c r="K18" s="308"/>
      <c r="L18" s="308"/>
      <c r="M18" s="308"/>
      <c r="N18" s="309"/>
      <c r="P18" s="968" t="s">
        <v>444</v>
      </c>
      <c r="Q18" s="971" t="str">
        <f>IF((VLOOKUP($P18,$H$9:$K$13,(MATCH(Q$1,$I$8:$K$8,0))+1))&gt;0,(CONCATENATE((VLOOKUP($P18,$H$9:$K$13,(MATCH(Q$1,$I$8:$K$8,0))+1)),", ",VLOOKUP((VLOOKUP($P18,$H$9:$K$13,(MATCH(Q$1,$I$8:$K$8,0))+1)),$H$17:$M$35,2,FALSE))),"No Trip")</f>
        <v>No Trip</v>
      </c>
      <c r="R18" s="972"/>
      <c r="S18" s="972"/>
      <c r="T18" s="973"/>
      <c r="U18" s="276"/>
      <c r="V18" s="971" t="str">
        <f>IF((VLOOKUP($P18,$H$9:$K$13,(MATCH(V$1,$I$8:$K$8,0))+1))&gt;0,(CONCATENATE((VLOOKUP($P18,$H$9:$K$13,(MATCH(V$1,$I$8:$K$8,0))+1)),", ",VLOOKUP((VLOOKUP($P18,$H$9:$K$13,(MATCH(V$1,$I$8:$K$8,0))+1)),$H$17:$M$35,2,FALSE))),"No Trip")</f>
        <v>No Trip</v>
      </c>
      <c r="W18" s="972"/>
      <c r="X18" s="972"/>
      <c r="Y18" s="973"/>
      <c r="Z18" s="276"/>
      <c r="AA18" s="971" t="str">
        <f>IF((VLOOKUP($P18,$H$9:$K$13,(MATCH(AA$1,$I$8:$K$8,0))+1))&gt;0,(CONCATENATE((VLOOKUP($P18,$H$9:$K$13,(MATCH(AA$1,$I$8:$K$8,0))+1)),", ",VLOOKUP((VLOOKUP($P18,$H$9:$K$13,(MATCH(AA$1,$I$8:$K$8,0))+1)),$H$17:$M$35,2,FALSE))),"No Trip")</f>
        <v>No Trip</v>
      </c>
      <c r="AB18" s="972"/>
      <c r="AC18" s="972"/>
      <c r="AD18" s="973"/>
    </row>
    <row r="19" spans="1:30" ht="15" thickTop="1">
      <c r="A19" s="961"/>
      <c r="B19" s="962"/>
      <c r="C19" s="962"/>
      <c r="D19" s="962"/>
      <c r="E19" s="962"/>
      <c r="F19" s="963"/>
      <c r="G19" s="277"/>
      <c r="H19" s="307"/>
      <c r="I19" s="310"/>
      <c r="J19" s="310"/>
      <c r="K19" s="308"/>
      <c r="L19" s="308"/>
      <c r="M19" s="308"/>
      <c r="N19" s="309"/>
      <c r="P19" s="969"/>
      <c r="Q19" s="464" t="s">
        <v>298</v>
      </c>
      <c r="R19" s="476">
        <f>IF((VLOOKUP($P18,$H$9:$K$13,(MATCH(Q$1,$I$8:$K$8,0))+1))=0,,VLOOKUP(Q19,$M$2:$N$3,2,0))</f>
        <v>0</v>
      </c>
      <c r="S19" s="474" t="s">
        <v>299</v>
      </c>
      <c r="T19" s="475">
        <f>IF((VLOOKUP($P18,$H$9:$K$13,(MATCH(Q$1,$I$8:$K$8,0))+1))=0,,VLOOKUP(S19,$M$2:$N$3,2,0))</f>
        <v>0</v>
      </c>
      <c r="U19" s="278"/>
      <c r="V19" s="464" t="s">
        <v>298</v>
      </c>
      <c r="W19" s="476">
        <f>IF((VLOOKUP($P18,$H$9:$K$13,(MATCH(V$1,$I$8:$K$8,0))+1))=0,,VLOOKUP(V19,$M$2:$N$3,2,0))</f>
        <v>0</v>
      </c>
      <c r="X19" s="474" t="s">
        <v>299</v>
      </c>
      <c r="Y19" s="475">
        <f>IF((VLOOKUP($P18,$H$9:$K$13,(MATCH(V$1,$I$8:$K$8,0))+1))=0,,VLOOKUP(X19,$M$2:$N$3,2,0))</f>
        <v>0</v>
      </c>
      <c r="Z19" s="278"/>
      <c r="AA19" s="464" t="s">
        <v>298</v>
      </c>
      <c r="AB19" s="476">
        <f>IF((VLOOKUP($P18,$H$9:$K$13,(MATCH(AA$1,$I$8:$K$8,0))+1))=0,,VLOOKUP(AA19,$M$2:$N$3,2,0))</f>
        <v>0</v>
      </c>
      <c r="AC19" s="474" t="s">
        <v>299</v>
      </c>
      <c r="AD19" s="475">
        <f>IF((VLOOKUP($P18,$H$9:$K$13,(MATCH(AA$1,$I$8:$K$8,0))+1))=0,,VLOOKUP(AC19,$M$2:$N$3,2,0))</f>
        <v>0</v>
      </c>
    </row>
    <row r="20" spans="1:30" ht="15" thickBot="1">
      <c r="A20" s="961"/>
      <c r="B20" s="962"/>
      <c r="C20" s="962"/>
      <c r="D20" s="962"/>
      <c r="E20" s="962"/>
      <c r="F20" s="963"/>
      <c r="G20" s="277"/>
      <c r="H20" s="307"/>
      <c r="I20" s="310"/>
      <c r="J20" s="310"/>
      <c r="K20" s="308"/>
      <c r="L20" s="308"/>
      <c r="M20" s="308"/>
      <c r="N20" s="309"/>
      <c r="O20" s="281"/>
      <c r="P20" s="969"/>
      <c r="Q20" s="989" t="s">
        <v>300</v>
      </c>
      <c r="R20" s="990"/>
      <c r="S20" s="990"/>
      <c r="T20" s="470" t="s">
        <v>93</v>
      </c>
      <c r="U20" s="278"/>
      <c r="V20" s="989" t="s">
        <v>300</v>
      </c>
      <c r="W20" s="990"/>
      <c r="X20" s="990"/>
      <c r="Y20" s="470" t="s">
        <v>93</v>
      </c>
      <c r="Z20" s="278"/>
      <c r="AA20" s="989" t="s">
        <v>300</v>
      </c>
      <c r="AB20" s="990"/>
      <c r="AC20" s="990"/>
      <c r="AD20" s="470" t="s">
        <v>93</v>
      </c>
    </row>
    <row r="21" spans="1:30" ht="15" thickTop="1">
      <c r="A21" s="961"/>
      <c r="B21" s="962"/>
      <c r="C21" s="962"/>
      <c r="D21" s="962"/>
      <c r="E21" s="962"/>
      <c r="F21" s="963"/>
      <c r="G21" s="277"/>
      <c r="H21" s="307"/>
      <c r="I21" s="310"/>
      <c r="J21" s="310"/>
      <c r="K21" s="308"/>
      <c r="L21" s="308"/>
      <c r="M21" s="308"/>
      <c r="N21" s="309"/>
      <c r="O21" s="281"/>
      <c r="P21" s="969"/>
      <c r="Q21" s="977" t="s">
        <v>205</v>
      </c>
      <c r="R21" s="978"/>
      <c r="S21" s="466">
        <f>IF((VLOOKUP($P18,$H$9:$K$13,(MATCH(Q$1,$I$8:$K$8,0))+1))=0,,VLOOKUP((VLOOKUP($P18,$H$9:$K$13,(MATCH(Q$1,$I$8:$K$8,0))+1)),$H$17:$N$35,6,FALSE))</f>
        <v>0</v>
      </c>
      <c r="T21" s="284">
        <f>S21*T19</f>
        <v>0</v>
      </c>
      <c r="U21" s="270"/>
      <c r="V21" s="979" t="s">
        <v>205</v>
      </c>
      <c r="W21" s="980"/>
      <c r="X21" s="468">
        <f>IF((VLOOKUP($P18,$H$9:$K$13,(MATCH(V$1,$I$8:$K$8,0))+1))=0,,VLOOKUP((VLOOKUP($P18,$H$9:$K$13,(MATCH(V$1,$I$8:$K$8,0))+1)),$H$17:$N$35,6,FALSE))</f>
        <v>0</v>
      </c>
      <c r="Y21" s="285">
        <f>X21*Y19</f>
        <v>0</v>
      </c>
      <c r="Z21" s="270"/>
      <c r="AA21" s="977" t="s">
        <v>205</v>
      </c>
      <c r="AB21" s="978"/>
      <c r="AC21" s="466">
        <f>IF((VLOOKUP($P18,$H$9:$K$13,(MATCH(AA$1,$I$8:$K$8,0))+1))=0,,VLOOKUP((VLOOKUP($P18,$H$9:$K$13,(MATCH(AA$1,$I$8:$K$8,0))+1)),$H$17:$N$35,6,FALSE))</f>
        <v>0</v>
      </c>
      <c r="AD21" s="284">
        <f>AC21*AD19</f>
        <v>0</v>
      </c>
    </row>
    <row r="22" spans="1:30" ht="15.75" customHeight="1">
      <c r="A22" s="961"/>
      <c r="B22" s="962"/>
      <c r="C22" s="962"/>
      <c r="D22" s="962"/>
      <c r="E22" s="962"/>
      <c r="F22" s="963"/>
      <c r="G22" s="270"/>
      <c r="H22" s="307"/>
      <c r="I22" s="310"/>
      <c r="J22" s="310"/>
      <c r="K22" s="308"/>
      <c r="L22" s="308"/>
      <c r="M22" s="308"/>
      <c r="N22" s="309"/>
      <c r="P22" s="969"/>
      <c r="Q22" s="981" t="s">
        <v>559</v>
      </c>
      <c r="R22" s="982"/>
      <c r="S22" s="471">
        <f>IF((VLOOKUP($P18,$H$9:$K$13,(MATCH(Q$1,$I$8:$K$8,0))+1))=0,,VLOOKUP((VLOOKUP($P18,$H$9:$K$13,(MATCH(Q$1,$I$8:$K$8,0))+1)),$H$17:$N$35,7,FALSE))</f>
        <v>0</v>
      </c>
      <c r="T22" s="472">
        <f>S22*T19</f>
        <v>0</v>
      </c>
      <c r="U22" s="281"/>
      <c r="V22" s="991" t="s">
        <v>559</v>
      </c>
      <c r="W22" s="992"/>
      <c r="X22" s="477">
        <f>IF((VLOOKUP($P18,$H$9:$K$13,(MATCH(V$1,$I$8:$K$8,0))+1))=0,,VLOOKUP((VLOOKUP($P18,$H$9:$K$13,(MATCH(V$1,$I$8:$K$8,0))+1)),$H$17:$N$35,7,FALSE))</f>
        <v>0</v>
      </c>
      <c r="Y22" s="478">
        <f>X22*Y19</f>
        <v>0</v>
      </c>
      <c r="Z22" s="281"/>
      <c r="AA22" s="981" t="s">
        <v>559</v>
      </c>
      <c r="AB22" s="982"/>
      <c r="AC22" s="471">
        <f>IF((VLOOKUP($P18,$H$9:$K$13,(MATCH(AA$1,$I$8:$K$8,0))+1))=0,,VLOOKUP((VLOOKUP($P18,$H$9:$K$13,(MATCH(AA$1,$I$8:$K$8,0))+1)),$H$17:$N$35,7,FALSE))</f>
        <v>0</v>
      </c>
      <c r="AD22" s="472">
        <f>AC22*AD19</f>
        <v>0</v>
      </c>
    </row>
    <row r="23" spans="1:30">
      <c r="A23" s="961"/>
      <c r="B23" s="962"/>
      <c r="C23" s="962"/>
      <c r="D23" s="962"/>
      <c r="E23" s="962"/>
      <c r="F23" s="963"/>
      <c r="G23" s="281"/>
      <c r="H23" s="307"/>
      <c r="I23" s="310"/>
      <c r="J23" s="310"/>
      <c r="K23" s="308"/>
      <c r="L23" s="308"/>
      <c r="M23" s="308"/>
      <c r="N23" s="309"/>
      <c r="O23" s="270"/>
      <c r="P23" s="969"/>
      <c r="Q23" s="983" t="s">
        <v>304</v>
      </c>
      <c r="R23" s="984"/>
      <c r="S23" s="466">
        <f>IF((VLOOKUP($P18,$H$9:$K$13,(MATCH(Q$1,$I$8:$K$8,0))+1))=0,,VLOOKUP((VLOOKUP($P18,$H$9:$K$13,(MATCH(Q$1,$I$8:$K$8,0))+1)),$H$16:$N$35,4,FALSE))</f>
        <v>0</v>
      </c>
      <c r="T23" s="284">
        <f>S23*T19*(R19-1)</f>
        <v>0</v>
      </c>
      <c r="U23" s="281"/>
      <c r="V23" s="995" t="s">
        <v>304</v>
      </c>
      <c r="W23" s="996"/>
      <c r="X23" s="468">
        <f>IF((VLOOKUP($P18,$H$9:$K$13,(MATCH(V$1,$I$8:$K$8,0))+1))=0,,VLOOKUP((VLOOKUP($P18,$H$9:$K$13,(MATCH(V$1,$I$8:$K$8,0))+1)),$H$16:$N$35,4,FALSE))</f>
        <v>0</v>
      </c>
      <c r="Y23" s="285">
        <f>X23*Y19*(W19-1)</f>
        <v>0</v>
      </c>
      <c r="Z23" s="281"/>
      <c r="AA23" s="983" t="s">
        <v>304</v>
      </c>
      <c r="AB23" s="984"/>
      <c r="AC23" s="466">
        <f>IF((VLOOKUP($P18,$H$9:$K$13,(MATCH(AA$1,$I$8:$K$8,0))+1))=0,,VLOOKUP((VLOOKUP($P18,$H$9:$K$13,(MATCH(AA$1,$I$8:$K$8,0))+1)),$H$16:$N$35,4,FALSE))</f>
        <v>0</v>
      </c>
      <c r="AD23" s="284">
        <f>AC23*AD19*(AB19-1)</f>
        <v>0</v>
      </c>
    </row>
    <row r="24" spans="1:30" ht="15.75" customHeight="1" thickBot="1">
      <c r="A24" s="961"/>
      <c r="B24" s="962"/>
      <c r="C24" s="962"/>
      <c r="D24" s="962"/>
      <c r="E24" s="962"/>
      <c r="F24" s="963"/>
      <c r="G24" s="281"/>
      <c r="H24" s="307"/>
      <c r="I24" s="310"/>
      <c r="J24" s="310"/>
      <c r="K24" s="308"/>
      <c r="L24" s="308"/>
      <c r="M24" s="308"/>
      <c r="N24" s="309"/>
      <c r="O24" s="272"/>
      <c r="P24" s="969"/>
      <c r="Q24" s="985" t="s">
        <v>305</v>
      </c>
      <c r="R24" s="986"/>
      <c r="S24" s="467">
        <f>IF((VLOOKUP($P18,$H$9:$K$13,(MATCH(Q$1,$I$8:$K$8,0))+1))=0,,VLOOKUP((VLOOKUP($P18,$H$9:$K$13,(MATCH(Q$1,$I$8:$K$8,0))+1)),$H$16:$N$35,5,FALSE))</f>
        <v>0</v>
      </c>
      <c r="T24" s="290">
        <f>S24*(R19-(2*0.25))*T19</f>
        <v>0</v>
      </c>
      <c r="U24" s="281"/>
      <c r="V24" s="993" t="s">
        <v>305</v>
      </c>
      <c r="W24" s="994"/>
      <c r="X24" s="469">
        <f>IF((VLOOKUP($P18,$H$9:$K$13,(MATCH(V$1,$I$8:$K$8,0))+1))=0,,VLOOKUP((VLOOKUP($P18,$H$9:$K$13,(MATCH(V$1,$I$8:$K$8,0))+1)),$H$16:$N$35,5,FALSE))</f>
        <v>0</v>
      </c>
      <c r="Y24" s="291">
        <f>X24*(W19-(2*0.25))*Y19</f>
        <v>0</v>
      </c>
      <c r="Z24" s="281"/>
      <c r="AA24" s="985" t="s">
        <v>305</v>
      </c>
      <c r="AB24" s="986"/>
      <c r="AC24" s="467">
        <f>IF((VLOOKUP($P18,$H$9:$K$13,(MATCH(AA$1,$I$8:$K$8,0))+1))=0,,VLOOKUP((VLOOKUP($P18,$H$9:$K$13,(MATCH(AA$1,$I$8:$K$8,0))+1)),$H$16:$N$35,5,FALSE))</f>
        <v>0</v>
      </c>
      <c r="AD24" s="290">
        <f>AC24*(AB19-(2*0.25))*AD19</f>
        <v>0</v>
      </c>
    </row>
    <row r="25" spans="1:30" ht="15.6" thickTop="1" thickBot="1">
      <c r="A25" s="961"/>
      <c r="B25" s="962"/>
      <c r="C25" s="962"/>
      <c r="D25" s="962"/>
      <c r="E25" s="962"/>
      <c r="F25" s="963"/>
      <c r="G25" s="281"/>
      <c r="H25" s="307"/>
      <c r="I25" s="310"/>
      <c r="J25" s="310"/>
      <c r="K25" s="308"/>
      <c r="L25" s="308"/>
      <c r="M25" s="308"/>
      <c r="N25" s="309"/>
      <c r="O25" s="277"/>
      <c r="P25" s="970"/>
      <c r="Q25" s="987" t="str">
        <f>IF((VLOOKUP($P18,$H$9:$K$13,(MATCH(Q$1,$I$8:$K$8,0))+1))=0,"",VLOOKUP((VLOOKUP($P18,$H$9:$K$13,(MATCH(Q$1,$I$8:$K$8,0))+1)),$H$17:$M$35,3,FALSE))</f>
        <v/>
      </c>
      <c r="R25" s="988"/>
      <c r="S25" s="473" t="s">
        <v>560</v>
      </c>
      <c r="T25" s="296">
        <f>SUM(T21:T24)</f>
        <v>0</v>
      </c>
      <c r="U25" s="297"/>
      <c r="V25" s="987" t="str">
        <f>IF((VLOOKUP($P18,$H$9:$K$13,(MATCH(V$1,$I$8:$K$8,0))+1))=0,"",VLOOKUP((VLOOKUP($P18,$H$9:$K$13,(MATCH(V$1,$I$8:$K$8,0))+1)),$H$17:$M$35,3,FALSE))</f>
        <v/>
      </c>
      <c r="W25" s="988"/>
      <c r="X25" s="473" t="s">
        <v>560</v>
      </c>
      <c r="Y25" s="296">
        <f>SUM(Y21:Y24)</f>
        <v>0</v>
      </c>
      <c r="Z25" s="297"/>
      <c r="AA25" s="987" t="str">
        <f>IF((VLOOKUP($P18,$H$9:$K$13,(MATCH(AA$1,$I$8:$K$8,0))+1))=0,"",VLOOKUP((VLOOKUP($P18,$H$9:$K$13,(MATCH(AA$1,$I$8:$K$8,0))+1)),$H$17:$M$35,3,FALSE))</f>
        <v/>
      </c>
      <c r="AB25" s="988"/>
      <c r="AC25" s="473" t="s">
        <v>560</v>
      </c>
      <c r="AD25" s="296">
        <f>SUM(AD21:AD24)</f>
        <v>0</v>
      </c>
    </row>
    <row r="26" spans="1:30" ht="15.75" customHeight="1" thickBot="1">
      <c r="A26" s="961"/>
      <c r="B26" s="962"/>
      <c r="C26" s="962"/>
      <c r="D26" s="962"/>
      <c r="E26" s="962"/>
      <c r="F26" s="963"/>
      <c r="G26" s="281"/>
      <c r="H26" s="307"/>
      <c r="I26" s="310"/>
      <c r="J26" s="310"/>
      <c r="K26" s="308"/>
      <c r="L26" s="308"/>
      <c r="M26" s="308"/>
      <c r="N26" s="309"/>
      <c r="O26" s="277"/>
      <c r="P26" s="968" t="s">
        <v>445</v>
      </c>
      <c r="Q26" s="971" t="str">
        <f>IF((VLOOKUP($P26,$H$9:$K$13,(MATCH(Q$1,$I$8:$K$8,0))+1))&gt;0,(CONCATENATE((VLOOKUP($P26,$H$9:$K$13,(MATCH(Q$1,$I$8:$K$8,0))+1)),", ",VLOOKUP((VLOOKUP($P26,$H$9:$K$13,(MATCH(Q$1,$I$8:$K$8,0))+1)),$H$17:$M$35,2,FALSE))),"No Trip")</f>
        <v>No Trip</v>
      </c>
      <c r="R26" s="972"/>
      <c r="S26" s="972"/>
      <c r="T26" s="973"/>
      <c r="U26" s="276"/>
      <c r="V26" s="971" t="str">
        <f>IF((VLOOKUP($P26,$H$9:$K$13,(MATCH(V$1,$I$8:$K$8,0))+1))&gt;0,(CONCATENATE((VLOOKUP($P26,$H$9:$K$13,(MATCH(V$1,$I$8:$K$8,0))+1)),", ",VLOOKUP((VLOOKUP($P26,$H$9:$K$13,(MATCH(V$1,$I$8:$K$8,0))+1)),$H$17:$M$35,2,FALSE))),"No Trip")</f>
        <v>No Trip</v>
      </c>
      <c r="W26" s="972"/>
      <c r="X26" s="972"/>
      <c r="Y26" s="973"/>
      <c r="Z26" s="276"/>
      <c r="AA26" s="971" t="str">
        <f>IF((VLOOKUP($P26,$H$9:$K$13,(MATCH(AA$1,$I$8:$K$8,0))+1))&gt;0,(CONCATENATE((VLOOKUP($P26,$H$9:$K$13,(MATCH(AA$1,$I$8:$K$8,0))+1)),", ",VLOOKUP((VLOOKUP($P26,$H$9:$K$13,(MATCH(AA$1,$I$8:$K$8,0))+1)),$H$17:$M$35,2,FALSE))),"No Trip")</f>
        <v>No Trip</v>
      </c>
      <c r="AB26" s="972"/>
      <c r="AC26" s="972"/>
      <c r="AD26" s="973"/>
    </row>
    <row r="27" spans="1:30" ht="15" thickTop="1">
      <c r="A27" s="961"/>
      <c r="B27" s="962"/>
      <c r="C27" s="962"/>
      <c r="D27" s="962"/>
      <c r="E27" s="962"/>
      <c r="F27" s="963"/>
      <c r="H27" s="307"/>
      <c r="I27" s="310"/>
      <c r="J27" s="310"/>
      <c r="K27" s="308"/>
      <c r="L27" s="308"/>
      <c r="M27" s="308"/>
      <c r="N27" s="309"/>
      <c r="O27" s="277"/>
      <c r="P27" s="969"/>
      <c r="Q27" s="464" t="s">
        <v>298</v>
      </c>
      <c r="R27" s="476">
        <f>IF((VLOOKUP($P26,$H$9:$K$13,(MATCH(Q$1,$I$8:$K$8,0))+1))=0,,VLOOKUP(Q27,$M$2:$N$3,2,0))</f>
        <v>0</v>
      </c>
      <c r="S27" s="474" t="s">
        <v>299</v>
      </c>
      <c r="T27" s="475">
        <f>IF((VLOOKUP($P26,$H$9:$K$13,(MATCH(Q$1,$I$8:$K$8,0))+1))=0,,VLOOKUP(S27,$M$2:$N$3,2,0))</f>
        <v>0</v>
      </c>
      <c r="U27" s="278"/>
      <c r="V27" s="464" t="s">
        <v>298</v>
      </c>
      <c r="W27" s="476">
        <f>IF((VLOOKUP($P26,$H$9:$K$13,(MATCH(V$1,$I$8:$K$8,0))+1))=0,,VLOOKUP(V27,$M$2:$N$3,2,0))</f>
        <v>0</v>
      </c>
      <c r="X27" s="474" t="s">
        <v>299</v>
      </c>
      <c r="Y27" s="475">
        <f>IF((VLOOKUP($P26,$H$9:$K$13,(MATCH(V$1,$I$8:$K$8,0))+1))=0,,VLOOKUP(X27,$M$2:$N$3,2,0))</f>
        <v>0</v>
      </c>
      <c r="Z27" s="278"/>
      <c r="AA27" s="464" t="s">
        <v>298</v>
      </c>
      <c r="AB27" s="476">
        <f>IF((VLOOKUP($P26,$H$9:$K$13,(MATCH(AA$1,$I$8:$K$8,0))+1))=0,,VLOOKUP(AA27,$M$2:$N$3,2,0))</f>
        <v>0</v>
      </c>
      <c r="AC27" s="474" t="s">
        <v>299</v>
      </c>
      <c r="AD27" s="475">
        <f>IF((VLOOKUP($P26,$H$9:$K$13,(MATCH(AA$1,$I$8:$K$8,0))+1))=0,,VLOOKUP(AC27,$M$2:$N$3,2,0))</f>
        <v>0</v>
      </c>
    </row>
    <row r="28" spans="1:30" ht="15" thickBot="1">
      <c r="A28" s="961"/>
      <c r="B28" s="962"/>
      <c r="C28" s="962"/>
      <c r="D28" s="962"/>
      <c r="E28" s="962"/>
      <c r="F28" s="963"/>
      <c r="G28" s="270"/>
      <c r="H28" s="307"/>
      <c r="I28" s="310"/>
      <c r="J28" s="310"/>
      <c r="K28" s="308"/>
      <c r="L28" s="308"/>
      <c r="M28" s="308"/>
      <c r="N28" s="309"/>
      <c r="O28" s="270"/>
      <c r="P28" s="969"/>
      <c r="Q28" s="989" t="s">
        <v>300</v>
      </c>
      <c r="R28" s="990"/>
      <c r="S28" s="990"/>
      <c r="T28" s="470" t="s">
        <v>93</v>
      </c>
      <c r="U28" s="278"/>
      <c r="V28" s="989" t="s">
        <v>300</v>
      </c>
      <c r="W28" s="990"/>
      <c r="X28" s="990"/>
      <c r="Y28" s="470" t="s">
        <v>93</v>
      </c>
      <c r="Z28" s="278"/>
      <c r="AA28" s="989" t="s">
        <v>300</v>
      </c>
      <c r="AB28" s="990"/>
      <c r="AC28" s="990"/>
      <c r="AD28" s="470" t="s">
        <v>93</v>
      </c>
    </row>
    <row r="29" spans="1:30" ht="15" thickTop="1">
      <c r="A29" s="961"/>
      <c r="B29" s="962"/>
      <c r="C29" s="962"/>
      <c r="D29" s="962"/>
      <c r="E29" s="962"/>
      <c r="F29" s="963"/>
      <c r="G29" s="272"/>
      <c r="H29" s="307"/>
      <c r="I29" s="310"/>
      <c r="J29" s="310"/>
      <c r="K29" s="308"/>
      <c r="L29" s="308"/>
      <c r="M29" s="308"/>
      <c r="N29" s="309"/>
      <c r="O29" s="281"/>
      <c r="P29" s="969"/>
      <c r="Q29" s="977" t="s">
        <v>205</v>
      </c>
      <c r="R29" s="978"/>
      <c r="S29" s="466">
        <f>IF((VLOOKUP($P26,$H$9:$K$13,(MATCH(Q$1,$I$8:$K$8,0))+1))=0,,VLOOKUP((VLOOKUP($P26,$H$9:$K$13,(MATCH(Q$1,$I$8:$K$8,0))+1)),$H$17:$N$35,6,FALSE))</f>
        <v>0</v>
      </c>
      <c r="T29" s="284">
        <f>S29*T27</f>
        <v>0</v>
      </c>
      <c r="U29" s="270"/>
      <c r="V29" s="979" t="s">
        <v>205</v>
      </c>
      <c r="W29" s="980"/>
      <c r="X29" s="468">
        <f>IF((VLOOKUP($P26,$H$9:$K$13,(MATCH(V$1,$I$8:$K$8,0))+1))=0,,VLOOKUP((VLOOKUP($P26,$H$9:$K$13,(MATCH(V$1,$I$8:$K$8,0))+1)),$H$17:$N$35,6,FALSE))</f>
        <v>0</v>
      </c>
      <c r="Y29" s="285">
        <f>X29*Y27</f>
        <v>0</v>
      </c>
      <c r="Z29" s="270"/>
      <c r="AA29" s="977" t="s">
        <v>205</v>
      </c>
      <c r="AB29" s="978"/>
      <c r="AC29" s="466">
        <f>IF((VLOOKUP($P26,$H$9:$K$13,(MATCH(AA$1,$I$8:$K$8,0))+1))=0,,VLOOKUP((VLOOKUP($P26,$H$9:$K$13,(MATCH(AA$1,$I$8:$K$8,0))+1)),$H$17:$N$35,6,FALSE))</f>
        <v>0</v>
      </c>
      <c r="AD29" s="284">
        <f>AC29*AD27</f>
        <v>0</v>
      </c>
    </row>
    <row r="30" spans="1:30">
      <c r="A30" s="961"/>
      <c r="B30" s="962"/>
      <c r="C30" s="962"/>
      <c r="D30" s="962"/>
      <c r="E30" s="962"/>
      <c r="F30" s="963"/>
      <c r="G30" s="277"/>
      <c r="H30" s="307"/>
      <c r="I30" s="310"/>
      <c r="J30" s="310"/>
      <c r="K30" s="308"/>
      <c r="L30" s="308"/>
      <c r="M30" s="308"/>
      <c r="N30" s="309"/>
      <c r="O30" s="281"/>
      <c r="P30" s="969"/>
      <c r="Q30" s="981" t="s">
        <v>559</v>
      </c>
      <c r="R30" s="982"/>
      <c r="S30" s="471">
        <f>IF((VLOOKUP($P26,$H$9:$K$13,(MATCH(Q$1,$I$8:$K$8,0))+1))=0,,VLOOKUP((VLOOKUP($P26,$H$9:$K$13,(MATCH(Q$1,$I$8:$K$8,0))+1)),$H$17:$N$35,7,FALSE))</f>
        <v>0</v>
      </c>
      <c r="T30" s="472">
        <f>S30*T27</f>
        <v>0</v>
      </c>
      <c r="U30" s="281"/>
      <c r="V30" s="991" t="s">
        <v>559</v>
      </c>
      <c r="W30" s="992"/>
      <c r="X30" s="477">
        <f>IF((VLOOKUP($P26,$H$9:$K$13,(MATCH(V$1,$I$8:$K$8,0))+1))=0,,VLOOKUP((VLOOKUP($P26,$H$9:$K$13,(MATCH(V$1,$I$8:$K$8,0))+1)),$H$17:$N$35,7,FALSE))</f>
        <v>0</v>
      </c>
      <c r="Y30" s="478">
        <f>X30*Y27</f>
        <v>0</v>
      </c>
      <c r="Z30" s="281"/>
      <c r="AA30" s="981" t="s">
        <v>559</v>
      </c>
      <c r="AB30" s="982"/>
      <c r="AC30" s="471">
        <f>IF((VLOOKUP($P26,$H$9:$K$13,(MATCH(AA$1,$I$8:$K$8,0))+1))=0,,VLOOKUP((VLOOKUP($P26,$H$9:$K$13,(MATCH(AA$1,$I$8:$K$8,0))+1)),$H$17:$N$35,7,FALSE))</f>
        <v>0</v>
      </c>
      <c r="AD30" s="472">
        <f>AC30*AD27</f>
        <v>0</v>
      </c>
    </row>
    <row r="31" spans="1:30" ht="15.75" customHeight="1">
      <c r="A31" s="961"/>
      <c r="B31" s="962"/>
      <c r="C31" s="962"/>
      <c r="D31" s="962"/>
      <c r="E31" s="962"/>
      <c r="F31" s="963"/>
      <c r="G31" s="277"/>
      <c r="H31" s="307"/>
      <c r="I31" s="310"/>
      <c r="J31" s="310"/>
      <c r="K31" s="308"/>
      <c r="L31" s="308"/>
      <c r="M31" s="308"/>
      <c r="N31" s="309"/>
      <c r="O31" s="281"/>
      <c r="P31" s="969"/>
      <c r="Q31" s="983" t="s">
        <v>304</v>
      </c>
      <c r="R31" s="984"/>
      <c r="S31" s="466">
        <f>IF((VLOOKUP($P26,$H$9:$K$13,(MATCH(Q$1,$I$8:$K$8,0))+1))=0,,VLOOKUP((VLOOKUP($P26,$H$9:$K$13,(MATCH(Q$1,$I$8:$K$8,0))+1)),$H$16:$N$35,4,FALSE))</f>
        <v>0</v>
      </c>
      <c r="T31" s="284">
        <f>S31*T27*(R27-1)</f>
        <v>0</v>
      </c>
      <c r="U31" s="281"/>
      <c r="V31" s="995" t="s">
        <v>304</v>
      </c>
      <c r="W31" s="996"/>
      <c r="X31" s="468">
        <f>IF((VLOOKUP($P26,$H$9:$K$13,(MATCH(V$1,$I$8:$K$8,0))+1))=0,,VLOOKUP((VLOOKUP($P26,$H$9:$K$13,(MATCH(V$1,$I$8:$K$8,0))+1)),$H$16:$N$35,4,FALSE))</f>
        <v>0</v>
      </c>
      <c r="Y31" s="285">
        <f>X31*Y27*(W27-1)</f>
        <v>0</v>
      </c>
      <c r="Z31" s="281"/>
      <c r="AA31" s="983" t="s">
        <v>304</v>
      </c>
      <c r="AB31" s="984"/>
      <c r="AC31" s="466">
        <f>IF((VLOOKUP($P26,$H$9:$K$13,(MATCH(AA$1,$I$8:$K$8,0))+1))=0,,VLOOKUP((VLOOKUP($P26,$H$9:$K$13,(MATCH(AA$1,$I$8:$K$8,0))+1)),$H$16:$N$35,4,FALSE))</f>
        <v>0</v>
      </c>
      <c r="AD31" s="284">
        <f>AC31*AD27*(AB27-1)</f>
        <v>0</v>
      </c>
    </row>
    <row r="32" spans="1:30" ht="15.75" customHeight="1" thickBot="1">
      <c r="A32" s="961"/>
      <c r="B32" s="962"/>
      <c r="C32" s="962"/>
      <c r="D32" s="962"/>
      <c r="E32" s="962"/>
      <c r="F32" s="963"/>
      <c r="G32" s="277"/>
      <c r="H32" s="307"/>
      <c r="I32" s="310"/>
      <c r="J32" s="310"/>
      <c r="K32" s="308"/>
      <c r="L32" s="308"/>
      <c r="M32" s="308"/>
      <c r="N32" s="309"/>
      <c r="O32" s="281"/>
      <c r="P32" s="969"/>
      <c r="Q32" s="985" t="s">
        <v>305</v>
      </c>
      <c r="R32" s="986"/>
      <c r="S32" s="467">
        <f>IF((VLOOKUP($P26,$H$9:$K$13,(MATCH(Q$1,$I$8:$K$8,0))+1))=0,,VLOOKUP((VLOOKUP($P26,$H$9:$K$13,(MATCH(Q$1,$I$8:$K$8,0))+1)),$H$16:$N$35,5,FALSE))</f>
        <v>0</v>
      </c>
      <c r="T32" s="290">
        <f>S32*(R27-(2*0.25))*T27</f>
        <v>0</v>
      </c>
      <c r="U32" s="281"/>
      <c r="V32" s="993" t="s">
        <v>305</v>
      </c>
      <c r="W32" s="994"/>
      <c r="X32" s="469">
        <f>IF((VLOOKUP($P26,$H$9:$K$13,(MATCH(V$1,$I$8:$K$8,0))+1))=0,,VLOOKUP((VLOOKUP($P26,$H$9:$K$13,(MATCH(V$1,$I$8:$K$8,0))+1)),$H$16:$N$35,5,FALSE))</f>
        <v>0</v>
      </c>
      <c r="Y32" s="291">
        <f>X32*(W27-(2*0.25))*Y27</f>
        <v>0</v>
      </c>
      <c r="Z32" s="281"/>
      <c r="AA32" s="985" t="s">
        <v>305</v>
      </c>
      <c r="AB32" s="986"/>
      <c r="AC32" s="467">
        <f>IF((VLOOKUP($P26,$H$9:$K$13,(MATCH(AA$1,$I$8:$K$8,0))+1))=0,,VLOOKUP((VLOOKUP($P26,$H$9:$K$13,(MATCH(AA$1,$I$8:$K$8,0))+1)),$H$16:$N$35,5,FALSE))</f>
        <v>0</v>
      </c>
      <c r="AD32" s="290">
        <f>AC32*(AB27-(2*0.25))*AD27</f>
        <v>0</v>
      </c>
    </row>
    <row r="33" spans="1:30" ht="15.6" thickTop="1" thickBot="1">
      <c r="A33" s="961"/>
      <c r="B33" s="962"/>
      <c r="C33" s="962"/>
      <c r="D33" s="962"/>
      <c r="E33" s="962"/>
      <c r="F33" s="963"/>
      <c r="G33" s="277"/>
      <c r="H33" s="307"/>
      <c r="I33" s="310"/>
      <c r="J33" s="310"/>
      <c r="K33" s="308"/>
      <c r="L33" s="308"/>
      <c r="M33" s="308"/>
      <c r="N33" s="309"/>
      <c r="P33" s="970"/>
      <c r="Q33" s="987" t="str">
        <f>IF((VLOOKUP($P26,$H$9:$K$13,(MATCH(Q$1,$I$8:$K$8,0))+1))=0,"",VLOOKUP((VLOOKUP($P26,$H$9:$K$13,(MATCH(Q$1,$I$8:$K$8,0))+1)),$H$17:$M$35,3,FALSE))</f>
        <v/>
      </c>
      <c r="R33" s="988"/>
      <c r="S33" s="473" t="s">
        <v>560</v>
      </c>
      <c r="T33" s="296">
        <f>SUM(T29:T32)</f>
        <v>0</v>
      </c>
      <c r="U33" s="297"/>
      <c r="V33" s="987" t="str">
        <f>IF((VLOOKUP($P26,$H$9:$K$13,(MATCH(V$1,$I$8:$K$8,0))+1))=0,"",VLOOKUP((VLOOKUP($P26,$H$9:$K$13,(MATCH(V$1,$I$8:$K$8,0))+1)),$H$17:$M$35,3,FALSE))</f>
        <v/>
      </c>
      <c r="W33" s="988"/>
      <c r="X33" s="473" t="s">
        <v>560</v>
      </c>
      <c r="Y33" s="296">
        <f>SUM(Y29:Y32)</f>
        <v>0</v>
      </c>
      <c r="Z33" s="297"/>
      <c r="AA33" s="987" t="str">
        <f>IF((VLOOKUP($P26,$H$9:$K$13,(MATCH(AA$1,$I$8:$K$8,0))+1))=0,"",VLOOKUP((VLOOKUP($P26,$H$9:$K$13,(MATCH(AA$1,$I$8:$K$8,0))+1)),$H$17:$M$35,3,FALSE))</f>
        <v/>
      </c>
      <c r="AB33" s="988"/>
      <c r="AC33" s="473" t="s">
        <v>560</v>
      </c>
      <c r="AD33" s="296">
        <f>SUM(AD29:AD32)</f>
        <v>0</v>
      </c>
    </row>
    <row r="34" spans="1:30" ht="15.75" customHeight="1" thickBot="1">
      <c r="A34" s="961"/>
      <c r="B34" s="962"/>
      <c r="C34" s="962"/>
      <c r="D34" s="962"/>
      <c r="E34" s="962"/>
      <c r="F34" s="963"/>
      <c r="G34" s="270"/>
      <c r="H34" s="307"/>
      <c r="I34" s="310"/>
      <c r="J34" s="310"/>
      <c r="K34" s="308"/>
      <c r="L34" s="308"/>
      <c r="M34" s="308"/>
      <c r="N34" s="309"/>
      <c r="O34" s="270"/>
      <c r="P34" s="968" t="s">
        <v>446</v>
      </c>
      <c r="Q34" s="971" t="str">
        <f>IF((VLOOKUP($P34,$H$9:$K$13,(MATCH(Q$1,$I$8:$K$8,0))+1))&gt;0,(CONCATENATE((VLOOKUP($P34,$H$9:$K$13,(MATCH(Q$1,$I$8:$K$8,0))+1)),", ",VLOOKUP((VLOOKUP($P34,$H$9:$K$13,(MATCH(Q$1,$I$8:$K$8,0))+1)),$H$17:$M$35,2,FALSE))),"No Trip")</f>
        <v>No Trip</v>
      </c>
      <c r="R34" s="972"/>
      <c r="S34" s="972"/>
      <c r="T34" s="973"/>
      <c r="U34" s="276"/>
      <c r="V34" s="971" t="str">
        <f>IF((VLOOKUP($P34,$H$9:$K$13,(MATCH(V$1,$I$8:$K$8,0))+1))&gt;0,(CONCATENATE((VLOOKUP($P34,$H$9:$K$13,(MATCH(V$1,$I$8:$K$8,0))+1)),", ",VLOOKUP((VLOOKUP($P34,$H$9:$K$13,(MATCH(V$1,$I$8:$K$8,0))+1)),$H$17:$M$35,2,FALSE))),"No Trip")</f>
        <v>No Trip</v>
      </c>
      <c r="W34" s="972"/>
      <c r="X34" s="972"/>
      <c r="Y34" s="973"/>
      <c r="Z34" s="276"/>
      <c r="AA34" s="971" t="str">
        <f>IF((VLOOKUP($P34,$H$9:$K$13,(MATCH(AA$1,$I$8:$K$8,0))+1))&gt;0,(CONCATENATE((VLOOKUP($P34,$H$9:$K$13,(MATCH(AA$1,$I$8:$K$8,0))+1)),", ",VLOOKUP((VLOOKUP($P34,$H$9:$K$13,(MATCH(AA$1,$I$8:$K$8,0))+1)),$H$17:$M$35,2,FALSE))),"No Trip")</f>
        <v>No Trip</v>
      </c>
      <c r="AB34" s="972"/>
      <c r="AC34" s="972"/>
      <c r="AD34" s="973"/>
    </row>
    <row r="35" spans="1:30" ht="15.6" thickTop="1" thickBot="1">
      <c r="A35" s="964"/>
      <c r="B35" s="965"/>
      <c r="C35" s="965"/>
      <c r="D35" s="965"/>
      <c r="E35" s="965"/>
      <c r="F35" s="966"/>
      <c r="G35" s="281"/>
      <c r="H35" s="311"/>
      <c r="I35" s="312"/>
      <c r="J35" s="312"/>
      <c r="K35" s="313"/>
      <c r="L35" s="313"/>
      <c r="M35" s="313"/>
      <c r="N35" s="314"/>
      <c r="O35" s="272"/>
      <c r="P35" s="969"/>
      <c r="Q35" s="464" t="s">
        <v>298</v>
      </c>
      <c r="R35" s="476">
        <f>IF((VLOOKUP($P34,$H$9:$K$13,(MATCH(Q$1,$I$8:$K$8,0))+1))=0,,VLOOKUP(Q35,$M$2:$N$3,2,0))</f>
        <v>0</v>
      </c>
      <c r="S35" s="474" t="s">
        <v>299</v>
      </c>
      <c r="T35" s="475">
        <f>IF((VLOOKUP($P34,$H$9:$K$13,(MATCH(Q$1,$I$8:$K$8,0))+1))=0,,VLOOKUP(S35,$M$2:$N$3,2,0))</f>
        <v>0</v>
      </c>
      <c r="U35" s="278"/>
      <c r="V35" s="464" t="s">
        <v>298</v>
      </c>
      <c r="W35" s="476">
        <f>IF((VLOOKUP($P34,$H$9:$K$13,(MATCH(V$1,$I$8:$K$8,0))+1))=0,,VLOOKUP(V35,$M$2:$N$3,2,0))</f>
        <v>0</v>
      </c>
      <c r="X35" s="474" t="s">
        <v>299</v>
      </c>
      <c r="Y35" s="475">
        <f>IF((VLOOKUP($P34,$H$9:$K$13,(MATCH(V$1,$I$8:$K$8,0))+1))=0,,VLOOKUP(X35,$M$2:$N$3,2,0))</f>
        <v>0</v>
      </c>
      <c r="Z35" s="278"/>
      <c r="AA35" s="464" t="s">
        <v>298</v>
      </c>
      <c r="AB35" s="476">
        <f>IF((VLOOKUP($P34,$H$9:$K$13,(MATCH(AA$1,$I$8:$K$8,0))+1))=0,,VLOOKUP(AA35,$M$2:$N$3,2,0))</f>
        <v>0</v>
      </c>
      <c r="AC35" s="474" t="s">
        <v>299</v>
      </c>
      <c r="AD35" s="475">
        <f>IF((VLOOKUP($P34,$H$9:$K$13,(MATCH(AA$1,$I$8:$K$8,0))+1))=0,,VLOOKUP(AC35,$M$2:$N$3,2,0))</f>
        <v>0</v>
      </c>
    </row>
    <row r="36" spans="1:30" ht="15" thickBot="1">
      <c r="G36" s="281"/>
      <c r="O36" s="277"/>
      <c r="P36" s="969"/>
      <c r="Q36" s="989" t="s">
        <v>300</v>
      </c>
      <c r="R36" s="990"/>
      <c r="S36" s="990"/>
      <c r="T36" s="470" t="s">
        <v>93</v>
      </c>
      <c r="U36" s="278"/>
      <c r="V36" s="989" t="s">
        <v>300</v>
      </c>
      <c r="W36" s="990"/>
      <c r="X36" s="990"/>
      <c r="Y36" s="470" t="s">
        <v>93</v>
      </c>
      <c r="Z36" s="278"/>
      <c r="AA36" s="989" t="s">
        <v>300</v>
      </c>
      <c r="AB36" s="990"/>
      <c r="AC36" s="990"/>
      <c r="AD36" s="470" t="s">
        <v>93</v>
      </c>
    </row>
    <row r="37" spans="1:30" ht="15.6" thickTop="1" thickBot="1">
      <c r="A37" s="1000" t="s">
        <v>311</v>
      </c>
      <c r="B37" s="1001"/>
      <c r="C37" s="1001"/>
      <c r="D37" s="1001"/>
      <c r="E37" s="1001"/>
      <c r="F37" s="1002"/>
      <c r="G37" s="281"/>
      <c r="H37" s="952" t="s">
        <v>312</v>
      </c>
      <c r="I37" s="953"/>
      <c r="J37" s="953"/>
      <c r="K37" s="953"/>
      <c r="L37" s="953"/>
      <c r="M37" s="953"/>
      <c r="N37" s="954"/>
      <c r="O37" s="277"/>
      <c r="P37" s="969"/>
      <c r="Q37" s="977" t="s">
        <v>205</v>
      </c>
      <c r="R37" s="978"/>
      <c r="S37" s="466">
        <f>IF((VLOOKUP($P34,$H$9:$K$13,(MATCH(Q$1,$I$8:$K$8,0))+1))=0,,VLOOKUP((VLOOKUP($P34,$H$9:$K$13,(MATCH(Q$1,$I$8:$K$8,0))+1)),$H$17:$N$35,6,FALSE))</f>
        <v>0</v>
      </c>
      <c r="T37" s="284">
        <f>S37*T35</f>
        <v>0</v>
      </c>
      <c r="U37" s="270"/>
      <c r="V37" s="979" t="s">
        <v>205</v>
      </c>
      <c r="W37" s="980"/>
      <c r="X37" s="468">
        <f>IF((VLOOKUP($P34,$H$9:$K$13,(MATCH(V$1,$I$8:$K$8,0))+1))=0,,VLOOKUP((VLOOKUP($P34,$H$9:$K$13,(MATCH(V$1,$I$8:$K$8,0))+1)),$H$17:$N$35,6,FALSE))</f>
        <v>0</v>
      </c>
      <c r="Y37" s="285">
        <f>X37*Y35</f>
        <v>0</v>
      </c>
      <c r="Z37" s="270"/>
      <c r="AA37" s="977" t="s">
        <v>205</v>
      </c>
      <c r="AB37" s="978"/>
      <c r="AC37" s="466">
        <f>IF((VLOOKUP($P34,$H$9:$K$13,(MATCH(AA$1,$I$8:$K$8,0))+1))=0,,VLOOKUP((VLOOKUP($P34,$H$9:$K$13,(MATCH(AA$1,$I$8:$K$8,0))+1)),$H$17:$N$35,6,FALSE))</f>
        <v>0</v>
      </c>
      <c r="AD37" s="284">
        <f>AC37*AD35</f>
        <v>0</v>
      </c>
    </row>
    <row r="38" spans="1:30" ht="15" thickTop="1">
      <c r="A38" s="1003"/>
      <c r="B38" s="1004"/>
      <c r="C38" s="1004"/>
      <c r="D38" s="1004"/>
      <c r="E38" s="1004"/>
      <c r="F38" s="1005"/>
      <c r="G38" s="281"/>
      <c r="H38" s="315" t="s">
        <v>302</v>
      </c>
      <c r="I38" s="997" t="s">
        <v>313</v>
      </c>
      <c r="J38" s="998"/>
      <c r="K38" s="998"/>
      <c r="L38" s="998"/>
      <c r="M38" s="998"/>
      <c r="N38" s="999"/>
      <c r="O38" s="277"/>
      <c r="P38" s="969"/>
      <c r="Q38" s="981" t="s">
        <v>559</v>
      </c>
      <c r="R38" s="982"/>
      <c r="S38" s="471">
        <f>IF((VLOOKUP($P34,$H$9:$K$13,(MATCH(Q$1,$I$8:$K$8,0))+1))=0,,VLOOKUP((VLOOKUP($P34,$H$9:$K$13,(MATCH(Q$1,$I$8:$K$8,0))+1)),$H$17:$N$35,7,FALSE))</f>
        <v>0</v>
      </c>
      <c r="T38" s="472">
        <f>S38*T35</f>
        <v>0</v>
      </c>
      <c r="U38" s="281"/>
      <c r="V38" s="991" t="s">
        <v>559</v>
      </c>
      <c r="W38" s="992"/>
      <c r="X38" s="477">
        <f>IF((VLOOKUP($P34,$H$9:$K$13,(MATCH(V$1,$I$8:$K$8,0))+1))=0,,VLOOKUP((VLOOKUP($P34,$H$9:$K$13,(MATCH(V$1,$I$8:$K$8,0))+1)),$H$17:$N$35,7,FALSE))</f>
        <v>0</v>
      </c>
      <c r="Y38" s="478">
        <f>X38*Y35</f>
        <v>0</v>
      </c>
      <c r="Z38" s="281"/>
      <c r="AA38" s="981" t="s">
        <v>559</v>
      </c>
      <c r="AB38" s="982"/>
      <c r="AC38" s="471">
        <f>IF((VLOOKUP($P34,$H$9:$K$13,(MATCH(AA$1,$I$8:$K$8,0))+1))=0,,VLOOKUP((VLOOKUP($P34,$H$9:$K$13,(MATCH(AA$1,$I$8:$K$8,0))+1)),$H$17:$N$35,7,FALSE))</f>
        <v>0</v>
      </c>
      <c r="AD38" s="472">
        <f>AC38*AD35</f>
        <v>0</v>
      </c>
    </row>
    <row r="39" spans="1:30">
      <c r="A39" s="1003"/>
      <c r="B39" s="1004"/>
      <c r="C39" s="1004"/>
      <c r="D39" s="1004"/>
      <c r="E39" s="1004"/>
      <c r="F39" s="1005"/>
      <c r="H39" s="315" t="s">
        <v>302</v>
      </c>
      <c r="I39" s="997" t="s">
        <v>314</v>
      </c>
      <c r="J39" s="998"/>
      <c r="K39" s="998"/>
      <c r="L39" s="998"/>
      <c r="M39" s="998"/>
      <c r="N39" s="999"/>
      <c r="O39" s="270"/>
      <c r="P39" s="969"/>
      <c r="Q39" s="983" t="s">
        <v>304</v>
      </c>
      <c r="R39" s="984"/>
      <c r="S39" s="466">
        <f>IF((VLOOKUP($P34,$H$9:$K$13,(MATCH(Q$1,$I$8:$K$8,0))+1))=0,,VLOOKUP((VLOOKUP($P34,$H$9:$K$13,(MATCH(Q$1,$I$8:$K$8,0))+1)),$H$16:$N$35,4,FALSE))</f>
        <v>0</v>
      </c>
      <c r="T39" s="284">
        <f>S39*T35*(R35-1)</f>
        <v>0</v>
      </c>
      <c r="U39" s="281"/>
      <c r="V39" s="995" t="s">
        <v>304</v>
      </c>
      <c r="W39" s="996"/>
      <c r="X39" s="468">
        <f>IF((VLOOKUP($P34,$H$9:$K$13,(MATCH(V$1,$I$8:$K$8,0))+1))=0,,VLOOKUP((VLOOKUP($P34,$H$9:$K$13,(MATCH(V$1,$I$8:$K$8,0))+1)),$H$16:$N$35,4,FALSE))</f>
        <v>0</v>
      </c>
      <c r="Y39" s="285">
        <f>X39*Y35*(W35-1)</f>
        <v>0</v>
      </c>
      <c r="Z39" s="281"/>
      <c r="AA39" s="983" t="s">
        <v>304</v>
      </c>
      <c r="AB39" s="984"/>
      <c r="AC39" s="466">
        <f>IF((VLOOKUP($P34,$H$9:$K$13,(MATCH(AA$1,$I$8:$K$8,0))+1))=0,,VLOOKUP((VLOOKUP($P34,$H$9:$K$13,(MATCH(AA$1,$I$8:$K$8,0))+1)),$H$16:$N$35,4,FALSE))</f>
        <v>0</v>
      </c>
      <c r="AD39" s="284">
        <f>AC39*AD35*(AB35-1)</f>
        <v>0</v>
      </c>
    </row>
    <row r="40" spans="1:30" ht="15" thickBot="1">
      <c r="A40" s="1003"/>
      <c r="B40" s="1004"/>
      <c r="C40" s="1004"/>
      <c r="D40" s="1004"/>
      <c r="E40" s="1004"/>
      <c r="F40" s="1005"/>
      <c r="G40" s="270"/>
      <c r="H40" s="315" t="s">
        <v>303</v>
      </c>
      <c r="I40" s="997" t="s">
        <v>315</v>
      </c>
      <c r="J40" s="998"/>
      <c r="K40" s="998"/>
      <c r="L40" s="998"/>
      <c r="M40" s="998"/>
      <c r="N40" s="999"/>
      <c r="O40" s="281"/>
      <c r="P40" s="969"/>
      <c r="Q40" s="985" t="s">
        <v>305</v>
      </c>
      <c r="R40" s="986"/>
      <c r="S40" s="467">
        <f>IF((VLOOKUP($P34,$H$9:$K$13,(MATCH(Q$1,$I$8:$K$8,0))+1))=0,,VLOOKUP((VLOOKUP($P34,$H$9:$K$13,(MATCH(Q$1,$I$8:$K$8,0))+1)),$H$16:$N$35,5,FALSE))</f>
        <v>0</v>
      </c>
      <c r="T40" s="290">
        <f>S40*(R35-(2*0.25))*T35</f>
        <v>0</v>
      </c>
      <c r="U40" s="281"/>
      <c r="V40" s="993" t="s">
        <v>305</v>
      </c>
      <c r="W40" s="994"/>
      <c r="X40" s="469">
        <f>IF((VLOOKUP($P34,$H$9:$K$13,(MATCH(V$1,$I$8:$K$8,0))+1))=0,,VLOOKUP((VLOOKUP($P34,$H$9:$K$13,(MATCH(V$1,$I$8:$K$8,0))+1)),$H$16:$N$35,5,FALSE))</f>
        <v>0</v>
      </c>
      <c r="Y40" s="291">
        <f>X40*(W35-(2*0.25))*Y35</f>
        <v>0</v>
      </c>
      <c r="Z40" s="281"/>
      <c r="AA40" s="985" t="s">
        <v>305</v>
      </c>
      <c r="AB40" s="986"/>
      <c r="AC40" s="467">
        <f>IF((VLOOKUP($P34,$H$9:$K$13,(MATCH(AA$1,$I$8:$K$8,0))+1))=0,,VLOOKUP((VLOOKUP($P34,$H$9:$K$13,(MATCH(AA$1,$I$8:$K$8,0))+1)),$H$16:$N$35,5,FALSE))</f>
        <v>0</v>
      </c>
      <c r="AD40" s="290">
        <f>AC40*(AB35-(2*0.25))*AD35</f>
        <v>0</v>
      </c>
    </row>
    <row r="41" spans="1:30" ht="15.6" thickTop="1" thickBot="1">
      <c r="A41" s="1006"/>
      <c r="B41" s="1007"/>
      <c r="C41" s="1007"/>
      <c r="D41" s="1007"/>
      <c r="E41" s="1007"/>
      <c r="F41" s="1008"/>
      <c r="G41" s="272"/>
      <c r="H41" s="301"/>
      <c r="I41" s="1010" t="s">
        <v>316</v>
      </c>
      <c r="J41" s="1011"/>
      <c r="K41" s="1011"/>
      <c r="L41" s="1011"/>
      <c r="M41" s="1011"/>
      <c r="N41" s="1012"/>
      <c r="O41" s="281"/>
      <c r="P41" s="970"/>
      <c r="Q41" s="987" t="str">
        <f>IF((VLOOKUP($P34,$H$9:$K$13,(MATCH(Q$1,$I$8:$K$8,0))+1))=0,"",VLOOKUP((VLOOKUP($P34,$H$9:$K$13,(MATCH(Q$1,$I$8:$K$8,0))+1)),$H$17:$M$35,3,FALSE))</f>
        <v/>
      </c>
      <c r="R41" s="988"/>
      <c r="S41" s="473" t="s">
        <v>560</v>
      </c>
      <c r="T41" s="296">
        <f>SUM(T37:T40)</f>
        <v>0</v>
      </c>
      <c r="U41" s="297"/>
      <c r="V41" s="987" t="str">
        <f>IF((VLOOKUP($P34,$H$9:$K$13,(MATCH(V$1,$I$8:$K$8,0))+1))=0,"",VLOOKUP((VLOOKUP($P34,$H$9:$K$13,(MATCH(V$1,$I$8:$K$8,0))+1)),$H$17:$M$35,3,FALSE))</f>
        <v/>
      </c>
      <c r="W41" s="988"/>
      <c r="X41" s="473" t="s">
        <v>560</v>
      </c>
      <c r="Y41" s="296">
        <f>SUM(Y37:Y40)</f>
        <v>0</v>
      </c>
      <c r="Z41" s="297"/>
      <c r="AA41" s="987" t="str">
        <f>IF((VLOOKUP($P34,$H$9:$K$13,(MATCH(AA$1,$I$8:$K$8,0))+1))=0,"",VLOOKUP((VLOOKUP($P34,$H$9:$K$13,(MATCH(AA$1,$I$8:$K$8,0))+1)),$H$17:$M$35,3,FALSE))</f>
        <v/>
      </c>
      <c r="AB41" s="988"/>
      <c r="AC41" s="473" t="s">
        <v>560</v>
      </c>
      <c r="AD41" s="296">
        <f>SUM(AD37:AD40)</f>
        <v>0</v>
      </c>
    </row>
    <row r="42" spans="1:30" ht="15.75" customHeight="1">
      <c r="G42" s="277"/>
      <c r="O42" s="281"/>
    </row>
    <row r="43" spans="1:30">
      <c r="G43" s="277"/>
      <c r="O43" s="281"/>
    </row>
    <row r="44" spans="1:30">
      <c r="G44" s="277"/>
    </row>
    <row r="45" spans="1:30">
      <c r="O45" s="270"/>
    </row>
    <row r="46" spans="1:30">
      <c r="O46" s="272"/>
    </row>
    <row r="47" spans="1:30">
      <c r="O47" s="277"/>
    </row>
    <row r="48" spans="1:30">
      <c r="O48" s="277"/>
    </row>
    <row r="49" spans="7:15">
      <c r="G49" s="281"/>
      <c r="O49" s="277"/>
    </row>
    <row r="50" spans="7:15" ht="15.75" customHeight="1">
      <c r="G50" s="281"/>
      <c r="M50" s="316"/>
      <c r="N50" s="316"/>
    </row>
    <row r="60" spans="7:15">
      <c r="M60" s="316"/>
      <c r="N60" s="316"/>
    </row>
    <row r="70" spans="13:14">
      <c r="M70" s="316"/>
      <c r="N70" s="316"/>
    </row>
  </sheetData>
  <dataConsolidate/>
  <mergeCells count="128">
    <mergeCell ref="AA28:AC28"/>
    <mergeCell ref="Q30:R30"/>
    <mergeCell ref="V30:W30"/>
    <mergeCell ref="AA30:AB30"/>
    <mergeCell ref="Q24:R24"/>
    <mergeCell ref="V24:W24"/>
    <mergeCell ref="AA24:AB24"/>
    <mergeCell ref="Q25:R25"/>
    <mergeCell ref="V25:W25"/>
    <mergeCell ref="AA25:AB25"/>
    <mergeCell ref="AA26:AD26"/>
    <mergeCell ref="AA4:AC4"/>
    <mergeCell ref="AA6:AB6"/>
    <mergeCell ref="AA7:AB7"/>
    <mergeCell ref="AA8:AB8"/>
    <mergeCell ref="AA9:AB9"/>
    <mergeCell ref="AA21:AB21"/>
    <mergeCell ref="AA5:AB5"/>
    <mergeCell ref="AA10:AD10"/>
    <mergeCell ref="AA12:AC12"/>
    <mergeCell ref="V6:W6"/>
    <mergeCell ref="V7:W7"/>
    <mergeCell ref="V8:W8"/>
    <mergeCell ref="H1:N1"/>
    <mergeCell ref="H37:N37"/>
    <mergeCell ref="I38:N38"/>
    <mergeCell ref="I39:N39"/>
    <mergeCell ref="V9:W9"/>
    <mergeCell ref="V12:X12"/>
    <mergeCell ref="Q5:R5"/>
    <mergeCell ref="V5:W5"/>
    <mergeCell ref="I4:L5"/>
    <mergeCell ref="Q4:S4"/>
    <mergeCell ref="Q20:S20"/>
    <mergeCell ref="V20:X20"/>
    <mergeCell ref="Q22:R22"/>
    <mergeCell ref="V22:W22"/>
    <mergeCell ref="Q28:S28"/>
    <mergeCell ref="V28:X28"/>
    <mergeCell ref="Q33:R33"/>
    <mergeCell ref="V33:W33"/>
    <mergeCell ref="Q36:S36"/>
    <mergeCell ref="V36:X36"/>
    <mergeCell ref="Q31:R31"/>
    <mergeCell ref="I40:N40"/>
    <mergeCell ref="A37:F41"/>
    <mergeCell ref="Q37:R37"/>
    <mergeCell ref="V37:W37"/>
    <mergeCell ref="A15:F35"/>
    <mergeCell ref="P26:P33"/>
    <mergeCell ref="P18:P25"/>
    <mergeCell ref="Q18:T18"/>
    <mergeCell ref="V18:Y18"/>
    <mergeCell ref="I41:N41"/>
    <mergeCell ref="Q15:R15"/>
    <mergeCell ref="V15:W15"/>
    <mergeCell ref="Q21:R21"/>
    <mergeCell ref="V21:W21"/>
    <mergeCell ref="Q26:T26"/>
    <mergeCell ref="V26:Y26"/>
    <mergeCell ref="Q23:R23"/>
    <mergeCell ref="V23:W23"/>
    <mergeCell ref="V31:W31"/>
    <mergeCell ref="Q32:R32"/>
    <mergeCell ref="V32:W32"/>
    <mergeCell ref="Q40:R40"/>
    <mergeCell ref="V40:W40"/>
    <mergeCell ref="Q41:R41"/>
    <mergeCell ref="AA37:AB37"/>
    <mergeCell ref="P34:P41"/>
    <mergeCell ref="Q34:T34"/>
    <mergeCell ref="V34:Y34"/>
    <mergeCell ref="AA34:AD34"/>
    <mergeCell ref="Q38:R38"/>
    <mergeCell ref="Q29:R29"/>
    <mergeCell ref="V29:W29"/>
    <mergeCell ref="AA29:AB29"/>
    <mergeCell ref="AA33:AB33"/>
    <mergeCell ref="AA36:AC36"/>
    <mergeCell ref="AA31:AB31"/>
    <mergeCell ref="AA32:AB32"/>
    <mergeCell ref="AA40:AB40"/>
    <mergeCell ref="V41:W41"/>
    <mergeCell ref="AA41:AB41"/>
    <mergeCell ref="V38:W38"/>
    <mergeCell ref="AA38:AB38"/>
    <mergeCell ref="Q39:R39"/>
    <mergeCell ref="V39:W39"/>
    <mergeCell ref="AA39:AB39"/>
    <mergeCell ref="AA23:AB23"/>
    <mergeCell ref="AA13:AB13"/>
    <mergeCell ref="AA18:AD18"/>
    <mergeCell ref="Q14:R14"/>
    <mergeCell ref="V14:W14"/>
    <mergeCell ref="AA14:AB14"/>
    <mergeCell ref="AA15:AB15"/>
    <mergeCell ref="Q16:R16"/>
    <mergeCell ref="V16:W16"/>
    <mergeCell ref="AA16:AB16"/>
    <mergeCell ref="Q17:R17"/>
    <mergeCell ref="V17:W17"/>
    <mergeCell ref="AA17:AB17"/>
    <mergeCell ref="AA20:AC20"/>
    <mergeCell ref="AA22:AB22"/>
    <mergeCell ref="A1:F1"/>
    <mergeCell ref="Q1:T1"/>
    <mergeCell ref="V1:Y1"/>
    <mergeCell ref="AA1:AD1"/>
    <mergeCell ref="A2:F4"/>
    <mergeCell ref="I2:K2"/>
    <mergeCell ref="P2:P9"/>
    <mergeCell ref="Q2:T2"/>
    <mergeCell ref="AA2:AD2"/>
    <mergeCell ref="I3:K3"/>
    <mergeCell ref="A6:F13"/>
    <mergeCell ref="P10:P17"/>
    <mergeCell ref="Q10:T10"/>
    <mergeCell ref="V10:Y10"/>
    <mergeCell ref="Q13:R13"/>
    <mergeCell ref="V13:W13"/>
    <mergeCell ref="H7:N7"/>
    <mergeCell ref="Q6:R6"/>
    <mergeCell ref="Q7:R7"/>
    <mergeCell ref="Q8:R8"/>
    <mergeCell ref="Q9:R9"/>
    <mergeCell ref="Q12:S12"/>
    <mergeCell ref="V2:Y2"/>
    <mergeCell ref="V4:X4"/>
  </mergeCells>
  <dataValidations count="2">
    <dataValidation type="list" allowBlank="1" showInputMessage="1" showErrorMessage="1" sqref="J17:J35" xr:uid="{00000000-0002-0000-0A00-000000000000}">
      <formula1>$L$8:$M$8</formula1>
    </dataValidation>
    <dataValidation type="list" allowBlank="1" showDropDown="1" showInputMessage="1" showErrorMessage="1" sqref="I9:K13" xr:uid="{00000000-0002-0000-0A00-000001000000}">
      <formula1>$H$17:$H$35</formula1>
    </dataValidation>
  </dataValidations>
  <hyperlinks>
    <hyperlink ref="I38:J38" r:id="rId1" display="Continental US (CONUS) (GSA)" xr:uid="{00000000-0004-0000-0A00-000000000000}"/>
    <hyperlink ref="I39:J39" r:id="rId2" display="Alaska, Hawaii (DoD)" xr:uid="{00000000-0004-0000-0A00-000001000000}"/>
    <hyperlink ref="I40:J40" r:id="rId3" display="Foreign (State Dept.)" xr:uid="{00000000-0004-0000-0A00-000002000000}"/>
    <hyperlink ref="I39:K39" r:id="rId4" display="Alaska, Hawaii, Overseas Territories (DoD)" xr:uid="{00000000-0004-0000-0A00-000003000000}"/>
    <hyperlink ref="I41:L41" r:id="rId5" display="Northwestern University Travel Services" xr:uid="{00000000-0004-0000-0A00-000004000000}"/>
    <hyperlink ref="I39:L39" r:id="rId6" display="DoD Alaska, Hawaii, and Overseas Territories Per Diem Rates" xr:uid="{00000000-0004-0000-0A00-000005000000}"/>
    <hyperlink ref="I40:L40" r:id="rId7" display="State Department Foreign Travel Per Diem Rates" xr:uid="{00000000-0004-0000-0A00-000006000000}"/>
  </hyperlinks>
  <pageMargins left="0.7" right="0.7" top="0.75" bottom="0.75" header="0.3" footer="0.3"/>
  <pageSetup scale="67" orientation="landscape" r:id="rId8"/>
  <headerFooter>
    <oddHeader>&amp;LTravel Planner&amp;C=</oddHeader>
  </headerFooter>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1:P43"/>
  <sheetViews>
    <sheetView workbookViewId="0">
      <selection activeCell="P1" sqref="P1"/>
    </sheetView>
  </sheetViews>
  <sheetFormatPr defaultColWidth="9.109375" defaultRowHeight="14.4"/>
  <cols>
    <col min="1" max="1" width="57.109375" style="446" customWidth="1"/>
    <col min="2" max="2" width="5.6640625" style="446" customWidth="1"/>
    <col min="3" max="3" width="2.88671875" style="445" customWidth="1"/>
    <col min="4" max="4" width="5.6640625" style="445" customWidth="1"/>
    <col min="5" max="5" width="2.88671875" style="445" customWidth="1"/>
    <col min="6" max="6" width="5.6640625" style="445" customWidth="1"/>
    <col min="7" max="7" width="2.88671875" style="445" customWidth="1"/>
    <col min="8" max="8" width="5.6640625" style="445" customWidth="1"/>
    <col min="9" max="9" width="2.88671875" style="445" customWidth="1"/>
    <col min="10" max="10" width="5.6640625" style="445" customWidth="1"/>
    <col min="11" max="11" width="2.88671875" style="445" customWidth="1"/>
    <col min="12" max="12" width="5.6640625" style="445" customWidth="1"/>
    <col min="13" max="13" width="2.88671875" style="445" customWidth="1"/>
    <col min="14" max="14" width="5.6640625" style="445" customWidth="1"/>
    <col min="15" max="15" width="2.88671875" style="445" customWidth="1"/>
    <col min="16" max="16384" width="9.109375" style="445"/>
  </cols>
  <sheetData>
    <row r="1" spans="1:16" ht="30" customHeight="1">
      <c r="A1" s="1016" t="s">
        <v>554</v>
      </c>
      <c r="B1" s="1016"/>
      <c r="C1" s="1016"/>
      <c r="D1" s="1016"/>
      <c r="E1" s="1016"/>
      <c r="F1" s="1016"/>
      <c r="G1" s="1016"/>
      <c r="H1" s="1016"/>
      <c r="I1" s="1016"/>
      <c r="J1" s="1016"/>
      <c r="K1" s="1016"/>
      <c r="L1" s="1016"/>
      <c r="M1" s="1016"/>
      <c r="N1" s="1016"/>
      <c r="O1" s="1016"/>
      <c r="P1" s="450" t="s">
        <v>555</v>
      </c>
    </row>
    <row r="2" spans="1:16" ht="30" customHeight="1">
      <c r="A2" s="453" t="s">
        <v>504</v>
      </c>
      <c r="B2" s="1015" t="str">
        <f>'BP1'!A1</f>
        <v>Title</v>
      </c>
      <c r="C2" s="1015"/>
      <c r="D2" s="1015"/>
      <c r="E2" s="1015"/>
      <c r="F2" s="1015"/>
      <c r="G2" s="1015"/>
      <c r="H2" s="1015"/>
      <c r="I2" s="1015"/>
      <c r="J2" s="1015"/>
      <c r="K2" s="1015"/>
      <c r="L2" s="1015"/>
      <c r="M2" s="1015"/>
      <c r="N2" s="1015"/>
      <c r="O2" s="1015"/>
      <c r="P2" s="451" t="s">
        <v>532</v>
      </c>
    </row>
    <row r="3" spans="1:16" ht="15" customHeight="1">
      <c r="A3" s="453" t="s">
        <v>553</v>
      </c>
      <c r="B3" s="1015" t="str">
        <f ca="1">TEXT('BP1'!K8,"m/d/yyyy")&amp;" to "&amp;TEXT(INDIRECT("BP"&amp;'BP1'!K5&amp;"!K10"),"m/d/yyyy")</f>
        <v>9/1/2026 to 8/31/2027</v>
      </c>
      <c r="C3" s="1015"/>
      <c r="D3" s="1015"/>
      <c r="E3" s="1015"/>
      <c r="F3" s="1015"/>
      <c r="G3" s="1015"/>
      <c r="H3" s="1015"/>
      <c r="I3" s="1015"/>
      <c r="J3" s="1015"/>
      <c r="K3" s="1015"/>
      <c r="L3" s="1015"/>
      <c r="M3" s="1015"/>
      <c r="N3" s="1015"/>
      <c r="O3" s="1015"/>
      <c r="P3" s="451" t="s">
        <v>532</v>
      </c>
    </row>
    <row r="4" spans="1:16" ht="30" customHeight="1">
      <c r="A4" s="448" t="s">
        <v>552</v>
      </c>
      <c r="B4" s="1015" t="str">
        <f>IF('BP1'!L2="Off Campus","Off Campus","On Campus")</f>
        <v>On Campus</v>
      </c>
      <c r="C4" s="1015"/>
      <c r="D4" s="1015"/>
      <c r="E4" s="1015"/>
      <c r="F4" s="1015"/>
      <c r="G4" s="1015"/>
      <c r="H4" s="1015"/>
      <c r="I4" s="1015"/>
      <c r="J4" s="1015"/>
      <c r="K4" s="1015"/>
      <c r="L4" s="1015"/>
      <c r="M4" s="1015"/>
      <c r="N4" s="1015"/>
      <c r="O4" s="1015"/>
      <c r="P4" s="451" t="s">
        <v>532</v>
      </c>
    </row>
    <row r="5" spans="1:16" ht="30" customHeight="1">
      <c r="A5" s="448" t="s">
        <v>551</v>
      </c>
      <c r="B5" s="1015"/>
      <c r="C5" s="1015"/>
      <c r="D5" s="1015"/>
      <c r="E5" s="1015"/>
      <c r="F5" s="1015"/>
      <c r="G5" s="1015"/>
      <c r="H5" s="1015"/>
      <c r="I5" s="1015"/>
      <c r="J5" s="1015"/>
      <c r="K5" s="1015"/>
      <c r="L5" s="1015"/>
      <c r="M5" s="1015"/>
      <c r="N5" s="1015"/>
      <c r="O5" s="1015"/>
      <c r="P5" s="451" t="s">
        <v>532</v>
      </c>
    </row>
    <row r="6" spans="1:16" ht="15" customHeight="1">
      <c r="A6" s="448" t="s">
        <v>550</v>
      </c>
      <c r="B6" s="454" t="s">
        <v>549</v>
      </c>
      <c r="C6" s="455"/>
      <c r="D6" s="454" t="s">
        <v>548</v>
      </c>
      <c r="E6" s="455"/>
      <c r="F6" s="454" t="s">
        <v>547</v>
      </c>
      <c r="G6" s="455"/>
      <c r="H6" s="454" t="s">
        <v>546</v>
      </c>
      <c r="I6" s="455"/>
      <c r="J6" s="454" t="s">
        <v>545</v>
      </c>
      <c r="K6" s="455"/>
      <c r="L6" s="454" t="s">
        <v>544</v>
      </c>
      <c r="M6" s="455"/>
      <c r="N6" s="454" t="s">
        <v>543</v>
      </c>
      <c r="O6" s="455"/>
      <c r="P6" s="451" t="s">
        <v>532</v>
      </c>
    </row>
    <row r="7" spans="1:16" ht="15" customHeight="1">
      <c r="A7" s="448" t="s">
        <v>542</v>
      </c>
      <c r="B7" s="1017"/>
      <c r="C7" s="1017"/>
      <c r="D7" s="1017"/>
      <c r="E7" s="1017"/>
      <c r="F7" s="1017"/>
      <c r="G7" s="1017"/>
      <c r="H7" s="1017"/>
      <c r="I7" s="1017"/>
      <c r="J7" s="1017"/>
      <c r="K7" s="1017"/>
      <c r="L7" s="1017"/>
      <c r="M7" s="1017"/>
      <c r="N7" s="1017"/>
      <c r="O7" s="1017"/>
      <c r="P7" s="451" t="s">
        <v>532</v>
      </c>
    </row>
    <row r="8" spans="1:16" ht="15" customHeight="1">
      <c r="A8" s="448" t="s">
        <v>541</v>
      </c>
      <c r="B8" s="1015"/>
      <c r="C8" s="1015"/>
      <c r="D8" s="1015"/>
      <c r="E8" s="1015"/>
      <c r="F8" s="1015"/>
      <c r="G8" s="1015"/>
      <c r="H8" s="1015"/>
      <c r="I8" s="1015"/>
      <c r="J8" s="1015"/>
      <c r="K8" s="1015"/>
      <c r="L8" s="1015"/>
      <c r="M8" s="1015"/>
      <c r="N8" s="1015"/>
      <c r="O8" s="1015"/>
      <c r="P8" s="451" t="s">
        <v>532</v>
      </c>
    </row>
    <row r="9" spans="1:16" ht="15" customHeight="1">
      <c r="A9" s="448" t="s">
        <v>540</v>
      </c>
      <c r="B9" s="1015"/>
      <c r="C9" s="1015"/>
      <c r="D9" s="1015"/>
      <c r="E9" s="1015"/>
      <c r="F9" s="1015"/>
      <c r="G9" s="1015"/>
      <c r="H9" s="1015"/>
      <c r="I9" s="1015"/>
      <c r="J9" s="1015"/>
      <c r="K9" s="1015"/>
      <c r="L9" s="1015"/>
      <c r="M9" s="1015"/>
      <c r="N9" s="1015"/>
      <c r="O9" s="1015"/>
      <c r="P9" s="451" t="s">
        <v>532</v>
      </c>
    </row>
    <row r="10" spans="1:16" ht="15" customHeight="1">
      <c r="A10" s="448" t="s">
        <v>539</v>
      </c>
      <c r="B10" s="1015"/>
      <c r="C10" s="1015"/>
      <c r="D10" s="1015"/>
      <c r="E10" s="1015"/>
      <c r="F10" s="1015"/>
      <c r="G10" s="1015"/>
      <c r="H10" s="1015"/>
      <c r="I10" s="1015"/>
      <c r="J10" s="1015"/>
      <c r="K10" s="1015"/>
      <c r="L10" s="1015"/>
      <c r="M10" s="1015"/>
      <c r="N10" s="1015"/>
      <c r="O10" s="1015"/>
      <c r="P10" s="451" t="s">
        <v>532</v>
      </c>
    </row>
    <row r="11" spans="1:16" ht="15" customHeight="1">
      <c r="A11" s="448" t="str">
        <f>IF(B10="Yes","If a computer cluster is purchased, will computer space be required?","")</f>
        <v/>
      </c>
      <c r="B11" s="1015"/>
      <c r="C11" s="1015"/>
      <c r="D11" s="1015"/>
      <c r="E11" s="1015"/>
      <c r="F11" s="1015"/>
      <c r="G11" s="1015"/>
      <c r="H11" s="1015"/>
      <c r="I11" s="1015"/>
      <c r="J11" s="1015"/>
      <c r="K11" s="1015"/>
      <c r="L11" s="1015"/>
      <c r="M11" s="1015"/>
      <c r="N11" s="1015"/>
      <c r="O11" s="1015"/>
      <c r="P11" s="452" t="str">
        <f>IF(A11="","","Standard")</f>
        <v/>
      </c>
    </row>
    <row r="12" spans="1:16" ht="15" customHeight="1">
      <c r="A12" s="448" t="str">
        <f>IF('Cumulative Budget'!K45+'Cumulative Budget'!N45&gt;0,"If capital equipment is purchased, describe.","")</f>
        <v/>
      </c>
      <c r="B12" s="1015"/>
      <c r="C12" s="1015"/>
      <c r="D12" s="1015"/>
      <c r="E12" s="1015"/>
      <c r="F12" s="1015"/>
      <c r="G12" s="1015"/>
      <c r="H12" s="1015"/>
      <c r="I12" s="1015"/>
      <c r="J12" s="1015"/>
      <c r="K12" s="1015"/>
      <c r="L12" s="1015"/>
      <c r="M12" s="1015"/>
      <c r="N12" s="1015"/>
      <c r="O12" s="1015"/>
      <c r="P12" s="452" t="str">
        <f>IF(A12="","","Standard")</f>
        <v/>
      </c>
    </row>
    <row r="13" spans="1:16" ht="30" customHeight="1">
      <c r="A13" s="448" t="s">
        <v>538</v>
      </c>
      <c r="B13" s="1015"/>
      <c r="C13" s="1015"/>
      <c r="D13" s="1015"/>
      <c r="E13" s="1015"/>
      <c r="F13" s="1015"/>
      <c r="G13" s="1015"/>
      <c r="H13" s="1015"/>
      <c r="I13" s="1015"/>
      <c r="J13" s="1015"/>
      <c r="K13" s="1015"/>
      <c r="L13" s="1015"/>
      <c r="M13" s="1015"/>
      <c r="N13" s="1015"/>
      <c r="O13" s="1015"/>
      <c r="P13" s="451" t="s">
        <v>532</v>
      </c>
    </row>
    <row r="14" spans="1:16" ht="30" customHeight="1">
      <c r="A14" s="448" t="str">
        <f>IF(B13="Yes","Does the proposed research involve the use of human embryonic stem cells?","")</f>
        <v/>
      </c>
      <c r="B14" s="1015"/>
      <c r="C14" s="1015"/>
      <c r="D14" s="1015"/>
      <c r="E14" s="1015"/>
      <c r="F14" s="1015"/>
      <c r="G14" s="1015"/>
      <c r="H14" s="1015"/>
      <c r="I14" s="1015"/>
      <c r="J14" s="1015"/>
      <c r="K14" s="1015"/>
      <c r="L14" s="1015"/>
      <c r="M14" s="1015"/>
      <c r="N14" s="1015"/>
      <c r="O14" s="1015"/>
      <c r="P14" s="452" t="str">
        <f>IF(A14="","","Standard")</f>
        <v/>
      </c>
    </row>
    <row r="15" spans="1:16" ht="45" customHeight="1">
      <c r="A15" s="448" t="s">
        <v>537</v>
      </c>
      <c r="B15" s="1015"/>
      <c r="C15" s="1015"/>
      <c r="D15" s="1015"/>
      <c r="E15" s="1015"/>
      <c r="F15" s="1015"/>
      <c r="G15" s="1015"/>
      <c r="H15" s="1015"/>
      <c r="I15" s="1015"/>
      <c r="J15" s="1015"/>
      <c r="K15" s="1015"/>
      <c r="L15" s="1015"/>
      <c r="M15" s="1015"/>
      <c r="N15" s="1015"/>
      <c r="O15" s="1015"/>
      <c r="P15" s="451" t="s">
        <v>532</v>
      </c>
    </row>
    <row r="16" spans="1:16" ht="15" customHeight="1">
      <c r="A16" s="448" t="str">
        <f>IF(B15="Yes","If so, what are the patent numbers?","")</f>
        <v/>
      </c>
      <c r="B16" s="1015"/>
      <c r="C16" s="1015"/>
      <c r="D16" s="1015"/>
      <c r="E16" s="1015"/>
      <c r="F16" s="1015"/>
      <c r="G16" s="1015"/>
      <c r="H16" s="1015"/>
      <c r="I16" s="1015"/>
      <c r="J16" s="1015"/>
      <c r="K16" s="1015"/>
      <c r="L16" s="1015"/>
      <c r="M16" s="1015"/>
      <c r="N16" s="1015"/>
      <c r="O16" s="1015"/>
      <c r="P16" s="452" t="str">
        <f>IF(A16="","","Standard")</f>
        <v/>
      </c>
    </row>
    <row r="17" spans="1:16" ht="30" customHeight="1">
      <c r="A17" s="448" t="s">
        <v>536</v>
      </c>
      <c r="B17" s="1015"/>
      <c r="C17" s="1015"/>
      <c r="D17" s="1015"/>
      <c r="E17" s="1015"/>
      <c r="F17" s="1015"/>
      <c r="G17" s="1015"/>
      <c r="H17" s="1015"/>
      <c r="I17" s="1015"/>
      <c r="J17" s="1015"/>
      <c r="K17" s="1015"/>
      <c r="L17" s="1015"/>
      <c r="M17" s="1015"/>
      <c r="N17" s="1015"/>
      <c r="O17" s="1015"/>
      <c r="P17" s="451" t="s">
        <v>532</v>
      </c>
    </row>
    <row r="18" spans="1:16" ht="30" customHeight="1">
      <c r="A18" s="448" t="s">
        <v>535</v>
      </c>
      <c r="B18" s="1015"/>
      <c r="C18" s="1015"/>
      <c r="D18" s="1015"/>
      <c r="E18" s="1015"/>
      <c r="F18" s="1015"/>
      <c r="G18" s="1015"/>
      <c r="H18" s="1015"/>
      <c r="I18" s="1015"/>
      <c r="J18" s="1015"/>
      <c r="K18" s="1015"/>
      <c r="L18" s="1015"/>
      <c r="M18" s="1015"/>
      <c r="N18" s="1015"/>
      <c r="O18" s="1015"/>
      <c r="P18" s="451" t="s">
        <v>532</v>
      </c>
    </row>
    <row r="19" spans="1:16" ht="15" customHeight="1">
      <c r="A19" s="448" t="s">
        <v>534</v>
      </c>
      <c r="B19" s="1015"/>
      <c r="C19" s="1015"/>
      <c r="D19" s="1015"/>
      <c r="E19" s="1015"/>
      <c r="F19" s="1015"/>
      <c r="G19" s="1015"/>
      <c r="H19" s="1015"/>
      <c r="I19" s="1015"/>
      <c r="J19" s="1015"/>
      <c r="K19" s="1015"/>
      <c r="L19" s="1015"/>
      <c r="M19" s="1015"/>
      <c r="N19" s="1015"/>
      <c r="O19" s="1015"/>
      <c r="P19" s="451" t="s">
        <v>532</v>
      </c>
    </row>
    <row r="20" spans="1:16" ht="15" customHeight="1">
      <c r="A20" s="448" t="str">
        <f>IF(B19="Yes","If so, is vertebrate animal use indefinite?","")</f>
        <v/>
      </c>
      <c r="B20" s="1015"/>
      <c r="C20" s="1015"/>
      <c r="D20" s="1015"/>
      <c r="E20" s="1015"/>
      <c r="F20" s="1015"/>
      <c r="G20" s="1015"/>
      <c r="H20" s="1015"/>
      <c r="I20" s="1015"/>
      <c r="J20" s="1015"/>
      <c r="K20" s="1015"/>
      <c r="L20" s="1015"/>
      <c r="M20" s="1015"/>
      <c r="N20" s="1015"/>
      <c r="O20" s="1015"/>
      <c r="P20" s="452" t="str">
        <f>IF(A20="","","NRSA")</f>
        <v/>
      </c>
    </row>
    <row r="21" spans="1:16" ht="30" customHeight="1">
      <c r="A21" s="448" t="str">
        <f>IF(SUM('Cumulative Budget'!K62:'Cumulative Budget'!K73)&gt;0,"If there are subcontracts proposed in this project, do any of them involve the use of vertebrate animal subjects?","")</f>
        <v/>
      </c>
      <c r="B21" s="1015"/>
      <c r="C21" s="1015"/>
      <c r="D21" s="1015"/>
      <c r="E21" s="1015"/>
      <c r="F21" s="1015"/>
      <c r="G21" s="1015"/>
      <c r="H21" s="1015"/>
      <c r="I21" s="1015"/>
      <c r="J21" s="1015"/>
      <c r="K21" s="1015"/>
      <c r="L21" s="1015"/>
      <c r="M21" s="1015"/>
      <c r="N21" s="1015"/>
      <c r="O21" s="1015"/>
      <c r="P21" s="452" t="str">
        <f>IF(A21="","","Standard")</f>
        <v/>
      </c>
    </row>
    <row r="22" spans="1:16" ht="30" customHeight="1">
      <c r="A22" s="448" t="s">
        <v>533</v>
      </c>
      <c r="B22" s="1015"/>
      <c r="C22" s="1015"/>
      <c r="D22" s="1015"/>
      <c r="E22" s="1015"/>
      <c r="F22" s="1015"/>
      <c r="G22" s="1015"/>
      <c r="H22" s="1015"/>
      <c r="I22" s="1015"/>
      <c r="J22" s="1015"/>
      <c r="K22" s="1015"/>
      <c r="L22" s="1015"/>
      <c r="M22" s="1015"/>
      <c r="N22" s="1015"/>
      <c r="O22" s="1015"/>
      <c r="P22" s="451" t="s">
        <v>532</v>
      </c>
    </row>
    <row r="23" spans="1:16" ht="15" customHeight="1">
      <c r="A23" s="448" t="str">
        <f>IF(B22="Yes","If so, is human subjects involvement use indefinite?","")</f>
        <v/>
      </c>
      <c r="B23" s="1015"/>
      <c r="C23" s="1015"/>
      <c r="D23" s="1015"/>
      <c r="E23" s="1015"/>
      <c r="F23" s="1015"/>
      <c r="G23" s="1015"/>
      <c r="H23" s="1015"/>
      <c r="I23" s="1015"/>
      <c r="J23" s="1015"/>
      <c r="K23" s="1015"/>
      <c r="L23" s="1015"/>
      <c r="M23" s="1015"/>
      <c r="N23" s="1015"/>
      <c r="O23" s="1015"/>
      <c r="P23" s="452" t="str">
        <f>IF(A23="","","NRSA")</f>
        <v/>
      </c>
    </row>
    <row r="24" spans="1:16" ht="30" customHeight="1">
      <c r="A24" s="448" t="str">
        <f>IF(SUM('Cumulative Budget'!K62:'Cumulative Budget'!K73)&gt;0,"If there are subcontracts proposed in this project, do any of them involve the use of human subjects research?","")</f>
        <v/>
      </c>
      <c r="B24" s="1015"/>
      <c r="C24" s="1015"/>
      <c r="D24" s="1015"/>
      <c r="E24" s="1015"/>
      <c r="F24" s="1015"/>
      <c r="G24" s="1015"/>
      <c r="H24" s="1015"/>
      <c r="I24" s="1015"/>
      <c r="J24" s="1015"/>
      <c r="K24" s="1015"/>
      <c r="L24" s="1015"/>
      <c r="M24" s="1015"/>
      <c r="N24" s="1015"/>
      <c r="O24" s="1015"/>
      <c r="P24" s="452" t="str">
        <f>IF(A24="","","Standard")</f>
        <v/>
      </c>
    </row>
    <row r="25" spans="1:16" ht="30" customHeight="1">
      <c r="A25" s="448" t="s">
        <v>531</v>
      </c>
      <c r="B25" s="1015"/>
      <c r="C25" s="1015"/>
      <c r="D25" s="1015"/>
      <c r="E25" s="1015"/>
      <c r="F25" s="1015"/>
      <c r="G25" s="1015"/>
      <c r="H25" s="1015"/>
      <c r="I25" s="1015"/>
      <c r="J25" s="1015"/>
      <c r="K25" s="1015"/>
      <c r="L25" s="1015"/>
      <c r="M25" s="1015"/>
      <c r="N25" s="1015"/>
      <c r="O25" s="1015"/>
      <c r="P25" s="451" t="s">
        <v>525</v>
      </c>
    </row>
    <row r="26" spans="1:16" ht="15" customHeight="1">
      <c r="A26" s="448" t="s">
        <v>530</v>
      </c>
      <c r="B26" s="1015"/>
      <c r="C26" s="1015"/>
      <c r="D26" s="1015"/>
      <c r="E26" s="1015"/>
      <c r="F26" s="1015"/>
      <c r="G26" s="1015"/>
      <c r="H26" s="1015"/>
      <c r="I26" s="1015"/>
      <c r="J26" s="1015"/>
      <c r="K26" s="1015"/>
      <c r="L26" s="1015"/>
      <c r="M26" s="1015"/>
      <c r="N26" s="1015"/>
      <c r="O26" s="1015"/>
      <c r="P26" s="451" t="s">
        <v>525</v>
      </c>
    </row>
    <row r="27" spans="1:16" ht="30" customHeight="1">
      <c r="A27" s="448" t="s">
        <v>529</v>
      </c>
      <c r="B27" s="1015"/>
      <c r="C27" s="1015"/>
      <c r="D27" s="1015"/>
      <c r="E27" s="1015"/>
      <c r="F27" s="1015"/>
      <c r="G27" s="1015"/>
      <c r="H27" s="1015"/>
      <c r="I27" s="1015"/>
      <c r="J27" s="1015"/>
      <c r="K27" s="1015"/>
      <c r="L27" s="1015"/>
      <c r="M27" s="1015"/>
      <c r="N27" s="1015"/>
      <c r="O27" s="1015"/>
      <c r="P27" s="451" t="s">
        <v>525</v>
      </c>
    </row>
    <row r="28" spans="1:16" ht="30" customHeight="1">
      <c r="A28" s="448" t="s">
        <v>528</v>
      </c>
      <c r="B28" s="1015"/>
      <c r="C28" s="1015"/>
      <c r="D28" s="1015"/>
      <c r="E28" s="1015"/>
      <c r="F28" s="1015"/>
      <c r="G28" s="1015"/>
      <c r="H28" s="1015"/>
      <c r="I28" s="1015"/>
      <c r="J28" s="1015"/>
      <c r="K28" s="1015"/>
      <c r="L28" s="1015"/>
      <c r="M28" s="1015"/>
      <c r="N28" s="1015"/>
      <c r="O28" s="1015"/>
      <c r="P28" s="451" t="s">
        <v>525</v>
      </c>
    </row>
    <row r="29" spans="1:16" ht="30" customHeight="1">
      <c r="A29" s="448" t="s">
        <v>527</v>
      </c>
      <c r="B29" s="1015"/>
      <c r="C29" s="1015"/>
      <c r="D29" s="1015"/>
      <c r="E29" s="1015"/>
      <c r="F29" s="1015"/>
      <c r="G29" s="1015"/>
      <c r="H29" s="1015"/>
      <c r="I29" s="1015"/>
      <c r="J29" s="1015"/>
      <c r="K29" s="1015"/>
      <c r="L29" s="1015"/>
      <c r="M29" s="1015"/>
      <c r="N29" s="1015"/>
      <c r="O29" s="1015"/>
      <c r="P29" s="451" t="s">
        <v>525</v>
      </c>
    </row>
    <row r="30" spans="1:16" ht="30" customHeight="1">
      <c r="A30" s="448" t="s">
        <v>526</v>
      </c>
      <c r="B30" s="1015"/>
      <c r="C30" s="1015"/>
      <c r="D30" s="1015"/>
      <c r="E30" s="1015"/>
      <c r="F30" s="1015"/>
      <c r="G30" s="1015"/>
      <c r="H30" s="1015"/>
      <c r="I30" s="1015"/>
      <c r="J30" s="1015"/>
      <c r="K30" s="1015"/>
      <c r="L30" s="1015"/>
      <c r="M30" s="1015"/>
      <c r="N30" s="1015"/>
      <c r="O30" s="1015"/>
      <c r="P30" s="451" t="s">
        <v>525</v>
      </c>
    </row>
    <row r="31" spans="1:16" ht="30" customHeight="1">
      <c r="A31" s="448" t="s">
        <v>526</v>
      </c>
      <c r="B31" s="1015"/>
      <c r="C31" s="1015"/>
      <c r="D31" s="1015"/>
      <c r="E31" s="1015"/>
      <c r="F31" s="1015"/>
      <c r="G31" s="1015"/>
      <c r="H31" s="1015"/>
      <c r="I31" s="1015"/>
      <c r="J31" s="1015"/>
      <c r="K31" s="1015"/>
      <c r="L31" s="1015"/>
      <c r="M31" s="1015"/>
      <c r="N31" s="1015"/>
      <c r="O31" s="1015"/>
      <c r="P31" s="451" t="s">
        <v>525</v>
      </c>
    </row>
    <row r="32" spans="1:16" ht="15" customHeight="1">
      <c r="A32" s="448" t="s">
        <v>556</v>
      </c>
      <c r="B32" s="1015"/>
      <c r="C32" s="1015"/>
      <c r="D32" s="1015"/>
      <c r="E32" s="1015"/>
      <c r="F32" s="1015"/>
      <c r="G32" s="1015"/>
      <c r="H32" s="1015"/>
      <c r="I32" s="1015"/>
      <c r="J32" s="1015"/>
      <c r="K32" s="1015"/>
      <c r="L32" s="1015"/>
      <c r="M32" s="1015"/>
      <c r="N32" s="1015"/>
      <c r="O32" s="1015"/>
      <c r="P32" s="451" t="s">
        <v>512</v>
      </c>
    </row>
    <row r="33" spans="1:16" ht="15" customHeight="1">
      <c r="A33" s="448" t="s">
        <v>524</v>
      </c>
      <c r="B33" s="1015"/>
      <c r="C33" s="1015"/>
      <c r="D33" s="1015"/>
      <c r="E33" s="1015"/>
      <c r="F33" s="1015"/>
      <c r="G33" s="1015"/>
      <c r="H33" s="1015"/>
      <c r="I33" s="1015"/>
      <c r="J33" s="1015"/>
      <c r="K33" s="1015"/>
      <c r="L33" s="1015"/>
      <c r="M33" s="1015"/>
      <c r="N33" s="1015"/>
      <c r="O33" s="1015"/>
      <c r="P33" s="451" t="s">
        <v>512</v>
      </c>
    </row>
    <row r="34" spans="1:16" ht="15" customHeight="1">
      <c r="A34" s="448" t="s">
        <v>523</v>
      </c>
      <c r="B34" s="1015"/>
      <c r="C34" s="1015"/>
      <c r="D34" s="1015"/>
      <c r="E34" s="1015"/>
      <c r="F34" s="1015"/>
      <c r="G34" s="1015"/>
      <c r="H34" s="1015"/>
      <c r="I34" s="1015"/>
      <c r="J34" s="1015"/>
      <c r="K34" s="1015"/>
      <c r="L34" s="1015"/>
      <c r="M34" s="1015"/>
      <c r="N34" s="1015"/>
      <c r="O34" s="1015"/>
      <c r="P34" s="451" t="s">
        <v>512</v>
      </c>
    </row>
    <row r="35" spans="1:16" ht="15" customHeight="1">
      <c r="A35" s="448" t="s">
        <v>522</v>
      </c>
      <c r="B35" s="1015"/>
      <c r="C35" s="1015"/>
      <c r="D35" s="1015"/>
      <c r="E35" s="1015"/>
      <c r="F35" s="1015"/>
      <c r="G35" s="1015"/>
      <c r="H35" s="1015"/>
      <c r="I35" s="1015"/>
      <c r="J35" s="1015"/>
      <c r="K35" s="1015"/>
      <c r="L35" s="1015"/>
      <c r="M35" s="1015"/>
      <c r="N35" s="1015"/>
      <c r="O35" s="1015"/>
      <c r="P35" s="451" t="s">
        <v>512</v>
      </c>
    </row>
    <row r="36" spans="1:16" ht="15" customHeight="1">
      <c r="A36" s="448" t="s">
        <v>521</v>
      </c>
      <c r="B36" s="1015"/>
      <c r="C36" s="1015"/>
      <c r="D36" s="1015"/>
      <c r="E36" s="1015"/>
      <c r="F36" s="1015"/>
      <c r="G36" s="1015"/>
      <c r="H36" s="1015"/>
      <c r="I36" s="1015"/>
      <c r="J36" s="1015"/>
      <c r="K36" s="1015"/>
      <c r="L36" s="1015"/>
      <c r="M36" s="1015"/>
      <c r="N36" s="1015"/>
      <c r="O36" s="1015"/>
      <c r="P36" s="451" t="s">
        <v>512</v>
      </c>
    </row>
    <row r="37" spans="1:16" ht="15" customHeight="1">
      <c r="A37" s="448" t="s">
        <v>520</v>
      </c>
      <c r="B37" s="1015"/>
      <c r="C37" s="1015"/>
      <c r="D37" s="1015"/>
      <c r="E37" s="1015"/>
      <c r="F37" s="1015"/>
      <c r="G37" s="1015"/>
      <c r="H37" s="1015"/>
      <c r="I37" s="1015"/>
      <c r="J37" s="1015"/>
      <c r="K37" s="1015"/>
      <c r="L37" s="1015"/>
      <c r="M37" s="1015"/>
      <c r="N37" s="1015"/>
      <c r="O37" s="1015"/>
      <c r="P37" s="451" t="s">
        <v>512</v>
      </c>
    </row>
    <row r="38" spans="1:16" ht="15" customHeight="1">
      <c r="A38" s="449" t="s">
        <v>519</v>
      </c>
      <c r="B38" s="1015"/>
      <c r="C38" s="1015"/>
      <c r="D38" s="1015"/>
      <c r="E38" s="1015"/>
      <c r="F38" s="1015"/>
      <c r="G38" s="1015"/>
      <c r="H38" s="1015"/>
      <c r="I38" s="1015"/>
      <c r="J38" s="1015"/>
      <c r="K38" s="1015"/>
      <c r="L38" s="1015"/>
      <c r="M38" s="1015"/>
      <c r="N38" s="1015"/>
      <c r="O38" s="1015"/>
      <c r="P38" s="451" t="s">
        <v>512</v>
      </c>
    </row>
    <row r="39" spans="1:16" ht="15" customHeight="1">
      <c r="A39" s="448" t="s">
        <v>518</v>
      </c>
      <c r="B39" s="1015"/>
      <c r="C39" s="1015"/>
      <c r="D39" s="1015"/>
      <c r="E39" s="1015"/>
      <c r="F39" s="1015"/>
      <c r="G39" s="1015"/>
      <c r="H39" s="1015"/>
      <c r="I39" s="1015"/>
      <c r="J39" s="1015"/>
      <c r="K39" s="1015"/>
      <c r="L39" s="1015"/>
      <c r="M39" s="1015"/>
      <c r="N39" s="1015"/>
      <c r="O39" s="1015"/>
      <c r="P39" s="451" t="s">
        <v>512</v>
      </c>
    </row>
    <row r="40" spans="1:16" ht="15" customHeight="1">
      <c r="A40" s="448" t="s">
        <v>517</v>
      </c>
      <c r="B40" s="1015"/>
      <c r="C40" s="1015"/>
      <c r="D40" s="1015"/>
      <c r="E40" s="1015"/>
      <c r="F40" s="1015"/>
      <c r="G40" s="1015"/>
      <c r="H40" s="1015"/>
      <c r="I40" s="1015"/>
      <c r="J40" s="1015"/>
      <c r="K40" s="1015"/>
      <c r="L40" s="1015"/>
      <c r="M40" s="1015"/>
      <c r="N40" s="1015"/>
      <c r="O40" s="1015"/>
      <c r="P40" s="451" t="s">
        <v>512</v>
      </c>
    </row>
    <row r="41" spans="1:16" ht="45" customHeight="1">
      <c r="A41" s="448" t="s">
        <v>516</v>
      </c>
      <c r="B41" s="1018" t="s">
        <v>515</v>
      </c>
      <c r="C41" s="1018"/>
      <c r="D41" s="1018"/>
      <c r="E41" s="1018"/>
      <c r="F41" s="1018"/>
      <c r="G41" s="455"/>
      <c r="H41" s="1018" t="s">
        <v>514</v>
      </c>
      <c r="I41" s="1018"/>
      <c r="J41" s="1018"/>
      <c r="K41" s="455"/>
      <c r="L41" s="1018" t="s">
        <v>513</v>
      </c>
      <c r="M41" s="1018"/>
      <c r="N41" s="1018"/>
      <c r="O41" s="456"/>
      <c r="P41" s="451" t="s">
        <v>512</v>
      </c>
    </row>
    <row r="43" spans="1:16">
      <c r="M43" s="447"/>
    </row>
  </sheetData>
  <autoFilter ref="A1:P41"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42">
    <mergeCell ref="L41:N41"/>
    <mergeCell ref="H41:J41"/>
    <mergeCell ref="B41:F41"/>
    <mergeCell ref="B33:O33"/>
    <mergeCell ref="B34:O34"/>
    <mergeCell ref="B39:O39"/>
    <mergeCell ref="B40:O40"/>
    <mergeCell ref="B35:O35"/>
    <mergeCell ref="B36:O36"/>
    <mergeCell ref="B38:O38"/>
    <mergeCell ref="B37:O37"/>
    <mergeCell ref="B31:O31"/>
    <mergeCell ref="B23:O23"/>
    <mergeCell ref="B20:O20"/>
    <mergeCell ref="B32:O32"/>
    <mergeCell ref="B25:O25"/>
    <mergeCell ref="B26:O26"/>
    <mergeCell ref="B27:O27"/>
    <mergeCell ref="B28:O28"/>
    <mergeCell ref="B29:O29"/>
    <mergeCell ref="B30:O30"/>
    <mergeCell ref="B24:O24"/>
    <mergeCell ref="B18:O18"/>
    <mergeCell ref="B5:O5"/>
    <mergeCell ref="B19:O19"/>
    <mergeCell ref="B21:O21"/>
    <mergeCell ref="B22:O22"/>
    <mergeCell ref="B12:O12"/>
    <mergeCell ref="B14:O14"/>
    <mergeCell ref="B15:O15"/>
    <mergeCell ref="B17:O17"/>
    <mergeCell ref="B16:O16"/>
    <mergeCell ref="B7:O7"/>
    <mergeCell ref="B8:O8"/>
    <mergeCell ref="B9:O9"/>
    <mergeCell ref="B10:O10"/>
    <mergeCell ref="B11:O11"/>
    <mergeCell ref="B4:O4"/>
    <mergeCell ref="B2:O2"/>
    <mergeCell ref="B3:O3"/>
    <mergeCell ref="A1:O1"/>
    <mergeCell ref="B13:O13"/>
  </mergeCells>
  <dataValidations disablePrompts="1" count="2">
    <dataValidation type="list" allowBlank="1" showInputMessage="1" showErrorMessage="1" sqref="B5 B7:B11 B17:B27 B29:B31 B39:B40 B13:B15" xr:uid="{00000000-0002-0000-0B00-000000000000}">
      <formula1>"Yes, No"</formula1>
    </dataValidation>
    <dataValidation type="list" allowBlank="1" showInputMessage="1" showErrorMessage="1" sqref="G41 K41 O41 C6 E6 G6 I6 K6 M6 O6" xr:uid="{00000000-0002-0000-0B00-000001000000}">
      <formula1>"X"</formula1>
    </dataValidation>
  </dataValidations>
  <hyperlinks>
    <hyperlink ref="A38" r:id="rId1" display="What is the field of training?" xr:uid="{00000000-0004-0000-0B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59999389629810485"/>
    <pageSetUpPr fitToPage="1"/>
  </sheetPr>
  <dimension ref="A1:S817"/>
  <sheetViews>
    <sheetView workbookViewId="0">
      <pane ySplit="1" topLeftCell="A230" activePane="bottomLeft" state="frozen"/>
      <selection activeCell="L122" sqref="L122"/>
      <selection pane="bottomLeft" activeCell="L242" sqref="L242"/>
    </sheetView>
  </sheetViews>
  <sheetFormatPr defaultRowHeight="13.2"/>
  <cols>
    <col min="1" max="1" width="16.88671875" style="19" bestFit="1" customWidth="1"/>
    <col min="2" max="2" width="18" style="19" bestFit="1" customWidth="1"/>
    <col min="3" max="3" width="7.88671875" style="8" bestFit="1" customWidth="1"/>
    <col min="4" max="4" width="12" style="8" bestFit="1" customWidth="1"/>
    <col min="5" max="5" width="9.109375" style="8" customWidth="1"/>
    <col min="6" max="6" width="13.6640625" style="8" bestFit="1" customWidth="1"/>
    <col min="7" max="8" width="7.33203125" style="8" bestFit="1" customWidth="1"/>
    <col min="9" max="9" width="8.33203125" style="8" bestFit="1" customWidth="1"/>
    <col min="10" max="10" width="7.109375" style="8" bestFit="1" customWidth="1"/>
    <col min="11" max="11" width="17.6640625" style="25" bestFit="1" customWidth="1"/>
    <col min="12" max="12" width="8.5546875" bestFit="1" customWidth="1"/>
    <col min="13" max="13" width="17.88671875" bestFit="1" customWidth="1"/>
    <col min="14" max="14" width="17.6640625" bestFit="1" customWidth="1"/>
    <col min="15" max="15" width="19.109375" bestFit="1" customWidth="1"/>
    <col min="16" max="16" width="21.6640625" bestFit="1" customWidth="1"/>
    <col min="17" max="17" width="21.88671875" bestFit="1" customWidth="1"/>
    <col min="18" max="19" width="7.33203125" style="80" bestFit="1" customWidth="1"/>
  </cols>
  <sheetData>
    <row r="1" spans="1:19">
      <c r="A1" s="19" t="s">
        <v>18</v>
      </c>
      <c r="B1" s="19" t="s">
        <v>19</v>
      </c>
      <c r="C1" s="9" t="s">
        <v>7</v>
      </c>
      <c r="D1" s="9" t="s">
        <v>8</v>
      </c>
      <c r="E1" s="9" t="s">
        <v>9</v>
      </c>
      <c r="F1" s="9" t="s">
        <v>10</v>
      </c>
      <c r="G1" s="83" t="s">
        <v>69</v>
      </c>
      <c r="H1" s="83" t="s">
        <v>68</v>
      </c>
      <c r="I1" s="83" t="s">
        <v>70</v>
      </c>
      <c r="J1" s="83" t="s">
        <v>71</v>
      </c>
      <c r="K1" s="25" t="s">
        <v>20</v>
      </c>
      <c r="L1" s="47" t="s">
        <v>36</v>
      </c>
      <c r="M1" s="335" t="s">
        <v>407</v>
      </c>
      <c r="N1" s="335" t="s">
        <v>408</v>
      </c>
      <c r="O1" s="335" t="s">
        <v>409</v>
      </c>
      <c r="P1" s="335" t="s">
        <v>456</v>
      </c>
      <c r="Q1" t="s">
        <v>457</v>
      </c>
    </row>
    <row r="2" spans="1:19">
      <c r="A2" s="19">
        <v>37499</v>
      </c>
      <c r="B2" s="19">
        <f t="shared" ref="B2:B65" si="0">EDATE(A2,12)-1</f>
        <v>37863</v>
      </c>
      <c r="C2" s="84">
        <f>AVERAGE(G2:G13)</f>
        <v>0.24</v>
      </c>
      <c r="D2" s="84">
        <f>AVERAGE(H2:H13)</f>
        <v>0.253</v>
      </c>
      <c r="E2" s="84">
        <f>AVERAGE(I2:I13)</f>
        <v>7.0000000000000007E-2</v>
      </c>
      <c r="F2" s="84">
        <f>AVERAGE(J2:J13)</f>
        <v>1.7999999999999999E-2</v>
      </c>
      <c r="G2" s="85">
        <v>0.24</v>
      </c>
      <c r="H2" s="85">
        <v>0.253</v>
      </c>
      <c r="I2" s="85">
        <v>7.0000000000000007E-2</v>
      </c>
      <c r="J2" s="85">
        <v>1.7999999999999999E-2</v>
      </c>
      <c r="K2" s="25">
        <f>(L2*4)</f>
        <v>12048</v>
      </c>
      <c r="L2" s="93">
        <v>3012</v>
      </c>
      <c r="N2" s="80"/>
    </row>
    <row r="3" spans="1:19">
      <c r="A3" s="19">
        <f t="shared" ref="A3:A66" si="1">EDATE(A2,1)</f>
        <v>37529</v>
      </c>
      <c r="B3" s="19">
        <f t="shared" si="0"/>
        <v>37893</v>
      </c>
      <c r="C3" s="84">
        <f t="shared" ref="C3:C66" si="2">AVERAGE(G3:G14)</f>
        <v>0.2387</v>
      </c>
      <c r="D3" s="84">
        <f t="shared" ref="D3:D66" si="3">AVERAGE(H3:H14)</f>
        <v>0.25190000000000001</v>
      </c>
      <c r="E3" s="84">
        <f t="shared" ref="E3:F18" si="4">AVERAGE(I3:I14)</f>
        <v>6.9800000000000001E-2</v>
      </c>
      <c r="F3" s="84">
        <f t="shared" si="4"/>
        <v>1.7899999999999999E-2</v>
      </c>
      <c r="G3" s="85">
        <v>0.24</v>
      </c>
      <c r="H3" s="85">
        <v>0.253</v>
      </c>
      <c r="I3" s="85">
        <v>7.0000000000000007E-2</v>
      </c>
      <c r="J3" s="85">
        <v>1.7999999999999999E-2</v>
      </c>
      <c r="K3" s="25">
        <f>((11/3)*L2)+((1/3)*L14)</f>
        <v>12096</v>
      </c>
      <c r="L3" s="93"/>
    </row>
    <row r="4" spans="1:19">
      <c r="A4" s="19">
        <f t="shared" si="1"/>
        <v>37560</v>
      </c>
      <c r="B4" s="19">
        <f t="shared" si="0"/>
        <v>37924</v>
      </c>
      <c r="C4" s="84">
        <f t="shared" si="2"/>
        <v>0.23730000000000001</v>
      </c>
      <c r="D4" s="84">
        <f t="shared" si="3"/>
        <v>0.25080000000000002</v>
      </c>
      <c r="E4" s="84">
        <f t="shared" si="4"/>
        <v>6.9500000000000006E-2</v>
      </c>
      <c r="F4" s="84">
        <f t="shared" ref="F4:F67" si="5">AVERAGE(J4:J15)</f>
        <v>1.78E-2</v>
      </c>
      <c r="G4" s="85">
        <v>0.24</v>
      </c>
      <c r="H4" s="85">
        <v>0.253</v>
      </c>
      <c r="I4" s="85">
        <v>7.0000000000000007E-2</v>
      </c>
      <c r="J4" s="85">
        <v>1.7999999999999999E-2</v>
      </c>
      <c r="K4" s="25">
        <f>((10/3)*L2)+((2/3)*L14)</f>
        <v>12144</v>
      </c>
      <c r="L4" s="93"/>
    </row>
    <row r="5" spans="1:19">
      <c r="A5" s="19">
        <f t="shared" si="1"/>
        <v>37590</v>
      </c>
      <c r="B5" s="19">
        <f t="shared" si="0"/>
        <v>37954</v>
      </c>
      <c r="C5" s="84">
        <f t="shared" si="2"/>
        <v>0.23599999999999999</v>
      </c>
      <c r="D5" s="84">
        <f t="shared" si="3"/>
        <v>0.24979999999999999</v>
      </c>
      <c r="E5" s="84">
        <f t="shared" si="4"/>
        <v>6.93E-2</v>
      </c>
      <c r="F5" s="84">
        <f t="shared" si="5"/>
        <v>1.78E-2</v>
      </c>
      <c r="G5" s="85">
        <v>0.24</v>
      </c>
      <c r="H5" s="85">
        <v>0.253</v>
      </c>
      <c r="I5" s="85">
        <v>7.0000000000000007E-2</v>
      </c>
      <c r="J5" s="85">
        <v>1.7999999999999999E-2</v>
      </c>
      <c r="K5" s="25">
        <f>((9/3)*L2)+((3/3)*L14)</f>
        <v>12192</v>
      </c>
      <c r="L5" s="93"/>
    </row>
    <row r="6" spans="1:19">
      <c r="A6" s="19">
        <f t="shared" si="1"/>
        <v>37621</v>
      </c>
      <c r="B6" s="19">
        <f t="shared" si="0"/>
        <v>37985</v>
      </c>
      <c r="C6" s="84">
        <f t="shared" si="2"/>
        <v>0.23469999999999999</v>
      </c>
      <c r="D6" s="84">
        <f t="shared" si="3"/>
        <v>0.2487</v>
      </c>
      <c r="E6" s="84">
        <f t="shared" si="4"/>
        <v>6.9000000000000006E-2</v>
      </c>
      <c r="F6" s="84">
        <f t="shared" si="5"/>
        <v>1.77E-2</v>
      </c>
      <c r="G6" s="85">
        <v>0.24</v>
      </c>
      <c r="H6" s="85">
        <v>0.253</v>
      </c>
      <c r="I6" s="85">
        <v>7.0000000000000007E-2</v>
      </c>
      <c r="J6" s="85">
        <v>1.7999999999999999E-2</v>
      </c>
      <c r="K6" s="25">
        <f>((8/3)*L2)+((4/3)*L14)</f>
        <v>12240</v>
      </c>
      <c r="L6" s="93"/>
    </row>
    <row r="7" spans="1:19">
      <c r="A7" s="19">
        <f t="shared" si="1"/>
        <v>37652</v>
      </c>
      <c r="B7" s="19">
        <f t="shared" si="0"/>
        <v>38016</v>
      </c>
      <c r="C7" s="84">
        <f t="shared" si="2"/>
        <v>0.23330000000000001</v>
      </c>
      <c r="D7" s="84">
        <f t="shared" si="3"/>
        <v>0.24759999999999999</v>
      </c>
      <c r="E7" s="84">
        <f t="shared" si="4"/>
        <v>6.88E-2</v>
      </c>
      <c r="F7" s="84">
        <f t="shared" si="5"/>
        <v>1.7600000000000001E-2</v>
      </c>
      <c r="G7" s="85">
        <v>0.24</v>
      </c>
      <c r="H7" s="85">
        <v>0.253</v>
      </c>
      <c r="I7" s="85">
        <v>7.0000000000000007E-2</v>
      </c>
      <c r="J7" s="85">
        <v>1.7999999999999999E-2</v>
      </c>
      <c r="K7" s="25">
        <f>((7/3)*L2)+((5/3)*L14)</f>
        <v>12288</v>
      </c>
      <c r="L7" s="93"/>
    </row>
    <row r="8" spans="1:19">
      <c r="A8" s="19">
        <f t="shared" si="1"/>
        <v>37680</v>
      </c>
      <c r="B8" s="19">
        <f t="shared" si="0"/>
        <v>38045</v>
      </c>
      <c r="C8" s="84">
        <f t="shared" si="2"/>
        <v>0.23200000000000001</v>
      </c>
      <c r="D8" s="84">
        <f t="shared" si="3"/>
        <v>0.2465</v>
      </c>
      <c r="E8" s="84">
        <f t="shared" si="4"/>
        <v>6.8500000000000005E-2</v>
      </c>
      <c r="F8" s="84">
        <f t="shared" si="5"/>
        <v>1.7500000000000002E-2</v>
      </c>
      <c r="G8" s="85">
        <v>0.24</v>
      </c>
      <c r="H8" s="85">
        <v>0.253</v>
      </c>
      <c r="I8" s="85">
        <v>7.0000000000000007E-2</v>
      </c>
      <c r="J8" s="85">
        <v>1.7999999999999999E-2</v>
      </c>
      <c r="K8" s="25">
        <f>((6/3)*L2)+((6/3)*L14)</f>
        <v>12336</v>
      </c>
      <c r="L8" s="93"/>
    </row>
    <row r="9" spans="1:19">
      <c r="A9" s="19">
        <f t="shared" si="1"/>
        <v>37711</v>
      </c>
      <c r="B9" s="19">
        <f t="shared" si="0"/>
        <v>38076</v>
      </c>
      <c r="C9" s="84">
        <f t="shared" si="2"/>
        <v>0.23069999999999999</v>
      </c>
      <c r="D9" s="84">
        <f t="shared" si="3"/>
        <v>0.24540000000000001</v>
      </c>
      <c r="E9" s="84">
        <f t="shared" si="4"/>
        <v>6.83E-2</v>
      </c>
      <c r="F9" s="84">
        <f t="shared" si="5"/>
        <v>1.7399999999999999E-2</v>
      </c>
      <c r="G9" s="85">
        <v>0.24</v>
      </c>
      <c r="H9" s="85">
        <v>0.253</v>
      </c>
      <c r="I9" s="85">
        <v>7.0000000000000007E-2</v>
      </c>
      <c r="J9" s="85">
        <v>1.7999999999999999E-2</v>
      </c>
      <c r="K9" s="25">
        <f>((5/3)*L2)+((7/3)*L14)</f>
        <v>12384</v>
      </c>
      <c r="L9" s="93"/>
    </row>
    <row r="10" spans="1:19">
      <c r="A10" s="19">
        <f t="shared" si="1"/>
        <v>37741</v>
      </c>
      <c r="B10" s="19">
        <f t="shared" si="0"/>
        <v>38106</v>
      </c>
      <c r="C10" s="84">
        <f t="shared" si="2"/>
        <v>0.2293</v>
      </c>
      <c r="D10" s="84">
        <f t="shared" si="3"/>
        <v>0.24429999999999999</v>
      </c>
      <c r="E10" s="84">
        <f t="shared" si="4"/>
        <v>6.8000000000000005E-2</v>
      </c>
      <c r="F10" s="84">
        <f t="shared" si="5"/>
        <v>1.7299999999999999E-2</v>
      </c>
      <c r="G10" s="85">
        <v>0.24</v>
      </c>
      <c r="H10" s="85">
        <v>0.253</v>
      </c>
      <c r="I10" s="85">
        <v>7.0000000000000007E-2</v>
      </c>
      <c r="J10" s="85">
        <v>1.7999999999999999E-2</v>
      </c>
      <c r="K10" s="25">
        <f>((4/3)*L2)+((8/3)*L14)</f>
        <v>12432</v>
      </c>
      <c r="L10" s="93"/>
    </row>
    <row r="11" spans="1:19">
      <c r="A11" s="19">
        <f t="shared" si="1"/>
        <v>37772</v>
      </c>
      <c r="B11" s="19">
        <f t="shared" si="0"/>
        <v>38137</v>
      </c>
      <c r="C11" s="84">
        <f t="shared" si="2"/>
        <v>0.22800000000000001</v>
      </c>
      <c r="D11" s="84">
        <f t="shared" si="3"/>
        <v>0.24329999999999999</v>
      </c>
      <c r="E11" s="84">
        <f t="shared" si="4"/>
        <v>6.7799999999999999E-2</v>
      </c>
      <c r="F11" s="84">
        <f t="shared" si="5"/>
        <v>1.7299999999999999E-2</v>
      </c>
      <c r="G11" s="85">
        <v>0.24</v>
      </c>
      <c r="H11" s="85">
        <v>0.253</v>
      </c>
      <c r="I11" s="85">
        <v>7.0000000000000007E-2</v>
      </c>
      <c r="J11" s="85">
        <v>1.7999999999999999E-2</v>
      </c>
      <c r="K11" s="25">
        <f>((3/3)*L2)+((9/3)*L14)</f>
        <v>12480</v>
      </c>
      <c r="L11" s="93"/>
    </row>
    <row r="12" spans="1:19">
      <c r="A12" s="19">
        <f t="shared" si="1"/>
        <v>37802</v>
      </c>
      <c r="B12" s="19">
        <f t="shared" si="0"/>
        <v>38167</v>
      </c>
      <c r="C12" s="84">
        <f t="shared" si="2"/>
        <v>0.22670000000000001</v>
      </c>
      <c r="D12" s="84">
        <f t="shared" si="3"/>
        <v>0.2422</v>
      </c>
      <c r="E12" s="84">
        <f t="shared" si="4"/>
        <v>6.7500000000000004E-2</v>
      </c>
      <c r="F12" s="84">
        <f t="shared" si="5"/>
        <v>1.72E-2</v>
      </c>
      <c r="G12" s="85">
        <v>0.24</v>
      </c>
      <c r="H12" s="85">
        <v>0.253</v>
      </c>
      <c r="I12" s="85">
        <v>7.0000000000000007E-2</v>
      </c>
      <c r="J12" s="85">
        <v>1.7999999999999999E-2</v>
      </c>
      <c r="K12" s="25">
        <f>((2/3)*L2)+((10/3)*L14)</f>
        <v>12528</v>
      </c>
      <c r="L12" s="93"/>
    </row>
    <row r="13" spans="1:19">
      <c r="A13" s="19">
        <f t="shared" si="1"/>
        <v>37833</v>
      </c>
      <c r="B13" s="19">
        <f t="shared" si="0"/>
        <v>38198</v>
      </c>
      <c r="C13" s="84">
        <f t="shared" si="2"/>
        <v>0.2253</v>
      </c>
      <c r="D13" s="84">
        <f t="shared" si="3"/>
        <v>0.24110000000000001</v>
      </c>
      <c r="E13" s="84">
        <f t="shared" si="4"/>
        <v>6.7299999999999999E-2</v>
      </c>
      <c r="F13" s="84">
        <f t="shared" si="5"/>
        <v>1.7100000000000001E-2</v>
      </c>
      <c r="G13" s="85">
        <v>0.24</v>
      </c>
      <c r="H13" s="85">
        <v>0.253</v>
      </c>
      <c r="I13" s="85">
        <v>7.0000000000000007E-2</v>
      </c>
      <c r="J13" s="85">
        <v>1.7999999999999999E-2</v>
      </c>
      <c r="K13" s="25">
        <f>((1/3)*L2)+((11/3)*L14)</f>
        <v>12576</v>
      </c>
      <c r="L13" s="93"/>
    </row>
    <row r="14" spans="1:19" s="78" customFormat="1">
      <c r="A14" s="77">
        <f t="shared" si="1"/>
        <v>37864</v>
      </c>
      <c r="B14" s="77">
        <f t="shared" si="0"/>
        <v>38229</v>
      </c>
      <c r="C14" s="86">
        <f t="shared" si="2"/>
        <v>0.224</v>
      </c>
      <c r="D14" s="86">
        <f t="shared" si="3"/>
        <v>0.24</v>
      </c>
      <c r="E14" s="86">
        <f t="shared" si="4"/>
        <v>6.7000000000000004E-2</v>
      </c>
      <c r="F14" s="86">
        <f t="shared" si="5"/>
        <v>1.7000000000000001E-2</v>
      </c>
      <c r="G14" s="87">
        <v>0.224</v>
      </c>
      <c r="H14" s="87">
        <v>0.24</v>
      </c>
      <c r="I14" s="87">
        <v>6.7000000000000004E-2</v>
      </c>
      <c r="J14" s="87">
        <v>1.7000000000000001E-2</v>
      </c>
      <c r="K14" s="76">
        <f>(L14*4)</f>
        <v>12624</v>
      </c>
      <c r="L14" s="94">
        <v>3156</v>
      </c>
      <c r="R14" s="353"/>
      <c r="S14" s="353"/>
    </row>
    <row r="15" spans="1:19" s="78" customFormat="1">
      <c r="A15" s="77">
        <f t="shared" si="1"/>
        <v>37894</v>
      </c>
      <c r="B15" s="77">
        <f t="shared" si="0"/>
        <v>38259</v>
      </c>
      <c r="C15" s="86">
        <f t="shared" si="2"/>
        <v>0.22359999999999999</v>
      </c>
      <c r="D15" s="86">
        <f t="shared" si="3"/>
        <v>0.24010000000000001</v>
      </c>
      <c r="E15" s="86">
        <f t="shared" si="4"/>
        <v>6.6900000000000001E-2</v>
      </c>
      <c r="F15" s="86">
        <f t="shared" si="5"/>
        <v>1.7000000000000001E-2</v>
      </c>
      <c r="G15" s="87">
        <v>0.224</v>
      </c>
      <c r="H15" s="87">
        <v>0.24</v>
      </c>
      <c r="I15" s="87">
        <v>6.7000000000000004E-2</v>
      </c>
      <c r="J15" s="87">
        <v>1.7000000000000001E-2</v>
      </c>
      <c r="K15" s="76">
        <f>((11/3)*L14)+((1/3)*L26)</f>
        <v>12675</v>
      </c>
      <c r="L15" s="94"/>
      <c r="R15" s="353"/>
      <c r="S15" s="353"/>
    </row>
    <row r="16" spans="1:19" s="78" customFormat="1">
      <c r="A16" s="77">
        <f t="shared" si="1"/>
        <v>37925</v>
      </c>
      <c r="B16" s="77">
        <f t="shared" si="0"/>
        <v>38290</v>
      </c>
      <c r="C16" s="86">
        <f t="shared" si="2"/>
        <v>0.22320000000000001</v>
      </c>
      <c r="D16" s="86">
        <f t="shared" si="3"/>
        <v>0.2402</v>
      </c>
      <c r="E16" s="86">
        <f t="shared" si="4"/>
        <v>6.6799999999999998E-2</v>
      </c>
      <c r="F16" s="86">
        <f t="shared" si="5"/>
        <v>1.7000000000000001E-2</v>
      </c>
      <c r="G16" s="87">
        <v>0.224</v>
      </c>
      <c r="H16" s="87">
        <v>0.24</v>
      </c>
      <c r="I16" s="87">
        <v>6.7000000000000004E-2</v>
      </c>
      <c r="J16" s="87">
        <v>1.7000000000000001E-2</v>
      </c>
      <c r="K16" s="76">
        <f>((10/3)*L14)+((2/3)*L26)</f>
        <v>12725</v>
      </c>
      <c r="L16" s="94"/>
      <c r="R16" s="353"/>
      <c r="S16" s="353"/>
    </row>
    <row r="17" spans="1:19" s="78" customFormat="1">
      <c r="A17" s="77">
        <f t="shared" si="1"/>
        <v>37955</v>
      </c>
      <c r="B17" s="77">
        <f t="shared" si="0"/>
        <v>38320</v>
      </c>
      <c r="C17" s="86">
        <f t="shared" si="2"/>
        <v>0.2228</v>
      </c>
      <c r="D17" s="86">
        <f t="shared" si="3"/>
        <v>0.24030000000000001</v>
      </c>
      <c r="E17" s="86">
        <f t="shared" si="4"/>
        <v>6.6799999999999998E-2</v>
      </c>
      <c r="F17" s="86">
        <f t="shared" si="5"/>
        <v>1.7000000000000001E-2</v>
      </c>
      <c r="G17" s="87">
        <v>0.224</v>
      </c>
      <c r="H17" s="87">
        <v>0.24</v>
      </c>
      <c r="I17" s="87">
        <v>6.7000000000000004E-2</v>
      </c>
      <c r="J17" s="87">
        <v>1.7000000000000001E-2</v>
      </c>
      <c r="K17" s="76">
        <f>((9/3)*L14)+((3/3)*L26)</f>
        <v>12776</v>
      </c>
      <c r="L17" s="94"/>
      <c r="R17" s="353"/>
      <c r="S17" s="353"/>
    </row>
    <row r="18" spans="1:19" s="78" customFormat="1">
      <c r="A18" s="77">
        <f t="shared" si="1"/>
        <v>37986</v>
      </c>
      <c r="B18" s="77">
        <f t="shared" si="0"/>
        <v>38351</v>
      </c>
      <c r="C18" s="86">
        <f t="shared" si="2"/>
        <v>0.2223</v>
      </c>
      <c r="D18" s="86">
        <f t="shared" si="3"/>
        <v>0.24030000000000001</v>
      </c>
      <c r="E18" s="86">
        <f t="shared" si="4"/>
        <v>6.6699999999999995E-2</v>
      </c>
      <c r="F18" s="86">
        <f t="shared" si="5"/>
        <v>1.7000000000000001E-2</v>
      </c>
      <c r="G18" s="87">
        <v>0.224</v>
      </c>
      <c r="H18" s="87">
        <v>0.24</v>
      </c>
      <c r="I18" s="87">
        <v>6.7000000000000004E-2</v>
      </c>
      <c r="J18" s="87">
        <v>1.7000000000000001E-2</v>
      </c>
      <c r="K18" s="76">
        <f>((8/3)*L14)+((4/3)*L26)</f>
        <v>12827</v>
      </c>
      <c r="L18" s="94"/>
      <c r="R18" s="353"/>
      <c r="S18" s="353"/>
    </row>
    <row r="19" spans="1:19" s="78" customFormat="1">
      <c r="A19" s="77">
        <f t="shared" si="1"/>
        <v>38017</v>
      </c>
      <c r="B19" s="77">
        <f t="shared" si="0"/>
        <v>38382</v>
      </c>
      <c r="C19" s="86">
        <f t="shared" si="2"/>
        <v>0.22189999999999999</v>
      </c>
      <c r="D19" s="86">
        <f t="shared" si="3"/>
        <v>0.2404</v>
      </c>
      <c r="E19" s="86">
        <f t="shared" ref="E19:E82" si="6">AVERAGE(I19:I30)</f>
        <v>6.6600000000000006E-2</v>
      </c>
      <c r="F19" s="86">
        <f t="shared" si="5"/>
        <v>1.7000000000000001E-2</v>
      </c>
      <c r="G19" s="87">
        <v>0.224</v>
      </c>
      <c r="H19" s="87">
        <v>0.24</v>
      </c>
      <c r="I19" s="87">
        <v>6.7000000000000004E-2</v>
      </c>
      <c r="J19" s="87">
        <v>1.7000000000000001E-2</v>
      </c>
      <c r="K19" s="76">
        <f>((7/3)*L14)+((5/3)*L26)</f>
        <v>12877</v>
      </c>
      <c r="L19" s="94"/>
      <c r="R19" s="353"/>
      <c r="S19" s="353"/>
    </row>
    <row r="20" spans="1:19" s="78" customFormat="1">
      <c r="A20" s="77">
        <f t="shared" si="1"/>
        <v>38046</v>
      </c>
      <c r="B20" s="77">
        <f t="shared" si="0"/>
        <v>38410</v>
      </c>
      <c r="C20" s="86">
        <f t="shared" si="2"/>
        <v>0.2215</v>
      </c>
      <c r="D20" s="86">
        <f t="shared" si="3"/>
        <v>0.24049999999999999</v>
      </c>
      <c r="E20" s="86">
        <f t="shared" si="6"/>
        <v>6.6500000000000004E-2</v>
      </c>
      <c r="F20" s="86">
        <f t="shared" si="5"/>
        <v>1.7000000000000001E-2</v>
      </c>
      <c r="G20" s="87">
        <v>0.224</v>
      </c>
      <c r="H20" s="87">
        <v>0.24</v>
      </c>
      <c r="I20" s="87">
        <v>6.7000000000000004E-2</v>
      </c>
      <c r="J20" s="87">
        <v>1.7000000000000001E-2</v>
      </c>
      <c r="K20" s="76">
        <f>((6/3)*L14)+((6/3)*L26)</f>
        <v>12928</v>
      </c>
      <c r="L20" s="94"/>
      <c r="R20" s="353"/>
      <c r="S20" s="353"/>
    </row>
    <row r="21" spans="1:19" s="78" customFormat="1">
      <c r="A21" s="77">
        <f t="shared" si="1"/>
        <v>38077</v>
      </c>
      <c r="B21" s="77">
        <f t="shared" si="0"/>
        <v>38441</v>
      </c>
      <c r="C21" s="86">
        <f t="shared" si="2"/>
        <v>0.22109999999999999</v>
      </c>
      <c r="D21" s="86">
        <f t="shared" si="3"/>
        <v>0.24060000000000001</v>
      </c>
      <c r="E21" s="86">
        <f t="shared" si="6"/>
        <v>6.6400000000000001E-2</v>
      </c>
      <c r="F21" s="86">
        <f t="shared" si="5"/>
        <v>1.7000000000000001E-2</v>
      </c>
      <c r="G21" s="87">
        <v>0.224</v>
      </c>
      <c r="H21" s="87">
        <v>0.24</v>
      </c>
      <c r="I21" s="87">
        <v>6.7000000000000004E-2</v>
      </c>
      <c r="J21" s="87">
        <v>1.7000000000000001E-2</v>
      </c>
      <c r="K21" s="76">
        <f>((5/3)*L14)+((7/3)*L26)</f>
        <v>12979</v>
      </c>
      <c r="L21" s="94"/>
      <c r="R21" s="353"/>
      <c r="S21" s="353"/>
    </row>
    <row r="22" spans="1:19" s="78" customFormat="1">
      <c r="A22" s="77">
        <f t="shared" si="1"/>
        <v>38107</v>
      </c>
      <c r="B22" s="77">
        <f t="shared" si="0"/>
        <v>38471</v>
      </c>
      <c r="C22" s="86">
        <f t="shared" si="2"/>
        <v>0.22070000000000001</v>
      </c>
      <c r="D22" s="86">
        <f t="shared" si="3"/>
        <v>0.2407</v>
      </c>
      <c r="E22" s="86">
        <f t="shared" si="6"/>
        <v>6.6299999999999998E-2</v>
      </c>
      <c r="F22" s="86">
        <f t="shared" si="5"/>
        <v>1.7000000000000001E-2</v>
      </c>
      <c r="G22" s="87">
        <v>0.224</v>
      </c>
      <c r="H22" s="87">
        <v>0.24</v>
      </c>
      <c r="I22" s="87">
        <v>6.7000000000000004E-2</v>
      </c>
      <c r="J22" s="87">
        <v>1.7000000000000001E-2</v>
      </c>
      <c r="K22" s="76">
        <f>((4/3)*L14)+((8/3)*L26)</f>
        <v>13029</v>
      </c>
      <c r="L22" s="94"/>
      <c r="R22" s="353"/>
      <c r="S22" s="353"/>
    </row>
    <row r="23" spans="1:19" s="78" customFormat="1">
      <c r="A23" s="77">
        <f t="shared" si="1"/>
        <v>38138</v>
      </c>
      <c r="B23" s="77">
        <f t="shared" si="0"/>
        <v>38502</v>
      </c>
      <c r="C23" s="86">
        <f t="shared" si="2"/>
        <v>0.2203</v>
      </c>
      <c r="D23" s="86">
        <f t="shared" si="3"/>
        <v>0.24079999999999999</v>
      </c>
      <c r="E23" s="86">
        <f t="shared" si="6"/>
        <v>6.6299999999999998E-2</v>
      </c>
      <c r="F23" s="86">
        <f t="shared" si="5"/>
        <v>1.7000000000000001E-2</v>
      </c>
      <c r="G23" s="87">
        <v>0.224</v>
      </c>
      <c r="H23" s="87">
        <v>0.24</v>
      </c>
      <c r="I23" s="87">
        <v>6.7000000000000004E-2</v>
      </c>
      <c r="J23" s="87">
        <v>1.7000000000000001E-2</v>
      </c>
      <c r="K23" s="76">
        <f>((3/3)*L14)+((9/3)*L26)</f>
        <v>13080</v>
      </c>
      <c r="L23" s="94"/>
      <c r="R23" s="353"/>
      <c r="S23" s="353"/>
    </row>
    <row r="24" spans="1:19" s="78" customFormat="1">
      <c r="A24" s="77">
        <f t="shared" si="1"/>
        <v>38168</v>
      </c>
      <c r="B24" s="77">
        <f t="shared" si="0"/>
        <v>38532</v>
      </c>
      <c r="C24" s="86">
        <f t="shared" si="2"/>
        <v>0.2198</v>
      </c>
      <c r="D24" s="86">
        <f t="shared" si="3"/>
        <v>0.24079999999999999</v>
      </c>
      <c r="E24" s="86">
        <f t="shared" si="6"/>
        <v>6.6199999999999995E-2</v>
      </c>
      <c r="F24" s="86">
        <f t="shared" si="5"/>
        <v>1.7000000000000001E-2</v>
      </c>
      <c r="G24" s="87">
        <v>0.224</v>
      </c>
      <c r="H24" s="87">
        <v>0.24</v>
      </c>
      <c r="I24" s="87">
        <v>6.7000000000000004E-2</v>
      </c>
      <c r="J24" s="87">
        <v>1.7000000000000001E-2</v>
      </c>
      <c r="K24" s="76">
        <f>((2/3)*L14)+((10/3)*L26)</f>
        <v>13131</v>
      </c>
      <c r="L24" s="94"/>
      <c r="R24" s="353"/>
      <c r="S24" s="353"/>
    </row>
    <row r="25" spans="1:19" s="78" customFormat="1">
      <c r="A25" s="77">
        <f t="shared" si="1"/>
        <v>38199</v>
      </c>
      <c r="B25" s="77">
        <f t="shared" si="0"/>
        <v>38563</v>
      </c>
      <c r="C25" s="86">
        <f t="shared" si="2"/>
        <v>0.21940000000000001</v>
      </c>
      <c r="D25" s="86">
        <f t="shared" si="3"/>
        <v>0.2409</v>
      </c>
      <c r="E25" s="86">
        <f t="shared" si="6"/>
        <v>6.6100000000000006E-2</v>
      </c>
      <c r="F25" s="86">
        <f t="shared" si="5"/>
        <v>1.7000000000000001E-2</v>
      </c>
      <c r="G25" s="87">
        <v>0.224</v>
      </c>
      <c r="H25" s="87">
        <v>0.24</v>
      </c>
      <c r="I25" s="87">
        <v>6.7000000000000004E-2</v>
      </c>
      <c r="J25" s="87">
        <v>1.7000000000000001E-2</v>
      </c>
      <c r="K25" s="76">
        <f>((1/3)*L14)+((11/3)*L26)</f>
        <v>13181</v>
      </c>
      <c r="L25" s="94"/>
      <c r="R25" s="353"/>
      <c r="S25" s="353"/>
    </row>
    <row r="26" spans="1:19">
      <c r="A26" s="19">
        <f t="shared" si="1"/>
        <v>38230</v>
      </c>
      <c r="B26" s="19">
        <f t="shared" si="0"/>
        <v>38594</v>
      </c>
      <c r="C26" s="84">
        <f t="shared" si="2"/>
        <v>0.219</v>
      </c>
      <c r="D26" s="84">
        <f t="shared" si="3"/>
        <v>0.24099999999999999</v>
      </c>
      <c r="E26" s="84">
        <f t="shared" si="6"/>
        <v>6.6000000000000003E-2</v>
      </c>
      <c r="F26" s="84">
        <f t="shared" si="5"/>
        <v>1.7000000000000001E-2</v>
      </c>
      <c r="G26" s="85">
        <v>0.219</v>
      </c>
      <c r="H26" s="85">
        <v>0.24099999999999999</v>
      </c>
      <c r="I26" s="85">
        <v>6.6000000000000003E-2</v>
      </c>
      <c r="J26" s="85">
        <v>1.7000000000000001E-2</v>
      </c>
      <c r="K26" s="25">
        <f>(L26*4)</f>
        <v>13232</v>
      </c>
      <c r="L26" s="93">
        <v>3308</v>
      </c>
    </row>
    <row r="27" spans="1:19">
      <c r="A27" s="19">
        <f t="shared" si="1"/>
        <v>38260</v>
      </c>
      <c r="B27" s="19">
        <f t="shared" si="0"/>
        <v>38624</v>
      </c>
      <c r="C27" s="84">
        <f t="shared" si="2"/>
        <v>0.21990000000000001</v>
      </c>
      <c r="D27" s="84">
        <f t="shared" si="3"/>
        <v>0.24129999999999999</v>
      </c>
      <c r="E27" s="84">
        <f t="shared" si="6"/>
        <v>6.6199999999999995E-2</v>
      </c>
      <c r="F27" s="84">
        <f t="shared" si="5"/>
        <v>1.72E-2</v>
      </c>
      <c r="G27" s="85">
        <v>0.219</v>
      </c>
      <c r="H27" s="85">
        <v>0.24099999999999999</v>
      </c>
      <c r="I27" s="85">
        <v>6.6000000000000003E-2</v>
      </c>
      <c r="J27" s="85">
        <v>1.7000000000000001E-2</v>
      </c>
      <c r="K27" s="25">
        <f>((11/3)*L26)+((1/3)*L38)</f>
        <v>13005</v>
      </c>
      <c r="L27" s="93"/>
    </row>
    <row r="28" spans="1:19">
      <c r="A28" s="19">
        <f t="shared" si="1"/>
        <v>38291</v>
      </c>
      <c r="B28" s="19">
        <f t="shared" si="0"/>
        <v>38655</v>
      </c>
      <c r="C28" s="84">
        <f t="shared" si="2"/>
        <v>0.2208</v>
      </c>
      <c r="D28" s="84">
        <f t="shared" si="3"/>
        <v>0.2417</v>
      </c>
      <c r="E28" s="84">
        <f t="shared" si="6"/>
        <v>6.6299999999999998E-2</v>
      </c>
      <c r="F28" s="84">
        <f t="shared" si="5"/>
        <v>1.7299999999999999E-2</v>
      </c>
      <c r="G28" s="85">
        <v>0.219</v>
      </c>
      <c r="H28" s="85">
        <v>0.24099999999999999</v>
      </c>
      <c r="I28" s="85">
        <v>6.6000000000000003E-2</v>
      </c>
      <c r="J28" s="85">
        <v>1.7000000000000001E-2</v>
      </c>
      <c r="K28" s="25">
        <f>((10/3)*L26)+((2/3)*L38)</f>
        <v>12779</v>
      </c>
      <c r="L28" s="93"/>
    </row>
    <row r="29" spans="1:19">
      <c r="A29" s="19">
        <f t="shared" si="1"/>
        <v>38321</v>
      </c>
      <c r="B29" s="19">
        <f t="shared" si="0"/>
        <v>38685</v>
      </c>
      <c r="C29" s="84">
        <f t="shared" si="2"/>
        <v>0.2218</v>
      </c>
      <c r="D29" s="84">
        <f t="shared" si="3"/>
        <v>0.24199999999999999</v>
      </c>
      <c r="E29" s="84">
        <f t="shared" si="6"/>
        <v>6.6500000000000004E-2</v>
      </c>
      <c r="F29" s="84">
        <f t="shared" si="5"/>
        <v>1.7500000000000002E-2</v>
      </c>
      <c r="G29" s="85">
        <v>0.219</v>
      </c>
      <c r="H29" s="85">
        <v>0.24099999999999999</v>
      </c>
      <c r="I29" s="85">
        <v>6.6000000000000003E-2</v>
      </c>
      <c r="J29" s="85">
        <v>1.7000000000000001E-2</v>
      </c>
      <c r="K29" s="25">
        <f>((9/3)*L26)+((3/3)*L38)</f>
        <v>12552</v>
      </c>
      <c r="L29" s="93"/>
    </row>
    <row r="30" spans="1:19">
      <c r="A30" s="19">
        <f t="shared" si="1"/>
        <v>38352</v>
      </c>
      <c r="B30" s="19">
        <f t="shared" si="0"/>
        <v>38716</v>
      </c>
      <c r="C30" s="84">
        <f t="shared" si="2"/>
        <v>0.22270000000000001</v>
      </c>
      <c r="D30" s="84">
        <f t="shared" si="3"/>
        <v>0.24229999999999999</v>
      </c>
      <c r="E30" s="84">
        <f t="shared" si="6"/>
        <v>6.6699999999999995E-2</v>
      </c>
      <c r="F30" s="84">
        <f t="shared" si="5"/>
        <v>1.77E-2</v>
      </c>
      <c r="G30" s="85">
        <v>0.219</v>
      </c>
      <c r="H30" s="85">
        <v>0.24099999999999999</v>
      </c>
      <c r="I30" s="85">
        <v>6.6000000000000003E-2</v>
      </c>
      <c r="J30" s="85">
        <v>1.7000000000000001E-2</v>
      </c>
      <c r="K30" s="25">
        <f>((8/3)*L26)+((4/3)*L38)</f>
        <v>12325</v>
      </c>
      <c r="L30" s="93"/>
      <c r="M30" s="80"/>
      <c r="N30" s="80"/>
    </row>
    <row r="31" spans="1:19">
      <c r="A31" s="19">
        <f t="shared" si="1"/>
        <v>38383</v>
      </c>
      <c r="B31" s="19">
        <f t="shared" si="0"/>
        <v>38747</v>
      </c>
      <c r="C31" s="84">
        <f t="shared" si="2"/>
        <v>0.22359999999999999</v>
      </c>
      <c r="D31" s="84">
        <f t="shared" si="3"/>
        <v>0.2427</v>
      </c>
      <c r="E31" s="84">
        <f t="shared" si="6"/>
        <v>6.6799999999999998E-2</v>
      </c>
      <c r="F31" s="84">
        <f t="shared" si="5"/>
        <v>1.78E-2</v>
      </c>
      <c r="G31" s="85">
        <v>0.219</v>
      </c>
      <c r="H31" s="85">
        <v>0.24099999999999999</v>
      </c>
      <c r="I31" s="85">
        <v>6.6000000000000003E-2</v>
      </c>
      <c r="J31" s="85">
        <v>1.7000000000000001E-2</v>
      </c>
      <c r="K31" s="25">
        <f>((7/3)*L26)+((5/3)*L38)</f>
        <v>12099</v>
      </c>
      <c r="L31" s="93"/>
      <c r="M31" s="80"/>
      <c r="N31" s="80"/>
    </row>
    <row r="32" spans="1:19">
      <c r="A32" s="19">
        <f t="shared" si="1"/>
        <v>38411</v>
      </c>
      <c r="B32" s="19">
        <f t="shared" si="0"/>
        <v>38775</v>
      </c>
      <c r="C32" s="84">
        <f t="shared" si="2"/>
        <v>0.22450000000000001</v>
      </c>
      <c r="D32" s="84">
        <f t="shared" si="3"/>
        <v>0.24299999999999999</v>
      </c>
      <c r="E32" s="84">
        <f t="shared" si="6"/>
        <v>6.7000000000000004E-2</v>
      </c>
      <c r="F32" s="84">
        <f t="shared" si="5"/>
        <v>1.7999999999999999E-2</v>
      </c>
      <c r="G32" s="85">
        <v>0.219</v>
      </c>
      <c r="H32" s="85">
        <v>0.24099999999999999</v>
      </c>
      <c r="I32" s="85">
        <v>6.6000000000000003E-2</v>
      </c>
      <c r="J32" s="85">
        <v>1.7000000000000001E-2</v>
      </c>
      <c r="K32" s="25">
        <f>((6/3)*L26)+((6/3)*L38)</f>
        <v>11872</v>
      </c>
      <c r="L32" s="93"/>
    </row>
    <row r="33" spans="1:19">
      <c r="A33" s="19">
        <f t="shared" si="1"/>
        <v>38442</v>
      </c>
      <c r="B33" s="19">
        <f t="shared" si="0"/>
        <v>38806</v>
      </c>
      <c r="C33" s="84">
        <f t="shared" si="2"/>
        <v>0.22539999999999999</v>
      </c>
      <c r="D33" s="84">
        <f t="shared" si="3"/>
        <v>0.24329999999999999</v>
      </c>
      <c r="E33" s="84">
        <f t="shared" si="6"/>
        <v>6.7199999999999996E-2</v>
      </c>
      <c r="F33" s="84">
        <f t="shared" si="5"/>
        <v>1.8200000000000001E-2</v>
      </c>
      <c r="G33" s="85">
        <v>0.219</v>
      </c>
      <c r="H33" s="85">
        <v>0.24099999999999999</v>
      </c>
      <c r="I33" s="85">
        <v>6.6000000000000003E-2</v>
      </c>
      <c r="J33" s="85">
        <v>1.7000000000000001E-2</v>
      </c>
      <c r="K33" s="25">
        <f>((5/3)*L26)+((7/3)*L38)</f>
        <v>11645</v>
      </c>
      <c r="L33" s="93"/>
    </row>
    <row r="34" spans="1:19">
      <c r="A34" s="19">
        <f t="shared" si="1"/>
        <v>38472</v>
      </c>
      <c r="B34" s="19">
        <f t="shared" si="0"/>
        <v>38836</v>
      </c>
      <c r="C34" s="84">
        <f t="shared" si="2"/>
        <v>0.2263</v>
      </c>
      <c r="D34" s="84">
        <f t="shared" si="3"/>
        <v>0.2437</v>
      </c>
      <c r="E34" s="84">
        <f t="shared" si="6"/>
        <v>6.7299999999999999E-2</v>
      </c>
      <c r="F34" s="84">
        <f t="shared" si="5"/>
        <v>1.83E-2</v>
      </c>
      <c r="G34" s="85">
        <v>0.219</v>
      </c>
      <c r="H34" s="85">
        <v>0.24099999999999999</v>
      </c>
      <c r="I34" s="85">
        <v>6.6000000000000003E-2</v>
      </c>
      <c r="J34" s="85">
        <v>1.7000000000000001E-2</v>
      </c>
      <c r="K34" s="25">
        <f>((4/3)*L26)+((8/3)*L38)</f>
        <v>11419</v>
      </c>
      <c r="L34" s="93"/>
    </row>
    <row r="35" spans="1:19">
      <c r="A35" s="19">
        <f t="shared" si="1"/>
        <v>38503</v>
      </c>
      <c r="B35" s="19">
        <f t="shared" si="0"/>
        <v>38867</v>
      </c>
      <c r="C35" s="84">
        <f t="shared" si="2"/>
        <v>0.2273</v>
      </c>
      <c r="D35" s="84">
        <f t="shared" si="3"/>
        <v>0.24399999999999999</v>
      </c>
      <c r="E35" s="84">
        <f t="shared" si="6"/>
        <v>6.7500000000000004E-2</v>
      </c>
      <c r="F35" s="84">
        <f t="shared" si="5"/>
        <v>1.8499999999999999E-2</v>
      </c>
      <c r="G35" s="85">
        <v>0.219</v>
      </c>
      <c r="H35" s="85">
        <v>0.24099999999999999</v>
      </c>
      <c r="I35" s="85">
        <v>6.6000000000000003E-2</v>
      </c>
      <c r="J35" s="85">
        <v>1.7000000000000001E-2</v>
      </c>
      <c r="K35" s="25">
        <f>((3/3)*L26)+((9/3)*L38)</f>
        <v>11192</v>
      </c>
      <c r="L35" s="93"/>
    </row>
    <row r="36" spans="1:19">
      <c r="A36" s="19">
        <f t="shared" si="1"/>
        <v>38533</v>
      </c>
      <c r="B36" s="19">
        <f t="shared" si="0"/>
        <v>38897</v>
      </c>
      <c r="C36" s="84">
        <f t="shared" si="2"/>
        <v>0.22819999999999999</v>
      </c>
      <c r="D36" s="84">
        <f t="shared" si="3"/>
        <v>0.24429999999999999</v>
      </c>
      <c r="E36" s="84">
        <f t="shared" si="6"/>
        <v>6.7699999999999996E-2</v>
      </c>
      <c r="F36" s="84">
        <f t="shared" si="5"/>
        <v>1.8700000000000001E-2</v>
      </c>
      <c r="G36" s="85">
        <v>0.219</v>
      </c>
      <c r="H36" s="85">
        <v>0.24099999999999999</v>
      </c>
      <c r="I36" s="85">
        <v>6.6000000000000003E-2</v>
      </c>
      <c r="J36" s="85">
        <v>1.7000000000000001E-2</v>
      </c>
      <c r="K36" s="25">
        <f>((2/3)*L26)+((10/3)*L38)</f>
        <v>10965</v>
      </c>
      <c r="L36" s="93"/>
    </row>
    <row r="37" spans="1:19">
      <c r="A37" s="19">
        <f t="shared" si="1"/>
        <v>38564</v>
      </c>
      <c r="B37" s="19">
        <f t="shared" si="0"/>
        <v>38928</v>
      </c>
      <c r="C37" s="84">
        <f t="shared" si="2"/>
        <v>0.2291</v>
      </c>
      <c r="D37" s="84">
        <f t="shared" si="3"/>
        <v>0.2447</v>
      </c>
      <c r="E37" s="84">
        <f t="shared" si="6"/>
        <v>6.7799999999999999E-2</v>
      </c>
      <c r="F37" s="84">
        <f t="shared" si="5"/>
        <v>1.8800000000000001E-2</v>
      </c>
      <c r="G37" s="85">
        <v>0.219</v>
      </c>
      <c r="H37" s="85">
        <v>0.24099999999999999</v>
      </c>
      <c r="I37" s="85">
        <v>6.6000000000000003E-2</v>
      </c>
      <c r="J37" s="85">
        <v>1.7000000000000001E-2</v>
      </c>
      <c r="K37" s="25">
        <f>((1/3)*L26)+((11/3)*L38)</f>
        <v>10739</v>
      </c>
      <c r="L37" s="93"/>
    </row>
    <row r="38" spans="1:19" s="78" customFormat="1">
      <c r="A38" s="77">
        <f t="shared" si="1"/>
        <v>38595</v>
      </c>
      <c r="B38" s="77">
        <f t="shared" si="0"/>
        <v>38959</v>
      </c>
      <c r="C38" s="86">
        <f t="shared" si="2"/>
        <v>0.23</v>
      </c>
      <c r="D38" s="86">
        <f t="shared" si="3"/>
        <v>0.245</v>
      </c>
      <c r="E38" s="86">
        <f t="shared" si="6"/>
        <v>6.8000000000000005E-2</v>
      </c>
      <c r="F38" s="86">
        <f t="shared" si="5"/>
        <v>1.9E-2</v>
      </c>
      <c r="G38" s="87">
        <v>0.23</v>
      </c>
      <c r="H38" s="87">
        <v>0.245</v>
      </c>
      <c r="I38" s="87">
        <v>6.8000000000000005E-2</v>
      </c>
      <c r="J38" s="87">
        <v>1.9E-2</v>
      </c>
      <c r="K38" s="76">
        <f>(L38*4)</f>
        <v>10512</v>
      </c>
      <c r="L38" s="94">
        <v>2628</v>
      </c>
      <c r="O38" s="336"/>
      <c r="P38" s="336"/>
      <c r="R38" s="353"/>
      <c r="S38" s="353"/>
    </row>
    <row r="39" spans="1:19" s="78" customFormat="1">
      <c r="A39" s="77">
        <f t="shared" si="1"/>
        <v>38625</v>
      </c>
      <c r="B39" s="77">
        <f t="shared" si="0"/>
        <v>38989</v>
      </c>
      <c r="C39" s="86">
        <f t="shared" si="2"/>
        <v>0.23080000000000001</v>
      </c>
      <c r="D39" s="86">
        <f t="shared" si="3"/>
        <v>0.24579999999999999</v>
      </c>
      <c r="E39" s="86">
        <f t="shared" si="6"/>
        <v>6.8000000000000005E-2</v>
      </c>
      <c r="F39" s="86">
        <f t="shared" si="5"/>
        <v>1.89E-2</v>
      </c>
      <c r="G39" s="87">
        <v>0.23</v>
      </c>
      <c r="H39" s="87">
        <v>0.245</v>
      </c>
      <c r="I39" s="87">
        <v>6.8000000000000005E-2</v>
      </c>
      <c r="J39" s="87">
        <v>1.9E-2</v>
      </c>
      <c r="K39" s="76">
        <f>((11/3)*L38)+((1/3)*L50)</f>
        <v>10552</v>
      </c>
      <c r="L39" s="94"/>
      <c r="R39" s="353"/>
      <c r="S39" s="353"/>
    </row>
    <row r="40" spans="1:19" s="78" customFormat="1">
      <c r="A40" s="77">
        <f t="shared" si="1"/>
        <v>38656</v>
      </c>
      <c r="B40" s="77">
        <f t="shared" si="0"/>
        <v>39020</v>
      </c>
      <c r="C40" s="86">
        <f t="shared" si="2"/>
        <v>0.23169999999999999</v>
      </c>
      <c r="D40" s="86">
        <f t="shared" si="3"/>
        <v>0.2467</v>
      </c>
      <c r="E40" s="86">
        <f t="shared" si="6"/>
        <v>6.8000000000000005E-2</v>
      </c>
      <c r="F40" s="86">
        <f t="shared" si="5"/>
        <v>1.8800000000000001E-2</v>
      </c>
      <c r="G40" s="87">
        <v>0.23</v>
      </c>
      <c r="H40" s="87">
        <v>0.245</v>
      </c>
      <c r="I40" s="87">
        <v>6.8000000000000005E-2</v>
      </c>
      <c r="J40" s="87">
        <v>1.9E-2</v>
      </c>
      <c r="K40" s="76">
        <f>((10/3)*L38)+((2/3)*L50)</f>
        <v>10592</v>
      </c>
      <c r="L40" s="94"/>
      <c r="R40" s="353"/>
      <c r="S40" s="353"/>
    </row>
    <row r="41" spans="1:19" s="78" customFormat="1">
      <c r="A41" s="77">
        <f t="shared" si="1"/>
        <v>38686</v>
      </c>
      <c r="B41" s="77">
        <f t="shared" si="0"/>
        <v>39050</v>
      </c>
      <c r="C41" s="86">
        <f t="shared" si="2"/>
        <v>0.23250000000000001</v>
      </c>
      <c r="D41" s="86">
        <f t="shared" si="3"/>
        <v>0.2475</v>
      </c>
      <c r="E41" s="86">
        <f t="shared" si="6"/>
        <v>6.8000000000000005E-2</v>
      </c>
      <c r="F41" s="86">
        <f t="shared" si="5"/>
        <v>1.8800000000000001E-2</v>
      </c>
      <c r="G41" s="87">
        <v>0.23</v>
      </c>
      <c r="H41" s="87">
        <v>0.245</v>
      </c>
      <c r="I41" s="87">
        <v>6.8000000000000005E-2</v>
      </c>
      <c r="J41" s="87">
        <v>1.9E-2</v>
      </c>
      <c r="K41" s="76">
        <f>((9/3)*L38)+((3/3)*L50)</f>
        <v>10632</v>
      </c>
      <c r="L41" s="94"/>
      <c r="R41" s="353"/>
      <c r="S41" s="353"/>
    </row>
    <row r="42" spans="1:19" s="78" customFormat="1">
      <c r="A42" s="77">
        <f t="shared" si="1"/>
        <v>38717</v>
      </c>
      <c r="B42" s="77">
        <f t="shared" si="0"/>
        <v>39081</v>
      </c>
      <c r="C42" s="86">
        <f t="shared" si="2"/>
        <v>0.23330000000000001</v>
      </c>
      <c r="D42" s="86">
        <f t="shared" si="3"/>
        <v>0.24829999999999999</v>
      </c>
      <c r="E42" s="86">
        <f t="shared" si="6"/>
        <v>6.8000000000000005E-2</v>
      </c>
      <c r="F42" s="86">
        <f t="shared" si="5"/>
        <v>1.8700000000000001E-2</v>
      </c>
      <c r="G42" s="87">
        <v>0.23</v>
      </c>
      <c r="H42" s="87">
        <v>0.245</v>
      </c>
      <c r="I42" s="87">
        <v>6.8000000000000005E-2</v>
      </c>
      <c r="J42" s="87">
        <v>1.9E-2</v>
      </c>
      <c r="K42" s="76">
        <f>((8/3)*L38)+((4/3)*L50)</f>
        <v>10672</v>
      </c>
      <c r="L42" s="94"/>
      <c r="R42" s="353"/>
      <c r="S42" s="353"/>
    </row>
    <row r="43" spans="1:19" s="78" customFormat="1">
      <c r="A43" s="77">
        <f t="shared" si="1"/>
        <v>38748</v>
      </c>
      <c r="B43" s="77">
        <f t="shared" si="0"/>
        <v>39112</v>
      </c>
      <c r="C43" s="86">
        <f t="shared" si="2"/>
        <v>0.23419999999999999</v>
      </c>
      <c r="D43" s="86">
        <f t="shared" si="3"/>
        <v>0.2492</v>
      </c>
      <c r="E43" s="86">
        <f t="shared" si="6"/>
        <v>6.8000000000000005E-2</v>
      </c>
      <c r="F43" s="86">
        <f t="shared" si="5"/>
        <v>1.8599999999999998E-2</v>
      </c>
      <c r="G43" s="87">
        <v>0.23</v>
      </c>
      <c r="H43" s="87">
        <v>0.245</v>
      </c>
      <c r="I43" s="87">
        <v>6.8000000000000005E-2</v>
      </c>
      <c r="J43" s="87">
        <v>1.9E-2</v>
      </c>
      <c r="K43" s="76">
        <f>((7/3)*L38)+((5/3)*L50)</f>
        <v>10712</v>
      </c>
      <c r="L43" s="94"/>
      <c r="R43" s="353"/>
      <c r="S43" s="353"/>
    </row>
    <row r="44" spans="1:19" s="78" customFormat="1">
      <c r="A44" s="77">
        <f t="shared" si="1"/>
        <v>38776</v>
      </c>
      <c r="B44" s="77">
        <f t="shared" si="0"/>
        <v>39140</v>
      </c>
      <c r="C44" s="86">
        <f t="shared" si="2"/>
        <v>0.23499999999999999</v>
      </c>
      <c r="D44" s="86">
        <f t="shared" si="3"/>
        <v>0.25</v>
      </c>
      <c r="E44" s="86">
        <f t="shared" si="6"/>
        <v>6.8000000000000005E-2</v>
      </c>
      <c r="F44" s="86">
        <f t="shared" si="5"/>
        <v>1.8499999999999999E-2</v>
      </c>
      <c r="G44" s="87">
        <v>0.23</v>
      </c>
      <c r="H44" s="87">
        <v>0.245</v>
      </c>
      <c r="I44" s="87">
        <v>6.8000000000000005E-2</v>
      </c>
      <c r="J44" s="87">
        <v>1.9E-2</v>
      </c>
      <c r="K44" s="76">
        <f>((6/3)*L38)+((6/3)*L50)</f>
        <v>10752</v>
      </c>
      <c r="L44" s="94"/>
      <c r="R44" s="353"/>
      <c r="S44" s="353"/>
    </row>
    <row r="45" spans="1:19" s="78" customFormat="1">
      <c r="A45" s="77">
        <f t="shared" si="1"/>
        <v>38807</v>
      </c>
      <c r="B45" s="77">
        <f t="shared" si="0"/>
        <v>39171</v>
      </c>
      <c r="C45" s="86">
        <f t="shared" si="2"/>
        <v>0.23580000000000001</v>
      </c>
      <c r="D45" s="86">
        <f t="shared" si="3"/>
        <v>0.25080000000000002</v>
      </c>
      <c r="E45" s="86">
        <f t="shared" si="6"/>
        <v>6.8000000000000005E-2</v>
      </c>
      <c r="F45" s="86">
        <f t="shared" si="5"/>
        <v>1.84E-2</v>
      </c>
      <c r="G45" s="87">
        <v>0.23</v>
      </c>
      <c r="H45" s="87">
        <v>0.245</v>
      </c>
      <c r="I45" s="87">
        <v>6.8000000000000005E-2</v>
      </c>
      <c r="J45" s="87">
        <v>1.9E-2</v>
      </c>
      <c r="K45" s="76">
        <f>((5/3)*L38)+((7/3)*L50)</f>
        <v>10792</v>
      </c>
      <c r="L45" s="94"/>
      <c r="R45" s="353"/>
      <c r="S45" s="353"/>
    </row>
    <row r="46" spans="1:19" s="78" customFormat="1">
      <c r="A46" s="77">
        <f t="shared" si="1"/>
        <v>38837</v>
      </c>
      <c r="B46" s="77">
        <f t="shared" si="0"/>
        <v>39201</v>
      </c>
      <c r="C46" s="86">
        <f t="shared" si="2"/>
        <v>0.23669999999999999</v>
      </c>
      <c r="D46" s="86">
        <f t="shared" si="3"/>
        <v>0.25169999999999998</v>
      </c>
      <c r="E46" s="86">
        <f t="shared" si="6"/>
        <v>6.8000000000000005E-2</v>
      </c>
      <c r="F46" s="86">
        <f t="shared" si="5"/>
        <v>1.83E-2</v>
      </c>
      <c r="G46" s="87">
        <v>0.23</v>
      </c>
      <c r="H46" s="87">
        <v>0.245</v>
      </c>
      <c r="I46" s="87">
        <v>6.8000000000000005E-2</v>
      </c>
      <c r="J46" s="87">
        <v>1.9E-2</v>
      </c>
      <c r="K46" s="76">
        <f>((4/3)*L38)+((8/3)*L50)</f>
        <v>10832</v>
      </c>
      <c r="L46" s="94"/>
      <c r="R46" s="353"/>
      <c r="S46" s="353"/>
    </row>
    <row r="47" spans="1:19" s="78" customFormat="1">
      <c r="A47" s="77">
        <f t="shared" si="1"/>
        <v>38868</v>
      </c>
      <c r="B47" s="77">
        <f t="shared" si="0"/>
        <v>39232</v>
      </c>
      <c r="C47" s="86">
        <f t="shared" si="2"/>
        <v>0.23749999999999999</v>
      </c>
      <c r="D47" s="86">
        <f t="shared" si="3"/>
        <v>0.2525</v>
      </c>
      <c r="E47" s="86">
        <f t="shared" si="6"/>
        <v>6.8000000000000005E-2</v>
      </c>
      <c r="F47" s="86">
        <f t="shared" si="5"/>
        <v>1.83E-2</v>
      </c>
      <c r="G47" s="87">
        <v>0.23</v>
      </c>
      <c r="H47" s="87">
        <v>0.245</v>
      </c>
      <c r="I47" s="87">
        <v>6.8000000000000005E-2</v>
      </c>
      <c r="J47" s="87">
        <v>1.9E-2</v>
      </c>
      <c r="K47" s="76">
        <f>((3/3)*L38)+((9/3)*L50)</f>
        <v>10872</v>
      </c>
      <c r="L47" s="94"/>
      <c r="R47" s="353"/>
      <c r="S47" s="353"/>
    </row>
    <row r="48" spans="1:19" s="78" customFormat="1">
      <c r="A48" s="77">
        <f t="shared" si="1"/>
        <v>38898</v>
      </c>
      <c r="B48" s="77">
        <f t="shared" si="0"/>
        <v>39262</v>
      </c>
      <c r="C48" s="86">
        <f t="shared" si="2"/>
        <v>0.23830000000000001</v>
      </c>
      <c r="D48" s="86">
        <f t="shared" si="3"/>
        <v>0.25330000000000003</v>
      </c>
      <c r="E48" s="86">
        <f t="shared" si="6"/>
        <v>6.8000000000000005E-2</v>
      </c>
      <c r="F48" s="86">
        <f t="shared" si="5"/>
        <v>1.8200000000000001E-2</v>
      </c>
      <c r="G48" s="87">
        <v>0.23</v>
      </c>
      <c r="H48" s="87">
        <v>0.245</v>
      </c>
      <c r="I48" s="87">
        <v>6.8000000000000005E-2</v>
      </c>
      <c r="J48" s="87">
        <v>1.9E-2</v>
      </c>
      <c r="K48" s="76">
        <f>((2/3)*L38)+((10/3)*L50)</f>
        <v>10912</v>
      </c>
      <c r="L48" s="94"/>
      <c r="R48" s="353"/>
      <c r="S48" s="353"/>
    </row>
    <row r="49" spans="1:19" s="78" customFormat="1">
      <c r="A49" s="77">
        <f t="shared" si="1"/>
        <v>38929</v>
      </c>
      <c r="B49" s="77">
        <f t="shared" si="0"/>
        <v>39293</v>
      </c>
      <c r="C49" s="86">
        <f t="shared" si="2"/>
        <v>0.2392</v>
      </c>
      <c r="D49" s="86">
        <f t="shared" si="3"/>
        <v>0.25419999999999998</v>
      </c>
      <c r="E49" s="86">
        <f t="shared" si="6"/>
        <v>6.8000000000000005E-2</v>
      </c>
      <c r="F49" s="86">
        <f t="shared" si="5"/>
        <v>1.8100000000000002E-2</v>
      </c>
      <c r="G49" s="87">
        <v>0.23</v>
      </c>
      <c r="H49" s="87">
        <v>0.245</v>
      </c>
      <c r="I49" s="87">
        <v>6.8000000000000005E-2</v>
      </c>
      <c r="J49" s="87">
        <v>1.9E-2</v>
      </c>
      <c r="K49" s="76">
        <f>((1/3)*L38)+((11/3)*L50)</f>
        <v>10952</v>
      </c>
      <c r="L49" s="94"/>
      <c r="R49" s="353"/>
      <c r="S49" s="353"/>
    </row>
    <row r="50" spans="1:19">
      <c r="A50" s="19">
        <f t="shared" si="1"/>
        <v>38960</v>
      </c>
      <c r="B50" s="19">
        <f t="shared" si="0"/>
        <v>39324</v>
      </c>
      <c r="C50" s="84">
        <f t="shared" si="2"/>
        <v>0.24</v>
      </c>
      <c r="D50" s="84">
        <f t="shared" si="3"/>
        <v>0.255</v>
      </c>
      <c r="E50" s="84">
        <f t="shared" si="6"/>
        <v>6.8000000000000005E-2</v>
      </c>
      <c r="F50" s="84">
        <f t="shared" si="5"/>
        <v>1.7999999999999999E-2</v>
      </c>
      <c r="G50" s="85">
        <v>0.24</v>
      </c>
      <c r="H50" s="85">
        <v>0.255</v>
      </c>
      <c r="I50" s="85">
        <v>6.8000000000000005E-2</v>
      </c>
      <c r="J50" s="85">
        <v>1.7999999999999999E-2</v>
      </c>
      <c r="K50" s="25">
        <f>(L50*4)</f>
        <v>10992</v>
      </c>
      <c r="L50" s="93">
        <v>2748</v>
      </c>
    </row>
    <row r="51" spans="1:19">
      <c r="A51" s="19">
        <f t="shared" si="1"/>
        <v>38990</v>
      </c>
      <c r="B51" s="19">
        <f t="shared" si="0"/>
        <v>39354</v>
      </c>
      <c r="C51" s="84">
        <f t="shared" si="2"/>
        <v>0.2414</v>
      </c>
      <c r="D51" s="84">
        <f t="shared" si="3"/>
        <v>0.25629999999999997</v>
      </c>
      <c r="E51" s="84">
        <f t="shared" si="6"/>
        <v>6.8099999999999994E-2</v>
      </c>
      <c r="F51" s="84">
        <f t="shared" si="5"/>
        <v>1.8200000000000001E-2</v>
      </c>
      <c r="G51" s="85">
        <v>0.24</v>
      </c>
      <c r="H51" s="85">
        <v>0.255</v>
      </c>
      <c r="I51" s="85">
        <v>6.8000000000000005E-2</v>
      </c>
      <c r="J51" s="85">
        <v>1.7999999999999999E-2</v>
      </c>
      <c r="K51" s="25">
        <f>((11/3)*L50)+((1/3)*L62)</f>
        <v>11032</v>
      </c>
      <c r="L51" s="95"/>
    </row>
    <row r="52" spans="1:19">
      <c r="A52" s="19">
        <f t="shared" si="1"/>
        <v>39021</v>
      </c>
      <c r="B52" s="19">
        <f t="shared" si="0"/>
        <v>39385</v>
      </c>
      <c r="C52" s="84">
        <f t="shared" si="2"/>
        <v>0.24279999999999999</v>
      </c>
      <c r="D52" s="84">
        <f t="shared" si="3"/>
        <v>0.25750000000000001</v>
      </c>
      <c r="E52" s="84">
        <f t="shared" si="6"/>
        <v>6.8199999999999997E-2</v>
      </c>
      <c r="F52" s="84">
        <f t="shared" si="5"/>
        <v>1.83E-2</v>
      </c>
      <c r="G52" s="85">
        <v>0.24</v>
      </c>
      <c r="H52" s="85">
        <v>0.255</v>
      </c>
      <c r="I52" s="85">
        <v>6.8000000000000005E-2</v>
      </c>
      <c r="J52" s="85">
        <v>1.7999999999999999E-2</v>
      </c>
      <c r="K52" s="25">
        <f>((10/3)*L50)+((2/3)*L62)</f>
        <v>11073</v>
      </c>
      <c r="L52" s="93"/>
    </row>
    <row r="53" spans="1:19">
      <c r="A53" s="19">
        <f t="shared" si="1"/>
        <v>39051</v>
      </c>
      <c r="B53" s="19">
        <f t="shared" si="0"/>
        <v>39415</v>
      </c>
      <c r="C53" s="84">
        <f t="shared" si="2"/>
        <v>0.24429999999999999</v>
      </c>
      <c r="D53" s="84">
        <f t="shared" si="3"/>
        <v>0.25879999999999997</v>
      </c>
      <c r="E53" s="84">
        <f t="shared" si="6"/>
        <v>6.83E-2</v>
      </c>
      <c r="F53" s="84">
        <f t="shared" si="5"/>
        <v>1.8499999999999999E-2</v>
      </c>
      <c r="G53" s="85">
        <v>0.24</v>
      </c>
      <c r="H53" s="85">
        <v>0.255</v>
      </c>
      <c r="I53" s="85">
        <v>6.8000000000000005E-2</v>
      </c>
      <c r="J53" s="85">
        <v>1.7999999999999999E-2</v>
      </c>
      <c r="K53" s="25">
        <f>((9/3)*L50)+((3/3)*L62)</f>
        <v>11113</v>
      </c>
      <c r="L53" s="93"/>
    </row>
    <row r="54" spans="1:19">
      <c r="A54" s="19">
        <f t="shared" si="1"/>
        <v>39082</v>
      </c>
      <c r="B54" s="19">
        <f t="shared" si="0"/>
        <v>39446</v>
      </c>
      <c r="C54" s="84">
        <f t="shared" si="2"/>
        <v>0.2457</v>
      </c>
      <c r="D54" s="84">
        <f t="shared" si="3"/>
        <v>0.26</v>
      </c>
      <c r="E54" s="84">
        <f t="shared" si="6"/>
        <v>6.83E-2</v>
      </c>
      <c r="F54" s="84">
        <f t="shared" si="5"/>
        <v>1.8700000000000001E-2</v>
      </c>
      <c r="G54" s="85">
        <v>0.24</v>
      </c>
      <c r="H54" s="85">
        <v>0.255</v>
      </c>
      <c r="I54" s="85">
        <v>6.8000000000000005E-2</v>
      </c>
      <c r="J54" s="85">
        <v>1.7999999999999999E-2</v>
      </c>
      <c r="K54" s="25">
        <f>((8/3)*L50)+((4/3)*L62)</f>
        <v>11153</v>
      </c>
      <c r="L54" s="93"/>
    </row>
    <row r="55" spans="1:19">
      <c r="A55" s="19">
        <f t="shared" si="1"/>
        <v>39113</v>
      </c>
      <c r="B55" s="19">
        <f t="shared" si="0"/>
        <v>39477</v>
      </c>
      <c r="C55" s="84">
        <f t="shared" si="2"/>
        <v>0.24709999999999999</v>
      </c>
      <c r="D55" s="84">
        <f t="shared" si="3"/>
        <v>0.26129999999999998</v>
      </c>
      <c r="E55" s="84">
        <f t="shared" si="6"/>
        <v>6.8400000000000002E-2</v>
      </c>
      <c r="F55" s="84">
        <f t="shared" si="5"/>
        <v>1.8800000000000001E-2</v>
      </c>
      <c r="G55" s="85">
        <v>0.24</v>
      </c>
      <c r="H55" s="85">
        <v>0.255</v>
      </c>
      <c r="I55" s="85">
        <v>6.8000000000000005E-2</v>
      </c>
      <c r="J55" s="85">
        <v>1.7999999999999999E-2</v>
      </c>
      <c r="K55" s="25">
        <f>((7/3)*L50)+((5/3)*L62)</f>
        <v>11194</v>
      </c>
      <c r="L55" s="93"/>
    </row>
    <row r="56" spans="1:19">
      <c r="A56" s="19">
        <f t="shared" si="1"/>
        <v>39141</v>
      </c>
      <c r="B56" s="19">
        <f t="shared" si="0"/>
        <v>39506</v>
      </c>
      <c r="C56" s="84">
        <f t="shared" si="2"/>
        <v>0.2485</v>
      </c>
      <c r="D56" s="84">
        <f t="shared" si="3"/>
        <v>0.26250000000000001</v>
      </c>
      <c r="E56" s="84">
        <f t="shared" si="6"/>
        <v>6.8500000000000005E-2</v>
      </c>
      <c r="F56" s="84">
        <f t="shared" si="5"/>
        <v>1.9E-2</v>
      </c>
      <c r="G56" s="85">
        <v>0.24</v>
      </c>
      <c r="H56" s="85">
        <v>0.255</v>
      </c>
      <c r="I56" s="85">
        <v>6.8000000000000005E-2</v>
      </c>
      <c r="J56" s="85">
        <v>1.7999999999999999E-2</v>
      </c>
      <c r="K56" s="25">
        <f>((6/3)*L50)+((6/3)*L62)</f>
        <v>11234</v>
      </c>
      <c r="L56" s="93"/>
    </row>
    <row r="57" spans="1:19">
      <c r="A57" s="19">
        <f t="shared" si="1"/>
        <v>39172</v>
      </c>
      <c r="B57" s="19">
        <f t="shared" si="0"/>
        <v>39537</v>
      </c>
      <c r="C57" s="84">
        <f t="shared" si="2"/>
        <v>0.24990000000000001</v>
      </c>
      <c r="D57" s="84">
        <f t="shared" si="3"/>
        <v>0.26379999999999998</v>
      </c>
      <c r="E57" s="84">
        <f t="shared" si="6"/>
        <v>6.8599999999999994E-2</v>
      </c>
      <c r="F57" s="84">
        <f t="shared" si="5"/>
        <v>1.9199999999999998E-2</v>
      </c>
      <c r="G57" s="85">
        <v>0.24</v>
      </c>
      <c r="H57" s="85">
        <v>0.255</v>
      </c>
      <c r="I57" s="85">
        <v>6.8000000000000005E-2</v>
      </c>
      <c r="J57" s="85">
        <v>1.7999999999999999E-2</v>
      </c>
      <c r="K57" s="25">
        <f>((5/3)*L50)+((7/3)*L62)</f>
        <v>11274</v>
      </c>
      <c r="L57" s="93"/>
    </row>
    <row r="58" spans="1:19">
      <c r="A58" s="19">
        <f t="shared" si="1"/>
        <v>39202</v>
      </c>
      <c r="B58" s="19">
        <f t="shared" si="0"/>
        <v>39567</v>
      </c>
      <c r="C58" s="84">
        <f t="shared" si="2"/>
        <v>0.25130000000000002</v>
      </c>
      <c r="D58" s="84">
        <f t="shared" si="3"/>
        <v>0.26500000000000001</v>
      </c>
      <c r="E58" s="84">
        <f t="shared" si="6"/>
        <v>6.8699999999999997E-2</v>
      </c>
      <c r="F58" s="84">
        <f t="shared" si="5"/>
        <v>1.9300000000000001E-2</v>
      </c>
      <c r="G58" s="85">
        <v>0.24</v>
      </c>
      <c r="H58" s="85">
        <v>0.255</v>
      </c>
      <c r="I58" s="85">
        <v>6.8000000000000005E-2</v>
      </c>
      <c r="J58" s="85">
        <v>1.7999999999999999E-2</v>
      </c>
      <c r="K58" s="25">
        <f>((4/3)*L50)+((8/3)*L62)</f>
        <v>11315</v>
      </c>
      <c r="L58" s="93"/>
    </row>
    <row r="59" spans="1:19">
      <c r="A59" s="19">
        <f t="shared" si="1"/>
        <v>39233</v>
      </c>
      <c r="B59" s="19">
        <f t="shared" si="0"/>
        <v>39598</v>
      </c>
      <c r="C59" s="84">
        <f t="shared" si="2"/>
        <v>0.25280000000000002</v>
      </c>
      <c r="D59" s="84">
        <f t="shared" si="3"/>
        <v>0.26629999999999998</v>
      </c>
      <c r="E59" s="84">
        <f t="shared" si="6"/>
        <v>6.88E-2</v>
      </c>
      <c r="F59" s="84">
        <f t="shared" si="5"/>
        <v>1.95E-2</v>
      </c>
      <c r="G59" s="85">
        <v>0.24</v>
      </c>
      <c r="H59" s="85">
        <v>0.255</v>
      </c>
      <c r="I59" s="85">
        <v>6.8000000000000005E-2</v>
      </c>
      <c r="J59" s="85">
        <v>1.7999999999999999E-2</v>
      </c>
      <c r="K59" s="25">
        <f>((3/3)*L50)+((9/3)*L62)</f>
        <v>11355</v>
      </c>
      <c r="L59" s="93"/>
    </row>
    <row r="60" spans="1:19">
      <c r="A60" s="19">
        <f t="shared" si="1"/>
        <v>39263</v>
      </c>
      <c r="B60" s="19">
        <f t="shared" si="0"/>
        <v>39628</v>
      </c>
      <c r="C60" s="84">
        <f t="shared" si="2"/>
        <v>0.25419999999999998</v>
      </c>
      <c r="D60" s="84">
        <f t="shared" si="3"/>
        <v>0.26750000000000002</v>
      </c>
      <c r="E60" s="84">
        <f t="shared" si="6"/>
        <v>6.88E-2</v>
      </c>
      <c r="F60" s="84">
        <f t="shared" si="5"/>
        <v>1.9699999999999999E-2</v>
      </c>
      <c r="G60" s="85">
        <v>0.24</v>
      </c>
      <c r="H60" s="85">
        <v>0.255</v>
      </c>
      <c r="I60" s="85">
        <v>6.8000000000000005E-2</v>
      </c>
      <c r="J60" s="85">
        <v>1.7999999999999999E-2</v>
      </c>
      <c r="K60" s="25">
        <f>((2/3)*L50)+((10/3)*L62)</f>
        <v>11395</v>
      </c>
      <c r="L60" s="93"/>
    </row>
    <row r="61" spans="1:19">
      <c r="A61" s="19">
        <f t="shared" si="1"/>
        <v>39294</v>
      </c>
      <c r="B61" s="19">
        <f t="shared" si="0"/>
        <v>39659</v>
      </c>
      <c r="C61" s="84">
        <f t="shared" si="2"/>
        <v>0.25559999999999999</v>
      </c>
      <c r="D61" s="84">
        <f t="shared" si="3"/>
        <v>0.26879999999999998</v>
      </c>
      <c r="E61" s="84">
        <f t="shared" si="6"/>
        <v>6.8900000000000003E-2</v>
      </c>
      <c r="F61" s="84">
        <f t="shared" si="5"/>
        <v>1.9800000000000002E-2</v>
      </c>
      <c r="G61" s="85">
        <v>0.24</v>
      </c>
      <c r="H61" s="85">
        <v>0.255</v>
      </c>
      <c r="I61" s="85">
        <v>6.8000000000000005E-2</v>
      </c>
      <c r="J61" s="85">
        <v>1.7999999999999999E-2</v>
      </c>
      <c r="K61" s="25">
        <f>((1/3)*L50)+((11/3)*L62)</f>
        <v>11436</v>
      </c>
      <c r="L61" s="93"/>
    </row>
    <row r="62" spans="1:19" s="78" customFormat="1">
      <c r="A62" s="77">
        <f t="shared" si="1"/>
        <v>39325</v>
      </c>
      <c r="B62" s="77">
        <f t="shared" si="0"/>
        <v>39690</v>
      </c>
      <c r="C62" s="86">
        <f t="shared" si="2"/>
        <v>0.25700000000000001</v>
      </c>
      <c r="D62" s="86">
        <f t="shared" si="3"/>
        <v>0.27</v>
      </c>
      <c r="E62" s="86">
        <f t="shared" si="6"/>
        <v>6.9000000000000006E-2</v>
      </c>
      <c r="F62" s="86">
        <f t="shared" si="5"/>
        <v>0.02</v>
      </c>
      <c r="G62" s="89">
        <v>0.25700000000000001</v>
      </c>
      <c r="H62" s="88">
        <v>0.27</v>
      </c>
      <c r="I62" s="89">
        <v>6.9000000000000006E-2</v>
      </c>
      <c r="J62" s="90">
        <v>0.02</v>
      </c>
      <c r="K62" s="76">
        <f>(L62*4)</f>
        <v>11476</v>
      </c>
      <c r="L62" s="96">
        <v>2869</v>
      </c>
      <c r="O62" s="337"/>
      <c r="P62" s="337"/>
      <c r="R62" s="353"/>
      <c r="S62" s="353"/>
    </row>
    <row r="63" spans="1:19" s="78" customFormat="1">
      <c r="A63" s="77">
        <f t="shared" si="1"/>
        <v>39355</v>
      </c>
      <c r="B63" s="77">
        <f t="shared" si="0"/>
        <v>39720</v>
      </c>
      <c r="C63" s="86">
        <f t="shared" si="2"/>
        <v>0.25740000000000002</v>
      </c>
      <c r="D63" s="86">
        <f t="shared" si="3"/>
        <v>0.2702</v>
      </c>
      <c r="E63" s="86">
        <f t="shared" si="6"/>
        <v>6.9000000000000006E-2</v>
      </c>
      <c r="F63" s="86">
        <f t="shared" si="5"/>
        <v>0.02</v>
      </c>
      <c r="G63" s="87">
        <v>0.25700000000000001</v>
      </c>
      <c r="H63" s="91">
        <v>0.27</v>
      </c>
      <c r="I63" s="87">
        <v>6.9000000000000006E-2</v>
      </c>
      <c r="J63" s="92">
        <v>0.02</v>
      </c>
      <c r="K63" s="76">
        <f>((11/3)*L62)+((1/3)*L74)</f>
        <v>11517</v>
      </c>
      <c r="L63" s="94"/>
      <c r="R63" s="353"/>
      <c r="S63" s="353"/>
    </row>
    <row r="64" spans="1:19" s="78" customFormat="1">
      <c r="A64" s="77">
        <f t="shared" si="1"/>
        <v>39386</v>
      </c>
      <c r="B64" s="77">
        <f t="shared" si="0"/>
        <v>39751</v>
      </c>
      <c r="C64" s="86">
        <f t="shared" si="2"/>
        <v>0.25779999999999997</v>
      </c>
      <c r="D64" s="86">
        <f t="shared" si="3"/>
        <v>0.27029999999999998</v>
      </c>
      <c r="E64" s="86">
        <f t="shared" si="6"/>
        <v>6.9000000000000006E-2</v>
      </c>
      <c r="F64" s="86">
        <f t="shared" si="5"/>
        <v>0.02</v>
      </c>
      <c r="G64" s="87">
        <v>0.25700000000000001</v>
      </c>
      <c r="H64" s="91">
        <v>0.27</v>
      </c>
      <c r="I64" s="87">
        <v>6.9000000000000006E-2</v>
      </c>
      <c r="J64" s="92">
        <v>0.02</v>
      </c>
      <c r="K64" s="76">
        <f>((10/3)*L62)+((2/3)*L74)</f>
        <v>11558</v>
      </c>
      <c r="L64" s="94"/>
      <c r="R64" s="353"/>
      <c r="S64" s="353"/>
    </row>
    <row r="65" spans="1:19" s="78" customFormat="1">
      <c r="A65" s="77">
        <f t="shared" si="1"/>
        <v>39416</v>
      </c>
      <c r="B65" s="77">
        <f t="shared" si="0"/>
        <v>39781</v>
      </c>
      <c r="C65" s="86">
        <f t="shared" si="2"/>
        <v>0.25829999999999997</v>
      </c>
      <c r="D65" s="86">
        <f t="shared" si="3"/>
        <v>0.27050000000000002</v>
      </c>
      <c r="E65" s="86">
        <f t="shared" si="6"/>
        <v>6.9000000000000006E-2</v>
      </c>
      <c r="F65" s="86">
        <f t="shared" si="5"/>
        <v>0.02</v>
      </c>
      <c r="G65" s="87">
        <v>0.25700000000000001</v>
      </c>
      <c r="H65" s="91">
        <v>0.27</v>
      </c>
      <c r="I65" s="87">
        <v>6.9000000000000006E-2</v>
      </c>
      <c r="J65" s="92">
        <v>0.02</v>
      </c>
      <c r="K65" s="76">
        <f>((9/3)*L62)+((3/3)*L74)</f>
        <v>11599</v>
      </c>
      <c r="L65" s="94"/>
      <c r="R65" s="353"/>
      <c r="S65" s="353"/>
    </row>
    <row r="66" spans="1:19" s="78" customFormat="1">
      <c r="A66" s="77">
        <f t="shared" si="1"/>
        <v>39447</v>
      </c>
      <c r="B66" s="77">
        <f t="shared" ref="B66:B129" si="7">EDATE(A66,12)-1</f>
        <v>39812</v>
      </c>
      <c r="C66" s="86">
        <f t="shared" si="2"/>
        <v>0.25869999999999999</v>
      </c>
      <c r="D66" s="86">
        <f t="shared" si="3"/>
        <v>0.2707</v>
      </c>
      <c r="E66" s="86">
        <f t="shared" si="6"/>
        <v>6.9000000000000006E-2</v>
      </c>
      <c r="F66" s="86">
        <f t="shared" si="5"/>
        <v>0.02</v>
      </c>
      <c r="G66" s="87">
        <v>0.25700000000000001</v>
      </c>
      <c r="H66" s="91">
        <v>0.27</v>
      </c>
      <c r="I66" s="87">
        <v>6.9000000000000006E-2</v>
      </c>
      <c r="J66" s="92">
        <v>0.02</v>
      </c>
      <c r="K66" s="76">
        <f>((8/3)*L62)+((4/3)*L74)</f>
        <v>11640</v>
      </c>
      <c r="L66" s="94"/>
      <c r="R66" s="353"/>
      <c r="S66" s="353"/>
    </row>
    <row r="67" spans="1:19" s="78" customFormat="1">
      <c r="A67" s="77">
        <f t="shared" ref="A67:A130" si="8">EDATE(A66,1)</f>
        <v>39478</v>
      </c>
      <c r="B67" s="77">
        <f t="shared" si="7"/>
        <v>39843</v>
      </c>
      <c r="C67" s="86">
        <f t="shared" ref="C67:C130" si="9">AVERAGE(G67:G78)</f>
        <v>0.2591</v>
      </c>
      <c r="D67" s="86">
        <f t="shared" ref="D67:D130" si="10">AVERAGE(H67:H78)</f>
        <v>0.27079999999999999</v>
      </c>
      <c r="E67" s="86">
        <f t="shared" si="6"/>
        <v>6.9000000000000006E-2</v>
      </c>
      <c r="F67" s="86">
        <f t="shared" si="5"/>
        <v>0.02</v>
      </c>
      <c r="G67" s="87">
        <v>0.25700000000000001</v>
      </c>
      <c r="H67" s="91">
        <v>0.27</v>
      </c>
      <c r="I67" s="87">
        <v>6.9000000000000006E-2</v>
      </c>
      <c r="J67" s="92">
        <v>0.02</v>
      </c>
      <c r="K67" s="76">
        <f>((7/3)*L62)+((5/3)*L74)</f>
        <v>11681</v>
      </c>
      <c r="L67" s="94"/>
      <c r="R67" s="353"/>
      <c r="S67" s="353"/>
    </row>
    <row r="68" spans="1:19" s="78" customFormat="1">
      <c r="A68" s="77">
        <f t="shared" si="8"/>
        <v>39507</v>
      </c>
      <c r="B68" s="77">
        <f t="shared" si="7"/>
        <v>39871</v>
      </c>
      <c r="C68" s="86">
        <f t="shared" si="9"/>
        <v>0.25950000000000001</v>
      </c>
      <c r="D68" s="86">
        <f t="shared" si="10"/>
        <v>0.27100000000000002</v>
      </c>
      <c r="E68" s="86">
        <f t="shared" si="6"/>
        <v>6.9000000000000006E-2</v>
      </c>
      <c r="F68" s="86">
        <f t="shared" ref="F68:F131" si="11">AVERAGE(J68:J79)</f>
        <v>0.02</v>
      </c>
      <c r="G68" s="87">
        <v>0.25700000000000001</v>
      </c>
      <c r="H68" s="91">
        <v>0.27</v>
      </c>
      <c r="I68" s="87">
        <v>6.9000000000000006E-2</v>
      </c>
      <c r="J68" s="92">
        <v>0.02</v>
      </c>
      <c r="K68" s="76">
        <f>((6/3)*L62)+((6/3)*L74)</f>
        <v>11722</v>
      </c>
      <c r="L68" s="94"/>
      <c r="R68" s="353"/>
      <c r="S68" s="353"/>
    </row>
    <row r="69" spans="1:19" s="78" customFormat="1">
      <c r="A69" s="77">
        <f t="shared" si="8"/>
        <v>39538</v>
      </c>
      <c r="B69" s="77">
        <f t="shared" si="7"/>
        <v>39902</v>
      </c>
      <c r="C69" s="86">
        <f t="shared" si="9"/>
        <v>0.25990000000000002</v>
      </c>
      <c r="D69" s="86">
        <f t="shared" si="10"/>
        <v>0.2712</v>
      </c>
      <c r="E69" s="86">
        <f t="shared" si="6"/>
        <v>6.9000000000000006E-2</v>
      </c>
      <c r="F69" s="86">
        <f t="shared" si="11"/>
        <v>0.02</v>
      </c>
      <c r="G69" s="87">
        <v>0.25700000000000001</v>
      </c>
      <c r="H69" s="91">
        <v>0.27</v>
      </c>
      <c r="I69" s="87">
        <v>6.9000000000000006E-2</v>
      </c>
      <c r="J69" s="92">
        <v>0.02</v>
      </c>
      <c r="K69" s="76">
        <f>((5/3)*L62)+((7/3)*L74)</f>
        <v>11763</v>
      </c>
      <c r="L69" s="94"/>
      <c r="R69" s="353"/>
      <c r="S69" s="353"/>
    </row>
    <row r="70" spans="1:19" s="78" customFormat="1">
      <c r="A70" s="77">
        <f t="shared" si="8"/>
        <v>39568</v>
      </c>
      <c r="B70" s="77">
        <f t="shared" si="7"/>
        <v>39932</v>
      </c>
      <c r="C70" s="86">
        <f t="shared" si="9"/>
        <v>0.26029999999999998</v>
      </c>
      <c r="D70" s="86">
        <f t="shared" si="10"/>
        <v>0.27129999999999999</v>
      </c>
      <c r="E70" s="86">
        <f t="shared" si="6"/>
        <v>6.9000000000000006E-2</v>
      </c>
      <c r="F70" s="86">
        <f t="shared" si="11"/>
        <v>0.02</v>
      </c>
      <c r="G70" s="87">
        <v>0.25700000000000001</v>
      </c>
      <c r="H70" s="91">
        <v>0.27</v>
      </c>
      <c r="I70" s="87">
        <v>6.9000000000000006E-2</v>
      </c>
      <c r="J70" s="92">
        <v>0.02</v>
      </c>
      <c r="K70" s="76">
        <f>((4/3)*L62)+((8/3)*L74)</f>
        <v>11804</v>
      </c>
      <c r="L70" s="94"/>
      <c r="R70" s="353"/>
      <c r="S70" s="353"/>
    </row>
    <row r="71" spans="1:19" s="78" customFormat="1">
      <c r="A71" s="77">
        <f t="shared" si="8"/>
        <v>39599</v>
      </c>
      <c r="B71" s="77">
        <f t="shared" si="7"/>
        <v>39963</v>
      </c>
      <c r="C71" s="86">
        <f t="shared" si="9"/>
        <v>0.26079999999999998</v>
      </c>
      <c r="D71" s="86">
        <f t="shared" si="10"/>
        <v>0.27150000000000002</v>
      </c>
      <c r="E71" s="86">
        <f t="shared" si="6"/>
        <v>6.9000000000000006E-2</v>
      </c>
      <c r="F71" s="86">
        <f t="shared" si="11"/>
        <v>0.02</v>
      </c>
      <c r="G71" s="87">
        <v>0.25700000000000001</v>
      </c>
      <c r="H71" s="91">
        <v>0.27</v>
      </c>
      <c r="I71" s="87">
        <v>6.9000000000000006E-2</v>
      </c>
      <c r="J71" s="92">
        <v>0.02</v>
      </c>
      <c r="K71" s="76">
        <f>((3/3)*L62)+((9/3)*L74)</f>
        <v>11845</v>
      </c>
      <c r="L71" s="94"/>
      <c r="R71" s="353"/>
      <c r="S71" s="353"/>
    </row>
    <row r="72" spans="1:19" s="78" customFormat="1">
      <c r="A72" s="77">
        <f t="shared" si="8"/>
        <v>39629</v>
      </c>
      <c r="B72" s="77">
        <f t="shared" si="7"/>
        <v>39993</v>
      </c>
      <c r="C72" s="86">
        <f t="shared" si="9"/>
        <v>0.26119999999999999</v>
      </c>
      <c r="D72" s="86">
        <f t="shared" si="10"/>
        <v>0.2717</v>
      </c>
      <c r="E72" s="86">
        <f t="shared" si="6"/>
        <v>6.9000000000000006E-2</v>
      </c>
      <c r="F72" s="86">
        <f t="shared" si="11"/>
        <v>0.02</v>
      </c>
      <c r="G72" s="87">
        <v>0.25700000000000001</v>
      </c>
      <c r="H72" s="91">
        <v>0.27</v>
      </c>
      <c r="I72" s="87">
        <v>6.9000000000000006E-2</v>
      </c>
      <c r="J72" s="92">
        <v>0.02</v>
      </c>
      <c r="K72" s="76">
        <f>((2/3)*L62)+((10/3)*L74)</f>
        <v>11886</v>
      </c>
      <c r="L72" s="94"/>
      <c r="R72" s="353"/>
      <c r="S72" s="353"/>
    </row>
    <row r="73" spans="1:19" s="78" customFormat="1">
      <c r="A73" s="77">
        <f t="shared" si="8"/>
        <v>39660</v>
      </c>
      <c r="B73" s="77">
        <f t="shared" si="7"/>
        <v>40024</v>
      </c>
      <c r="C73" s="86">
        <f t="shared" si="9"/>
        <v>0.2616</v>
      </c>
      <c r="D73" s="86">
        <f t="shared" si="10"/>
        <v>0.27179999999999999</v>
      </c>
      <c r="E73" s="86">
        <f t="shared" si="6"/>
        <v>6.9000000000000006E-2</v>
      </c>
      <c r="F73" s="86">
        <f t="shared" si="11"/>
        <v>0.02</v>
      </c>
      <c r="G73" s="338">
        <v>0.25700000000000001</v>
      </c>
      <c r="H73" s="339">
        <v>0.27</v>
      </c>
      <c r="I73" s="338">
        <v>6.9000000000000006E-2</v>
      </c>
      <c r="J73" s="340">
        <v>0.02</v>
      </c>
      <c r="K73" s="76">
        <f>((1/3)*L62)+((11/3)*L74)</f>
        <v>11927</v>
      </c>
      <c r="L73" s="94"/>
      <c r="R73" s="353"/>
      <c r="S73" s="353"/>
    </row>
    <row r="74" spans="1:19">
      <c r="A74" s="19">
        <f t="shared" si="8"/>
        <v>39691</v>
      </c>
      <c r="B74" s="19">
        <f t="shared" si="7"/>
        <v>40055</v>
      </c>
      <c r="C74" s="84">
        <f t="shared" si="9"/>
        <v>0.26200000000000001</v>
      </c>
      <c r="D74" s="84">
        <f t="shared" si="10"/>
        <v>0.27200000000000002</v>
      </c>
      <c r="E74" s="84">
        <f t="shared" si="6"/>
        <v>6.9000000000000006E-2</v>
      </c>
      <c r="F74" s="84">
        <f t="shared" si="11"/>
        <v>0.02</v>
      </c>
      <c r="G74" s="341">
        <v>0.26200000000000001</v>
      </c>
      <c r="H74" s="342">
        <v>0.27200000000000002</v>
      </c>
      <c r="I74" s="341">
        <v>6.9000000000000006E-2</v>
      </c>
      <c r="J74" s="343">
        <v>0.02</v>
      </c>
      <c r="K74" s="25">
        <f>(L74*4)</f>
        <v>11968</v>
      </c>
      <c r="L74" s="97">
        <v>2992</v>
      </c>
    </row>
    <row r="75" spans="1:19">
      <c r="A75" s="19">
        <f t="shared" si="8"/>
        <v>39721</v>
      </c>
      <c r="B75" s="19">
        <f t="shared" si="7"/>
        <v>40085</v>
      </c>
      <c r="C75" s="84">
        <f t="shared" si="9"/>
        <v>0.26269999999999999</v>
      </c>
      <c r="D75" s="84">
        <f t="shared" si="10"/>
        <v>0.27200000000000002</v>
      </c>
      <c r="E75" s="84">
        <f t="shared" si="6"/>
        <v>6.8699999999999997E-2</v>
      </c>
      <c r="F75" s="84">
        <f t="shared" si="11"/>
        <v>0.02</v>
      </c>
      <c r="G75" s="85">
        <v>0.26200000000000001</v>
      </c>
      <c r="H75" s="344">
        <v>0.27200000000000002</v>
      </c>
      <c r="I75" s="85">
        <v>6.9000000000000006E-2</v>
      </c>
      <c r="J75" s="345">
        <v>0.02</v>
      </c>
      <c r="K75" s="25">
        <f>((11/3)*L74)+((1/3)*L86)</f>
        <v>12008</v>
      </c>
      <c r="L75" s="93"/>
    </row>
    <row r="76" spans="1:19">
      <c r="A76" s="19">
        <f t="shared" si="8"/>
        <v>39752</v>
      </c>
      <c r="B76" s="19">
        <f t="shared" si="7"/>
        <v>40116</v>
      </c>
      <c r="C76" s="84">
        <f t="shared" si="9"/>
        <v>0.26329999999999998</v>
      </c>
      <c r="D76" s="84">
        <f t="shared" si="10"/>
        <v>0.27200000000000002</v>
      </c>
      <c r="E76" s="84">
        <f t="shared" si="6"/>
        <v>6.83E-2</v>
      </c>
      <c r="F76" s="84">
        <f t="shared" si="11"/>
        <v>0.02</v>
      </c>
      <c r="G76" s="85">
        <v>0.26200000000000001</v>
      </c>
      <c r="H76" s="344">
        <v>0.27200000000000002</v>
      </c>
      <c r="I76" s="85">
        <v>6.9000000000000006E-2</v>
      </c>
      <c r="J76" s="345">
        <v>0.02</v>
      </c>
      <c r="K76" s="25">
        <f>((10/3)*L74)+((2/3)*L86)</f>
        <v>12049</v>
      </c>
      <c r="L76" s="93"/>
    </row>
    <row r="77" spans="1:19">
      <c r="A77" s="19">
        <f t="shared" si="8"/>
        <v>39782</v>
      </c>
      <c r="B77" s="19">
        <f t="shared" si="7"/>
        <v>40146</v>
      </c>
      <c r="C77" s="84">
        <f t="shared" si="9"/>
        <v>0.26400000000000001</v>
      </c>
      <c r="D77" s="84">
        <f t="shared" si="10"/>
        <v>0.27200000000000002</v>
      </c>
      <c r="E77" s="84">
        <f t="shared" si="6"/>
        <v>6.8000000000000005E-2</v>
      </c>
      <c r="F77" s="84">
        <f t="shared" si="11"/>
        <v>0.02</v>
      </c>
      <c r="G77" s="85">
        <v>0.26200000000000001</v>
      </c>
      <c r="H77" s="344">
        <v>0.27200000000000002</v>
      </c>
      <c r="I77" s="85">
        <v>6.9000000000000006E-2</v>
      </c>
      <c r="J77" s="345">
        <v>0.02</v>
      </c>
      <c r="K77" s="25">
        <f>((9/3)*L74)+((3/3)*L86)</f>
        <v>12089</v>
      </c>
      <c r="L77" s="93"/>
    </row>
    <row r="78" spans="1:19">
      <c r="A78" s="19">
        <f t="shared" si="8"/>
        <v>39813</v>
      </c>
      <c r="B78" s="19">
        <f t="shared" si="7"/>
        <v>40177</v>
      </c>
      <c r="C78" s="84">
        <f t="shared" si="9"/>
        <v>0.26469999999999999</v>
      </c>
      <c r="D78" s="84">
        <f t="shared" si="10"/>
        <v>0.27200000000000002</v>
      </c>
      <c r="E78" s="84">
        <f t="shared" si="6"/>
        <v>6.7699999999999996E-2</v>
      </c>
      <c r="F78" s="84">
        <f t="shared" si="11"/>
        <v>0.02</v>
      </c>
      <c r="G78" s="85">
        <v>0.26200000000000001</v>
      </c>
      <c r="H78" s="344">
        <v>0.27200000000000002</v>
      </c>
      <c r="I78" s="85">
        <v>6.9000000000000006E-2</v>
      </c>
      <c r="J78" s="345">
        <v>0.02</v>
      </c>
      <c r="K78" s="25">
        <f>((8/3)*L74)+((4/3)*L86)</f>
        <v>12129</v>
      </c>
      <c r="L78" s="93"/>
    </row>
    <row r="79" spans="1:19">
      <c r="A79" s="19">
        <f t="shared" si="8"/>
        <v>39844</v>
      </c>
      <c r="B79" s="19">
        <f t="shared" si="7"/>
        <v>40208</v>
      </c>
      <c r="C79" s="84">
        <f t="shared" si="9"/>
        <v>0.26529999999999998</v>
      </c>
      <c r="D79" s="84">
        <f t="shared" si="10"/>
        <v>0.27200000000000002</v>
      </c>
      <c r="E79" s="84">
        <f t="shared" si="6"/>
        <v>6.7299999999999999E-2</v>
      </c>
      <c r="F79" s="84">
        <f t="shared" si="11"/>
        <v>0.02</v>
      </c>
      <c r="G79" s="85">
        <v>0.26200000000000001</v>
      </c>
      <c r="H79" s="344">
        <v>0.27200000000000002</v>
      </c>
      <c r="I79" s="85">
        <v>6.9000000000000006E-2</v>
      </c>
      <c r="J79" s="345">
        <v>0.02</v>
      </c>
      <c r="K79" s="25">
        <f>((7/3)*L74)+((5/3)*L86)</f>
        <v>12170</v>
      </c>
      <c r="L79" s="93"/>
    </row>
    <row r="80" spans="1:19">
      <c r="A80" s="19">
        <f t="shared" si="8"/>
        <v>39872</v>
      </c>
      <c r="B80" s="19">
        <f t="shared" si="7"/>
        <v>40236</v>
      </c>
      <c r="C80" s="84">
        <f t="shared" si="9"/>
        <v>0.26600000000000001</v>
      </c>
      <c r="D80" s="84">
        <f t="shared" si="10"/>
        <v>0.27200000000000002</v>
      </c>
      <c r="E80" s="84">
        <f t="shared" si="6"/>
        <v>6.7000000000000004E-2</v>
      </c>
      <c r="F80" s="84">
        <f t="shared" si="11"/>
        <v>0.02</v>
      </c>
      <c r="G80" s="85">
        <v>0.26200000000000001</v>
      </c>
      <c r="H80" s="344">
        <v>0.27200000000000002</v>
      </c>
      <c r="I80" s="85">
        <v>6.9000000000000006E-2</v>
      </c>
      <c r="J80" s="345">
        <v>0.02</v>
      </c>
      <c r="K80" s="25">
        <f>((6/3)*L74)+((6/3)*L86)</f>
        <v>12210</v>
      </c>
      <c r="L80" s="93"/>
    </row>
    <row r="81" spans="1:19">
      <c r="A81" s="19">
        <f t="shared" si="8"/>
        <v>39903</v>
      </c>
      <c r="B81" s="19">
        <f t="shared" si="7"/>
        <v>40267</v>
      </c>
      <c r="C81" s="84">
        <f t="shared" si="9"/>
        <v>0.26669999999999999</v>
      </c>
      <c r="D81" s="84">
        <f t="shared" si="10"/>
        <v>0.27200000000000002</v>
      </c>
      <c r="E81" s="84">
        <f t="shared" si="6"/>
        <v>6.6699999999999995E-2</v>
      </c>
      <c r="F81" s="84">
        <f t="shared" si="11"/>
        <v>0.02</v>
      </c>
      <c r="G81" s="85">
        <v>0.26200000000000001</v>
      </c>
      <c r="H81" s="344">
        <v>0.27200000000000002</v>
      </c>
      <c r="I81" s="85">
        <v>6.9000000000000006E-2</v>
      </c>
      <c r="J81" s="345">
        <v>0.02</v>
      </c>
      <c r="K81" s="25">
        <f>((5/3)*L74)+((7/3)*L86)</f>
        <v>12250</v>
      </c>
      <c r="L81" s="93"/>
    </row>
    <row r="82" spans="1:19">
      <c r="A82" s="19">
        <f t="shared" si="8"/>
        <v>39933</v>
      </c>
      <c r="B82" s="19">
        <f t="shared" si="7"/>
        <v>40297</v>
      </c>
      <c r="C82" s="84">
        <f t="shared" si="9"/>
        <v>0.26729999999999998</v>
      </c>
      <c r="D82" s="84">
        <f t="shared" si="10"/>
        <v>0.27200000000000002</v>
      </c>
      <c r="E82" s="84">
        <f t="shared" si="6"/>
        <v>6.6299999999999998E-2</v>
      </c>
      <c r="F82" s="84">
        <f t="shared" si="11"/>
        <v>0.02</v>
      </c>
      <c r="G82" s="85">
        <v>0.26200000000000001</v>
      </c>
      <c r="H82" s="344">
        <v>0.27200000000000002</v>
      </c>
      <c r="I82" s="85">
        <v>6.9000000000000006E-2</v>
      </c>
      <c r="J82" s="345">
        <v>0.02</v>
      </c>
      <c r="K82" s="25">
        <f>((4/3)*L74)+((8/3)*L86)</f>
        <v>12291</v>
      </c>
      <c r="L82" s="93"/>
    </row>
    <row r="83" spans="1:19">
      <c r="A83" s="19">
        <f t="shared" si="8"/>
        <v>39964</v>
      </c>
      <c r="B83" s="19">
        <f t="shared" si="7"/>
        <v>40328</v>
      </c>
      <c r="C83" s="84">
        <f t="shared" si="9"/>
        <v>0.26800000000000002</v>
      </c>
      <c r="D83" s="84">
        <f t="shared" si="10"/>
        <v>0.27200000000000002</v>
      </c>
      <c r="E83" s="84">
        <f t="shared" ref="E83:E146" si="12">AVERAGE(I83:I94)</f>
        <v>6.6000000000000003E-2</v>
      </c>
      <c r="F83" s="84">
        <f t="shared" si="11"/>
        <v>0.02</v>
      </c>
      <c r="G83" s="85">
        <v>0.26200000000000001</v>
      </c>
      <c r="H83" s="344">
        <v>0.27200000000000002</v>
      </c>
      <c r="I83" s="85">
        <v>6.9000000000000006E-2</v>
      </c>
      <c r="J83" s="345">
        <v>0.02</v>
      </c>
      <c r="K83" s="25">
        <f>((3/3)*L74)+((9/3)*L86)</f>
        <v>12331</v>
      </c>
      <c r="L83" s="93"/>
    </row>
    <row r="84" spans="1:19">
      <c r="A84" s="19">
        <f t="shared" si="8"/>
        <v>39994</v>
      </c>
      <c r="B84" s="19">
        <f t="shared" si="7"/>
        <v>40358</v>
      </c>
      <c r="C84" s="84">
        <f t="shared" si="9"/>
        <v>0.26869999999999999</v>
      </c>
      <c r="D84" s="84">
        <f t="shared" si="10"/>
        <v>0.27200000000000002</v>
      </c>
      <c r="E84" s="84">
        <f t="shared" si="12"/>
        <v>6.5699999999999995E-2</v>
      </c>
      <c r="F84" s="84">
        <f t="shared" si="11"/>
        <v>0.02</v>
      </c>
      <c r="G84" s="85">
        <v>0.26200000000000001</v>
      </c>
      <c r="H84" s="344">
        <v>0.27200000000000002</v>
      </c>
      <c r="I84" s="85">
        <v>6.9000000000000006E-2</v>
      </c>
      <c r="J84" s="345">
        <v>0.02</v>
      </c>
      <c r="K84" s="25">
        <f>((2/3)*L74)+((10/3)*L86)</f>
        <v>12371</v>
      </c>
      <c r="L84" s="93"/>
    </row>
    <row r="85" spans="1:19">
      <c r="A85" s="19">
        <f t="shared" si="8"/>
        <v>40025</v>
      </c>
      <c r="B85" s="19">
        <f t="shared" si="7"/>
        <v>40389</v>
      </c>
      <c r="C85" s="84">
        <f t="shared" si="9"/>
        <v>0.26929999999999998</v>
      </c>
      <c r="D85" s="84">
        <f t="shared" si="10"/>
        <v>0.27200000000000002</v>
      </c>
      <c r="E85" s="84">
        <f t="shared" si="12"/>
        <v>6.5299999999999997E-2</v>
      </c>
      <c r="F85" s="84">
        <f t="shared" si="11"/>
        <v>0.02</v>
      </c>
      <c r="G85" s="346">
        <v>0.26200000000000001</v>
      </c>
      <c r="H85" s="347">
        <v>0.27200000000000002</v>
      </c>
      <c r="I85" s="346">
        <v>6.9000000000000006E-2</v>
      </c>
      <c r="J85" s="348">
        <v>0.02</v>
      </c>
      <c r="K85" s="25">
        <f>((1/3)*L74)+((11/3)*L86)</f>
        <v>12412</v>
      </c>
      <c r="L85" s="93"/>
    </row>
    <row r="86" spans="1:19" s="78" customFormat="1">
      <c r="A86" s="77">
        <f t="shared" si="8"/>
        <v>40056</v>
      </c>
      <c r="B86" s="77">
        <f t="shared" si="7"/>
        <v>40420</v>
      </c>
      <c r="C86" s="86">
        <f t="shared" si="9"/>
        <v>0.27</v>
      </c>
      <c r="D86" s="86">
        <f t="shared" si="10"/>
        <v>0.27200000000000002</v>
      </c>
      <c r="E86" s="86">
        <f t="shared" si="12"/>
        <v>6.5000000000000002E-2</v>
      </c>
      <c r="F86" s="86">
        <f t="shared" si="11"/>
        <v>0.02</v>
      </c>
      <c r="G86" s="87">
        <v>0.27</v>
      </c>
      <c r="H86" s="349">
        <v>0.27200000000000002</v>
      </c>
      <c r="I86" s="87">
        <v>6.5000000000000002E-2</v>
      </c>
      <c r="J86" s="350">
        <v>0.02</v>
      </c>
      <c r="K86" s="76">
        <f>(L86*4)</f>
        <v>12452</v>
      </c>
      <c r="L86" s="96">
        <v>3113</v>
      </c>
      <c r="R86" s="353"/>
      <c r="S86" s="353"/>
    </row>
    <row r="87" spans="1:19" s="78" customFormat="1">
      <c r="A87" s="77">
        <f t="shared" si="8"/>
        <v>40086</v>
      </c>
      <c r="B87" s="77">
        <f t="shared" si="7"/>
        <v>40450</v>
      </c>
      <c r="C87" s="86">
        <f t="shared" si="9"/>
        <v>0.2707</v>
      </c>
      <c r="D87" s="86">
        <f t="shared" si="10"/>
        <v>0.27200000000000002</v>
      </c>
      <c r="E87" s="86">
        <f t="shared" si="12"/>
        <v>6.4699999999999994E-2</v>
      </c>
      <c r="F87" s="86">
        <f t="shared" si="11"/>
        <v>2.0299999999999999E-2</v>
      </c>
      <c r="G87" s="87">
        <v>0.27</v>
      </c>
      <c r="H87" s="349">
        <v>0.27200000000000002</v>
      </c>
      <c r="I87" s="87">
        <v>6.5000000000000002E-2</v>
      </c>
      <c r="J87" s="350">
        <v>0.02</v>
      </c>
      <c r="K87" s="76">
        <f>((11/3)*L86)+((1/3)*L98)</f>
        <v>12491</v>
      </c>
      <c r="L87" s="94"/>
      <c r="R87" s="353"/>
      <c r="S87" s="353"/>
    </row>
    <row r="88" spans="1:19" s="78" customFormat="1">
      <c r="A88" s="77">
        <f t="shared" si="8"/>
        <v>40117</v>
      </c>
      <c r="B88" s="77">
        <f t="shared" si="7"/>
        <v>40481</v>
      </c>
      <c r="C88" s="86">
        <f t="shared" si="9"/>
        <v>0.27129999999999999</v>
      </c>
      <c r="D88" s="86">
        <f t="shared" si="10"/>
        <v>0.27200000000000002</v>
      </c>
      <c r="E88" s="86">
        <f t="shared" si="12"/>
        <v>6.4299999999999996E-2</v>
      </c>
      <c r="F88" s="86">
        <f t="shared" si="11"/>
        <v>2.0500000000000001E-2</v>
      </c>
      <c r="G88" s="87">
        <v>0.27</v>
      </c>
      <c r="H88" s="349">
        <v>0.27200000000000002</v>
      </c>
      <c r="I88" s="87">
        <v>6.5000000000000002E-2</v>
      </c>
      <c r="J88" s="350">
        <v>0.02</v>
      </c>
      <c r="K88" s="76">
        <f>((10/3)*L86)+((2/3)*L98)</f>
        <v>12531</v>
      </c>
      <c r="L88" s="94"/>
      <c r="R88" s="353"/>
      <c r="S88" s="353"/>
    </row>
    <row r="89" spans="1:19" s="78" customFormat="1">
      <c r="A89" s="77">
        <f t="shared" si="8"/>
        <v>40147</v>
      </c>
      <c r="B89" s="77">
        <f t="shared" si="7"/>
        <v>40511</v>
      </c>
      <c r="C89" s="86">
        <f t="shared" si="9"/>
        <v>0.27200000000000002</v>
      </c>
      <c r="D89" s="86">
        <f t="shared" si="10"/>
        <v>0.27200000000000002</v>
      </c>
      <c r="E89" s="86">
        <f t="shared" si="12"/>
        <v>6.4000000000000001E-2</v>
      </c>
      <c r="F89" s="86">
        <f t="shared" si="11"/>
        <v>2.0799999999999999E-2</v>
      </c>
      <c r="G89" s="87">
        <v>0.27</v>
      </c>
      <c r="H89" s="349">
        <v>0.27200000000000002</v>
      </c>
      <c r="I89" s="87">
        <v>6.5000000000000002E-2</v>
      </c>
      <c r="J89" s="350">
        <v>0.02</v>
      </c>
      <c r="K89" s="76">
        <f>((9/3)*L86)+((3/3)*L98)</f>
        <v>12570</v>
      </c>
      <c r="L89" s="94"/>
      <c r="R89" s="353"/>
      <c r="S89" s="353"/>
    </row>
    <row r="90" spans="1:19" s="78" customFormat="1">
      <c r="A90" s="77">
        <f t="shared" si="8"/>
        <v>40178</v>
      </c>
      <c r="B90" s="77">
        <f t="shared" si="7"/>
        <v>40542</v>
      </c>
      <c r="C90" s="86">
        <f t="shared" si="9"/>
        <v>0.2727</v>
      </c>
      <c r="D90" s="86">
        <f t="shared" si="10"/>
        <v>0.27200000000000002</v>
      </c>
      <c r="E90" s="86">
        <f t="shared" si="12"/>
        <v>6.3700000000000007E-2</v>
      </c>
      <c r="F90" s="86">
        <f t="shared" si="11"/>
        <v>2.1000000000000001E-2</v>
      </c>
      <c r="G90" s="87">
        <v>0.27</v>
      </c>
      <c r="H90" s="349">
        <v>0.27200000000000002</v>
      </c>
      <c r="I90" s="87">
        <v>6.5000000000000002E-2</v>
      </c>
      <c r="J90" s="350">
        <v>0.02</v>
      </c>
      <c r="K90" s="76">
        <f>((8/3)*L86)+((4/3)*L98)</f>
        <v>12609</v>
      </c>
      <c r="L90" s="94"/>
      <c r="R90" s="353"/>
      <c r="S90" s="353"/>
    </row>
    <row r="91" spans="1:19" s="78" customFormat="1">
      <c r="A91" s="77">
        <f t="shared" si="8"/>
        <v>40209</v>
      </c>
      <c r="B91" s="77">
        <f t="shared" si="7"/>
        <v>40573</v>
      </c>
      <c r="C91" s="86">
        <f t="shared" si="9"/>
        <v>0.27329999999999999</v>
      </c>
      <c r="D91" s="86">
        <f t="shared" si="10"/>
        <v>0.27200000000000002</v>
      </c>
      <c r="E91" s="86">
        <f t="shared" si="12"/>
        <v>6.3299999999999995E-2</v>
      </c>
      <c r="F91" s="86">
        <f t="shared" si="11"/>
        <v>2.1299999999999999E-2</v>
      </c>
      <c r="G91" s="87">
        <v>0.27</v>
      </c>
      <c r="H91" s="349">
        <v>0.27200000000000002</v>
      </c>
      <c r="I91" s="87">
        <v>6.5000000000000002E-2</v>
      </c>
      <c r="J91" s="350">
        <v>0.02</v>
      </c>
      <c r="K91" s="76">
        <f>((7/3)*L86)+((5/3)*L98)</f>
        <v>12649</v>
      </c>
      <c r="L91" s="94"/>
      <c r="R91" s="353"/>
      <c r="S91" s="353"/>
    </row>
    <row r="92" spans="1:19" s="78" customFormat="1">
      <c r="A92" s="77">
        <f t="shared" si="8"/>
        <v>40237</v>
      </c>
      <c r="B92" s="77">
        <f t="shared" si="7"/>
        <v>40601</v>
      </c>
      <c r="C92" s="86">
        <f t="shared" si="9"/>
        <v>0.27400000000000002</v>
      </c>
      <c r="D92" s="86">
        <f t="shared" si="10"/>
        <v>0.27200000000000002</v>
      </c>
      <c r="E92" s="86">
        <f t="shared" si="12"/>
        <v>6.3E-2</v>
      </c>
      <c r="F92" s="86">
        <f t="shared" si="11"/>
        <v>2.1499999999999998E-2</v>
      </c>
      <c r="G92" s="87">
        <v>0.27</v>
      </c>
      <c r="H92" s="349">
        <v>0.27200000000000002</v>
      </c>
      <c r="I92" s="87">
        <v>6.5000000000000002E-2</v>
      </c>
      <c r="J92" s="350">
        <v>0.02</v>
      </c>
      <c r="K92" s="76">
        <f>((6/3)*L86)+((6/3)*L98)</f>
        <v>12688</v>
      </c>
      <c r="L92" s="94"/>
      <c r="R92" s="353"/>
      <c r="S92" s="353"/>
    </row>
    <row r="93" spans="1:19" s="78" customFormat="1">
      <c r="A93" s="77">
        <f t="shared" si="8"/>
        <v>40268</v>
      </c>
      <c r="B93" s="77">
        <f t="shared" si="7"/>
        <v>40632</v>
      </c>
      <c r="C93" s="86">
        <f t="shared" si="9"/>
        <v>0.2747</v>
      </c>
      <c r="D93" s="86">
        <f t="shared" si="10"/>
        <v>0.27200000000000002</v>
      </c>
      <c r="E93" s="86">
        <f t="shared" si="12"/>
        <v>6.2700000000000006E-2</v>
      </c>
      <c r="F93" s="86">
        <f t="shared" si="11"/>
        <v>2.18E-2</v>
      </c>
      <c r="G93" s="87">
        <v>0.27</v>
      </c>
      <c r="H93" s="349">
        <v>0.27200000000000002</v>
      </c>
      <c r="I93" s="87">
        <v>6.5000000000000002E-2</v>
      </c>
      <c r="J93" s="350">
        <v>0.02</v>
      </c>
      <c r="K93" s="76">
        <f>((5/3)*L86)+((7/3)*L98)</f>
        <v>12727</v>
      </c>
      <c r="L93" s="94"/>
      <c r="R93" s="353"/>
      <c r="S93" s="353"/>
    </row>
    <row r="94" spans="1:19" s="78" customFormat="1">
      <c r="A94" s="77">
        <f t="shared" si="8"/>
        <v>40298</v>
      </c>
      <c r="B94" s="77">
        <f t="shared" si="7"/>
        <v>40662</v>
      </c>
      <c r="C94" s="86">
        <f t="shared" si="9"/>
        <v>0.27529999999999999</v>
      </c>
      <c r="D94" s="86">
        <f t="shared" si="10"/>
        <v>0.27200000000000002</v>
      </c>
      <c r="E94" s="86">
        <f t="shared" si="12"/>
        <v>6.2300000000000001E-2</v>
      </c>
      <c r="F94" s="86">
        <f t="shared" si="11"/>
        <v>2.1999999999999999E-2</v>
      </c>
      <c r="G94" s="87">
        <v>0.27</v>
      </c>
      <c r="H94" s="349">
        <v>0.27200000000000002</v>
      </c>
      <c r="I94" s="87">
        <v>6.5000000000000002E-2</v>
      </c>
      <c r="J94" s="350">
        <v>0.02</v>
      </c>
      <c r="K94" s="76">
        <f>((4/3)*L86)+((8/3)*L98)</f>
        <v>12767</v>
      </c>
      <c r="L94" s="94"/>
      <c r="R94" s="353"/>
      <c r="S94" s="353"/>
    </row>
    <row r="95" spans="1:19" s="78" customFormat="1">
      <c r="A95" s="77">
        <f t="shared" si="8"/>
        <v>40329</v>
      </c>
      <c r="B95" s="77">
        <f t="shared" si="7"/>
        <v>40693</v>
      </c>
      <c r="C95" s="86">
        <f t="shared" si="9"/>
        <v>0.27600000000000002</v>
      </c>
      <c r="D95" s="86">
        <f t="shared" si="10"/>
        <v>0.27200000000000002</v>
      </c>
      <c r="E95" s="86">
        <f t="shared" si="12"/>
        <v>6.2E-2</v>
      </c>
      <c r="F95" s="86">
        <f t="shared" si="11"/>
        <v>2.23E-2</v>
      </c>
      <c r="G95" s="87">
        <v>0.27</v>
      </c>
      <c r="H95" s="349">
        <v>0.27200000000000002</v>
      </c>
      <c r="I95" s="87">
        <v>6.5000000000000002E-2</v>
      </c>
      <c r="J95" s="350">
        <v>0.02</v>
      </c>
      <c r="K95" s="76">
        <f>((3/3)*L86)+((9/3)*L98)</f>
        <v>12806</v>
      </c>
      <c r="L95" s="94"/>
      <c r="R95" s="353"/>
      <c r="S95" s="353"/>
    </row>
    <row r="96" spans="1:19" s="78" customFormat="1">
      <c r="A96" s="77">
        <f t="shared" si="8"/>
        <v>40359</v>
      </c>
      <c r="B96" s="77">
        <f t="shared" si="7"/>
        <v>40723</v>
      </c>
      <c r="C96" s="86">
        <f t="shared" si="9"/>
        <v>0.2767</v>
      </c>
      <c r="D96" s="86">
        <f t="shared" si="10"/>
        <v>0.27200000000000002</v>
      </c>
      <c r="E96" s="86">
        <f t="shared" si="12"/>
        <v>6.1699999999999998E-2</v>
      </c>
      <c r="F96" s="86">
        <f t="shared" si="11"/>
        <v>2.2499999999999999E-2</v>
      </c>
      <c r="G96" s="87">
        <v>0.27</v>
      </c>
      <c r="H96" s="349">
        <v>0.27200000000000002</v>
      </c>
      <c r="I96" s="87">
        <v>6.5000000000000002E-2</v>
      </c>
      <c r="J96" s="350">
        <v>0.02</v>
      </c>
      <c r="K96" s="76">
        <f>((2/3)*L86)+((10/3)*L98)</f>
        <v>12845</v>
      </c>
      <c r="L96" s="94"/>
      <c r="R96" s="353"/>
      <c r="S96" s="353"/>
    </row>
    <row r="97" spans="1:19" s="78" customFormat="1">
      <c r="A97" s="77">
        <f t="shared" si="8"/>
        <v>40390</v>
      </c>
      <c r="B97" s="77">
        <f t="shared" si="7"/>
        <v>40754</v>
      </c>
      <c r="C97" s="86">
        <f t="shared" si="9"/>
        <v>0.27729999999999999</v>
      </c>
      <c r="D97" s="86">
        <f t="shared" si="10"/>
        <v>0.27200000000000002</v>
      </c>
      <c r="E97" s="86">
        <f t="shared" si="12"/>
        <v>6.13E-2</v>
      </c>
      <c r="F97" s="86">
        <f t="shared" si="11"/>
        <v>2.2800000000000001E-2</v>
      </c>
      <c r="G97" s="87">
        <v>0.27</v>
      </c>
      <c r="H97" s="349">
        <v>0.27200000000000002</v>
      </c>
      <c r="I97" s="87">
        <v>6.5000000000000002E-2</v>
      </c>
      <c r="J97" s="350">
        <v>0.02</v>
      </c>
      <c r="K97" s="76">
        <f>((1/3)*L86)+((11/3)*L98)</f>
        <v>12885</v>
      </c>
      <c r="L97" s="94"/>
      <c r="R97" s="353"/>
      <c r="S97" s="353"/>
    </row>
    <row r="98" spans="1:19">
      <c r="A98" s="19">
        <f t="shared" si="8"/>
        <v>40421</v>
      </c>
      <c r="B98" s="19">
        <f t="shared" si="7"/>
        <v>40785</v>
      </c>
      <c r="C98" s="84">
        <f t="shared" si="9"/>
        <v>0.27800000000000002</v>
      </c>
      <c r="D98" s="84">
        <f t="shared" si="10"/>
        <v>0.27200000000000002</v>
      </c>
      <c r="E98" s="84">
        <f t="shared" si="12"/>
        <v>6.0999999999999999E-2</v>
      </c>
      <c r="F98" s="84">
        <f t="shared" si="11"/>
        <v>2.3E-2</v>
      </c>
      <c r="G98" s="85">
        <v>0.27800000000000002</v>
      </c>
      <c r="H98" s="351">
        <v>0.27200000000000002</v>
      </c>
      <c r="I98" s="85">
        <v>6.0999999999999999E-2</v>
      </c>
      <c r="J98" s="352">
        <v>2.3E-2</v>
      </c>
      <c r="K98" s="25">
        <f>(L98*4)</f>
        <v>12924</v>
      </c>
      <c r="L98" s="97">
        <v>3231</v>
      </c>
      <c r="M98" s="80"/>
      <c r="N98" s="80"/>
      <c r="O98" s="80"/>
      <c r="P98" s="80"/>
    </row>
    <row r="99" spans="1:19">
      <c r="A99" s="19">
        <f t="shared" si="8"/>
        <v>40451</v>
      </c>
      <c r="B99" s="19">
        <f t="shared" si="7"/>
        <v>40815</v>
      </c>
      <c r="C99" s="84">
        <f t="shared" si="9"/>
        <v>0.27539999999999998</v>
      </c>
      <c r="D99" s="84">
        <f t="shared" si="10"/>
        <v>0.27200000000000002</v>
      </c>
      <c r="E99" s="84">
        <f t="shared" si="12"/>
        <v>6.0999999999999999E-2</v>
      </c>
      <c r="F99" s="84">
        <f t="shared" si="11"/>
        <v>2.3E-2</v>
      </c>
      <c r="G99" s="85">
        <v>0.27800000000000002</v>
      </c>
      <c r="H99" s="351">
        <v>0.27200000000000002</v>
      </c>
      <c r="I99" s="85">
        <v>6.0999999999999999E-2</v>
      </c>
      <c r="J99" s="352">
        <v>2.3E-2</v>
      </c>
      <c r="K99" s="25">
        <f>((11/3)*L98)+((1/3)*L110)</f>
        <v>12965</v>
      </c>
      <c r="L99" s="93"/>
      <c r="M99" s="80"/>
      <c r="N99" s="80"/>
      <c r="O99" s="80"/>
      <c r="P99" s="80"/>
    </row>
    <row r="100" spans="1:19">
      <c r="A100" s="19">
        <f t="shared" si="8"/>
        <v>40482</v>
      </c>
      <c r="B100" s="19">
        <f t="shared" si="7"/>
        <v>40846</v>
      </c>
      <c r="C100" s="84">
        <f t="shared" si="9"/>
        <v>0.27279999999999999</v>
      </c>
      <c r="D100" s="84">
        <f t="shared" si="10"/>
        <v>0.27200000000000002</v>
      </c>
      <c r="E100" s="84">
        <f t="shared" si="12"/>
        <v>6.0999999999999999E-2</v>
      </c>
      <c r="F100" s="84">
        <f t="shared" si="11"/>
        <v>2.3E-2</v>
      </c>
      <c r="G100" s="85">
        <v>0.27800000000000002</v>
      </c>
      <c r="H100" s="351">
        <v>0.27200000000000002</v>
      </c>
      <c r="I100" s="85">
        <v>6.0999999999999999E-2</v>
      </c>
      <c r="J100" s="352">
        <v>2.3E-2</v>
      </c>
      <c r="K100" s="25">
        <f>((10/3)*L98)+((2/3)*L110)</f>
        <v>13006</v>
      </c>
      <c r="L100" s="93"/>
      <c r="M100" s="80"/>
      <c r="N100" s="80"/>
      <c r="O100" s="80"/>
      <c r="P100" s="80"/>
    </row>
    <row r="101" spans="1:19">
      <c r="A101" s="19">
        <f t="shared" si="8"/>
        <v>40512</v>
      </c>
      <c r="B101" s="19">
        <f t="shared" si="7"/>
        <v>40876</v>
      </c>
      <c r="C101" s="84">
        <f t="shared" si="9"/>
        <v>0.27029999999999998</v>
      </c>
      <c r="D101" s="84">
        <f t="shared" si="10"/>
        <v>0.27200000000000002</v>
      </c>
      <c r="E101" s="84">
        <f t="shared" si="12"/>
        <v>6.0999999999999999E-2</v>
      </c>
      <c r="F101" s="84">
        <f t="shared" si="11"/>
        <v>2.3E-2</v>
      </c>
      <c r="G101" s="85">
        <v>0.27800000000000002</v>
      </c>
      <c r="H101" s="351">
        <v>0.27200000000000002</v>
      </c>
      <c r="I101" s="85">
        <v>6.0999999999999999E-2</v>
      </c>
      <c r="J101" s="352">
        <v>2.3E-2</v>
      </c>
      <c r="K101" s="25">
        <f>((9/3)*L98)+((3/3)*L110)</f>
        <v>13047</v>
      </c>
      <c r="L101" s="93"/>
      <c r="M101" s="80"/>
      <c r="N101" s="80"/>
      <c r="O101" s="80"/>
      <c r="P101" s="80"/>
    </row>
    <row r="102" spans="1:19">
      <c r="A102" s="19">
        <f t="shared" si="8"/>
        <v>40543</v>
      </c>
      <c r="B102" s="19">
        <f t="shared" si="7"/>
        <v>40907</v>
      </c>
      <c r="C102" s="84">
        <f t="shared" si="9"/>
        <v>0.26769999999999999</v>
      </c>
      <c r="D102" s="84">
        <f t="shared" si="10"/>
        <v>0.27200000000000002</v>
      </c>
      <c r="E102" s="84">
        <f t="shared" si="12"/>
        <v>6.0999999999999999E-2</v>
      </c>
      <c r="F102" s="84">
        <f t="shared" si="11"/>
        <v>2.3E-2</v>
      </c>
      <c r="G102" s="85">
        <v>0.27800000000000002</v>
      </c>
      <c r="H102" s="351">
        <v>0.27200000000000002</v>
      </c>
      <c r="I102" s="85">
        <v>6.0999999999999999E-2</v>
      </c>
      <c r="J102" s="352">
        <v>2.3E-2</v>
      </c>
      <c r="K102" s="25">
        <f>((8/3)*L98)+((4/3)*L110)</f>
        <v>13088</v>
      </c>
      <c r="L102" s="93"/>
      <c r="M102" s="80"/>
      <c r="N102" s="80"/>
      <c r="O102" s="80"/>
      <c r="P102" s="80"/>
    </row>
    <row r="103" spans="1:19">
      <c r="A103" s="19">
        <f t="shared" si="8"/>
        <v>40574</v>
      </c>
      <c r="B103" s="19">
        <f t="shared" si="7"/>
        <v>40938</v>
      </c>
      <c r="C103" s="84">
        <f t="shared" si="9"/>
        <v>0.2651</v>
      </c>
      <c r="D103" s="84">
        <f t="shared" si="10"/>
        <v>0.27200000000000002</v>
      </c>
      <c r="E103" s="84">
        <f t="shared" si="12"/>
        <v>6.0999999999999999E-2</v>
      </c>
      <c r="F103" s="84">
        <f t="shared" si="11"/>
        <v>2.3E-2</v>
      </c>
      <c r="G103" s="85">
        <v>0.27800000000000002</v>
      </c>
      <c r="H103" s="351">
        <v>0.27200000000000002</v>
      </c>
      <c r="I103" s="85">
        <v>6.0999999999999999E-2</v>
      </c>
      <c r="J103" s="352">
        <v>2.3E-2</v>
      </c>
      <c r="K103" s="25">
        <f>((7/3)*L98)+((5/3)*L110)</f>
        <v>13129</v>
      </c>
      <c r="L103" s="93"/>
      <c r="M103" s="80"/>
      <c r="N103" s="80"/>
      <c r="O103" s="80"/>
      <c r="P103" s="80"/>
    </row>
    <row r="104" spans="1:19">
      <c r="A104" s="19">
        <f t="shared" si="8"/>
        <v>40602</v>
      </c>
      <c r="B104" s="19">
        <f t="shared" si="7"/>
        <v>40967</v>
      </c>
      <c r="C104" s="84">
        <f t="shared" si="9"/>
        <v>0.26250000000000001</v>
      </c>
      <c r="D104" s="84">
        <f t="shared" si="10"/>
        <v>0.27200000000000002</v>
      </c>
      <c r="E104" s="84">
        <f t="shared" si="12"/>
        <v>6.0999999999999999E-2</v>
      </c>
      <c r="F104" s="84">
        <f t="shared" si="11"/>
        <v>2.3E-2</v>
      </c>
      <c r="G104" s="85">
        <v>0.27800000000000002</v>
      </c>
      <c r="H104" s="351">
        <v>0.27200000000000002</v>
      </c>
      <c r="I104" s="85">
        <v>6.0999999999999999E-2</v>
      </c>
      <c r="J104" s="352">
        <v>2.3E-2</v>
      </c>
      <c r="K104" s="25">
        <f>((6/3)*L98)+((6/3)*L110)</f>
        <v>13170</v>
      </c>
      <c r="L104" s="93"/>
      <c r="M104" s="80"/>
      <c r="N104" s="80"/>
      <c r="O104" s="80"/>
      <c r="P104" s="80"/>
    </row>
    <row r="105" spans="1:19">
      <c r="A105" s="19">
        <f t="shared" si="8"/>
        <v>40633</v>
      </c>
      <c r="B105" s="19">
        <f t="shared" si="7"/>
        <v>40998</v>
      </c>
      <c r="C105" s="84">
        <f t="shared" si="9"/>
        <v>0.25990000000000002</v>
      </c>
      <c r="D105" s="84">
        <f t="shared" si="10"/>
        <v>0.27200000000000002</v>
      </c>
      <c r="E105" s="84">
        <f t="shared" si="12"/>
        <v>6.0999999999999999E-2</v>
      </c>
      <c r="F105" s="84">
        <f t="shared" si="11"/>
        <v>2.3E-2</v>
      </c>
      <c r="G105" s="85">
        <v>0.27800000000000002</v>
      </c>
      <c r="H105" s="351">
        <v>0.27200000000000002</v>
      </c>
      <c r="I105" s="85">
        <v>6.0999999999999999E-2</v>
      </c>
      <c r="J105" s="352">
        <v>2.3E-2</v>
      </c>
      <c r="K105" s="25">
        <f>((5/3)*L98)+((7/3)*L110)</f>
        <v>13211</v>
      </c>
      <c r="L105" s="93"/>
      <c r="M105" s="80"/>
      <c r="N105" s="80"/>
      <c r="O105" s="80"/>
      <c r="P105" s="80"/>
    </row>
    <row r="106" spans="1:19">
      <c r="A106" s="19">
        <f t="shared" si="8"/>
        <v>40663</v>
      </c>
      <c r="B106" s="19">
        <f t="shared" si="7"/>
        <v>41028</v>
      </c>
      <c r="C106" s="84">
        <f t="shared" si="9"/>
        <v>0.25729999999999997</v>
      </c>
      <c r="D106" s="84">
        <f t="shared" si="10"/>
        <v>0.27200000000000002</v>
      </c>
      <c r="E106" s="84">
        <f t="shared" si="12"/>
        <v>6.0999999999999999E-2</v>
      </c>
      <c r="F106" s="84">
        <f t="shared" si="11"/>
        <v>2.3E-2</v>
      </c>
      <c r="G106" s="85">
        <v>0.27800000000000002</v>
      </c>
      <c r="H106" s="351">
        <v>0.27200000000000002</v>
      </c>
      <c r="I106" s="85">
        <v>6.0999999999999999E-2</v>
      </c>
      <c r="J106" s="352">
        <v>2.3E-2</v>
      </c>
      <c r="K106" s="25">
        <f>((4/3)*L98)+((8/3)*L110)</f>
        <v>13252</v>
      </c>
      <c r="L106" s="93"/>
      <c r="M106" s="80"/>
      <c r="N106" s="80"/>
      <c r="O106" s="80"/>
      <c r="P106" s="80"/>
    </row>
    <row r="107" spans="1:19">
      <c r="A107" s="19">
        <f t="shared" si="8"/>
        <v>40694</v>
      </c>
      <c r="B107" s="19">
        <f t="shared" si="7"/>
        <v>41059</v>
      </c>
      <c r="C107" s="84">
        <f t="shared" si="9"/>
        <v>0.25480000000000003</v>
      </c>
      <c r="D107" s="84">
        <f t="shared" si="10"/>
        <v>0.27200000000000002</v>
      </c>
      <c r="E107" s="84">
        <f t="shared" si="12"/>
        <v>6.0999999999999999E-2</v>
      </c>
      <c r="F107" s="84">
        <f t="shared" si="11"/>
        <v>2.3E-2</v>
      </c>
      <c r="G107" s="85">
        <v>0.27800000000000002</v>
      </c>
      <c r="H107" s="351">
        <v>0.27200000000000002</v>
      </c>
      <c r="I107" s="85">
        <v>6.0999999999999999E-2</v>
      </c>
      <c r="J107" s="352">
        <v>2.3E-2</v>
      </c>
      <c r="K107" s="25">
        <f>((3/3)*L98)+((9/3)*L110)</f>
        <v>13293</v>
      </c>
      <c r="L107" s="93"/>
      <c r="M107" s="80"/>
      <c r="N107" s="80"/>
      <c r="O107" s="80"/>
      <c r="P107" s="80"/>
    </row>
    <row r="108" spans="1:19">
      <c r="A108" s="19">
        <f t="shared" si="8"/>
        <v>40724</v>
      </c>
      <c r="B108" s="19">
        <f t="shared" si="7"/>
        <v>41089</v>
      </c>
      <c r="C108" s="84">
        <f t="shared" si="9"/>
        <v>0.25219999999999998</v>
      </c>
      <c r="D108" s="84">
        <f t="shared" si="10"/>
        <v>0.27200000000000002</v>
      </c>
      <c r="E108" s="84">
        <f t="shared" si="12"/>
        <v>6.0999999999999999E-2</v>
      </c>
      <c r="F108" s="84">
        <f t="shared" si="11"/>
        <v>2.3E-2</v>
      </c>
      <c r="G108" s="85">
        <v>0.27800000000000002</v>
      </c>
      <c r="H108" s="351">
        <v>0.27200000000000002</v>
      </c>
      <c r="I108" s="85">
        <v>6.0999999999999999E-2</v>
      </c>
      <c r="J108" s="352">
        <v>2.3E-2</v>
      </c>
      <c r="K108" s="25">
        <f>((2/3)*L98)+((10/3)*L110)</f>
        <v>13334</v>
      </c>
      <c r="L108" s="93"/>
      <c r="M108" s="80"/>
      <c r="N108" s="80"/>
      <c r="O108" s="80"/>
      <c r="P108" s="80"/>
    </row>
    <row r="109" spans="1:19">
      <c r="A109" s="19">
        <f t="shared" si="8"/>
        <v>40755</v>
      </c>
      <c r="B109" s="19">
        <f t="shared" si="7"/>
        <v>41120</v>
      </c>
      <c r="C109" s="81">
        <f t="shared" si="9"/>
        <v>0.24959999999999999</v>
      </c>
      <c r="D109" s="81">
        <f t="shared" si="10"/>
        <v>0.27200000000000002</v>
      </c>
      <c r="E109" s="81">
        <f t="shared" si="12"/>
        <v>6.0999999999999999E-2</v>
      </c>
      <c r="F109" s="81">
        <f t="shared" si="11"/>
        <v>2.3E-2</v>
      </c>
      <c r="G109" s="85">
        <v>0.27800000000000002</v>
      </c>
      <c r="H109" s="351">
        <v>0.27200000000000002</v>
      </c>
      <c r="I109" s="85">
        <v>6.0999999999999999E-2</v>
      </c>
      <c r="J109" s="352">
        <v>2.3E-2</v>
      </c>
      <c r="K109" s="25">
        <f>((1/3)*L98)+((11/3)*L110)</f>
        <v>13375</v>
      </c>
      <c r="L109" s="93"/>
      <c r="M109" s="80"/>
      <c r="N109" s="80"/>
      <c r="O109" s="80"/>
      <c r="P109" s="80"/>
    </row>
    <row r="110" spans="1:19" s="78" customFormat="1">
      <c r="A110" s="77">
        <f t="shared" si="8"/>
        <v>40786</v>
      </c>
      <c r="B110" s="77">
        <f t="shared" si="7"/>
        <v>41151</v>
      </c>
      <c r="C110" s="86">
        <f t="shared" si="9"/>
        <v>0.247</v>
      </c>
      <c r="D110" s="86">
        <f t="shared" si="10"/>
        <v>0.27200000000000002</v>
      </c>
      <c r="E110" s="86">
        <f t="shared" si="12"/>
        <v>6.0999999999999999E-2</v>
      </c>
      <c r="F110" s="86">
        <f t="shared" si="11"/>
        <v>2.3E-2</v>
      </c>
      <c r="G110" s="87">
        <v>0.247</v>
      </c>
      <c r="H110" s="349">
        <v>0.27200000000000002</v>
      </c>
      <c r="I110" s="87">
        <v>6.0999999999999999E-2</v>
      </c>
      <c r="J110" s="350">
        <v>2.3E-2</v>
      </c>
      <c r="K110" s="76">
        <f>(L110*4)</f>
        <v>13416</v>
      </c>
      <c r="L110" s="94">
        <v>3354</v>
      </c>
      <c r="M110" s="353">
        <f>AVERAGE(R110:R121)</f>
        <v>0.55500000000000005</v>
      </c>
      <c r="N110" s="353">
        <v>0.26</v>
      </c>
      <c r="O110" s="353">
        <f>AVERAGE(S110:S121)</f>
        <v>0.55500000000000005</v>
      </c>
      <c r="P110" s="353">
        <v>0.32800000000000001</v>
      </c>
      <c r="Q110" s="353">
        <v>0.68899999999999995</v>
      </c>
      <c r="R110" s="353">
        <v>0.55500000000000005</v>
      </c>
      <c r="S110" s="353">
        <v>0.55500000000000005</v>
      </c>
    </row>
    <row r="111" spans="1:19" s="78" customFormat="1">
      <c r="A111" s="77">
        <f t="shared" si="8"/>
        <v>40816</v>
      </c>
      <c r="B111" s="77">
        <f t="shared" si="7"/>
        <v>41181</v>
      </c>
      <c r="C111" s="86">
        <f t="shared" si="9"/>
        <v>0.24610000000000001</v>
      </c>
      <c r="D111" s="86">
        <f t="shared" si="10"/>
        <v>0.27200000000000002</v>
      </c>
      <c r="E111" s="86">
        <f t="shared" si="12"/>
        <v>6.13E-2</v>
      </c>
      <c r="F111" s="86">
        <f t="shared" si="11"/>
        <v>2.3300000000000001E-2</v>
      </c>
      <c r="G111" s="87">
        <v>0.247</v>
      </c>
      <c r="H111" s="349">
        <v>0.27200000000000002</v>
      </c>
      <c r="I111" s="87">
        <v>6.0999999999999999E-2</v>
      </c>
      <c r="J111" s="350">
        <v>2.3E-2</v>
      </c>
      <c r="K111" s="76">
        <f>((11/3)*L110)+((1/3)*L122)</f>
        <v>13457</v>
      </c>
      <c r="L111" s="94"/>
      <c r="M111" s="353">
        <f t="shared" ref="M111:M174" si="13">AVERAGE(R111:R122)</f>
        <v>0.55579999999999996</v>
      </c>
      <c r="N111" s="353">
        <v>0.26</v>
      </c>
      <c r="O111" s="353">
        <f t="shared" ref="O111:O174" si="14">AVERAGE(S111:S122)</f>
        <v>0.55669999999999997</v>
      </c>
      <c r="P111" s="353">
        <v>0.32800000000000001</v>
      </c>
      <c r="Q111" s="353">
        <v>0.68899999999999995</v>
      </c>
      <c r="R111" s="353">
        <v>0.55500000000000005</v>
      </c>
      <c r="S111" s="353">
        <v>0.55500000000000005</v>
      </c>
    </row>
    <row r="112" spans="1:19" s="78" customFormat="1">
      <c r="A112" s="77">
        <f t="shared" si="8"/>
        <v>40847</v>
      </c>
      <c r="B112" s="77">
        <f t="shared" si="7"/>
        <v>41212</v>
      </c>
      <c r="C112" s="86">
        <f t="shared" si="9"/>
        <v>0.2452</v>
      </c>
      <c r="D112" s="86">
        <f t="shared" si="10"/>
        <v>0.27200000000000002</v>
      </c>
      <c r="E112" s="86">
        <f t="shared" si="12"/>
        <v>6.1499999999999999E-2</v>
      </c>
      <c r="F112" s="86">
        <f t="shared" si="11"/>
        <v>2.35E-2</v>
      </c>
      <c r="G112" s="87">
        <v>0.247</v>
      </c>
      <c r="H112" s="349">
        <v>0.27200000000000002</v>
      </c>
      <c r="I112" s="87">
        <v>6.0999999999999999E-2</v>
      </c>
      <c r="J112" s="350">
        <v>2.3E-2</v>
      </c>
      <c r="K112" s="76">
        <f>((10/3)*L110)+((2/3)*L122)</f>
        <v>13499</v>
      </c>
      <c r="L112" s="94"/>
      <c r="M112" s="353">
        <f t="shared" si="13"/>
        <v>0.55669999999999997</v>
      </c>
      <c r="N112" s="353">
        <v>0.26</v>
      </c>
      <c r="O112" s="353">
        <f t="shared" si="14"/>
        <v>0.55830000000000002</v>
      </c>
      <c r="P112" s="353">
        <v>0.32800000000000001</v>
      </c>
      <c r="Q112" s="353">
        <v>0.68899999999999995</v>
      </c>
      <c r="R112" s="353">
        <v>0.55500000000000005</v>
      </c>
      <c r="S112" s="353">
        <v>0.55500000000000005</v>
      </c>
    </row>
    <row r="113" spans="1:19" s="78" customFormat="1">
      <c r="A113" s="77">
        <f t="shared" si="8"/>
        <v>40877</v>
      </c>
      <c r="B113" s="77">
        <f t="shared" si="7"/>
        <v>41242</v>
      </c>
      <c r="C113" s="86">
        <f t="shared" si="9"/>
        <v>0.24429999999999999</v>
      </c>
      <c r="D113" s="86">
        <f t="shared" si="10"/>
        <v>0.27200000000000002</v>
      </c>
      <c r="E113" s="86">
        <f t="shared" si="12"/>
        <v>6.1800000000000001E-2</v>
      </c>
      <c r="F113" s="86">
        <f t="shared" si="11"/>
        <v>2.3800000000000002E-2</v>
      </c>
      <c r="G113" s="87">
        <v>0.247</v>
      </c>
      <c r="H113" s="349">
        <v>0.27200000000000002</v>
      </c>
      <c r="I113" s="87">
        <v>6.0999999999999999E-2</v>
      </c>
      <c r="J113" s="350">
        <v>2.3E-2</v>
      </c>
      <c r="K113" s="76">
        <f>((9/3)*L110)+((3/3)*L122)</f>
        <v>13540</v>
      </c>
      <c r="L113" s="94"/>
      <c r="M113" s="353">
        <f t="shared" si="13"/>
        <v>0.5575</v>
      </c>
      <c r="N113" s="353">
        <v>0.26</v>
      </c>
      <c r="O113" s="353">
        <f t="shared" si="14"/>
        <v>0.56000000000000005</v>
      </c>
      <c r="P113" s="353">
        <v>0.32800000000000001</v>
      </c>
      <c r="Q113" s="353">
        <v>0.68899999999999995</v>
      </c>
      <c r="R113" s="353">
        <v>0.55500000000000005</v>
      </c>
      <c r="S113" s="353">
        <v>0.55500000000000005</v>
      </c>
    </row>
    <row r="114" spans="1:19" s="78" customFormat="1">
      <c r="A114" s="77">
        <f t="shared" si="8"/>
        <v>40908</v>
      </c>
      <c r="B114" s="77">
        <f t="shared" si="7"/>
        <v>41273</v>
      </c>
      <c r="C114" s="86">
        <f t="shared" si="9"/>
        <v>0.24329999999999999</v>
      </c>
      <c r="D114" s="86">
        <f t="shared" si="10"/>
        <v>0.27200000000000002</v>
      </c>
      <c r="E114" s="86">
        <f t="shared" si="12"/>
        <v>6.2E-2</v>
      </c>
      <c r="F114" s="86">
        <f t="shared" si="11"/>
        <v>2.4E-2</v>
      </c>
      <c r="G114" s="87">
        <v>0.247</v>
      </c>
      <c r="H114" s="349">
        <v>0.27200000000000002</v>
      </c>
      <c r="I114" s="87">
        <v>6.0999999999999999E-2</v>
      </c>
      <c r="J114" s="350">
        <v>2.3E-2</v>
      </c>
      <c r="K114" s="76">
        <f>((8/3)*L110)+((4/3)*L122)</f>
        <v>13581</v>
      </c>
      <c r="L114" s="94"/>
      <c r="M114" s="353">
        <f t="shared" si="13"/>
        <v>0.55830000000000002</v>
      </c>
      <c r="N114" s="353">
        <v>0.26</v>
      </c>
      <c r="O114" s="353">
        <f t="shared" si="14"/>
        <v>0.56169999999999998</v>
      </c>
      <c r="P114" s="353">
        <v>0.32800000000000001</v>
      </c>
      <c r="Q114" s="353">
        <v>0.68899999999999995</v>
      </c>
      <c r="R114" s="353">
        <v>0.55500000000000005</v>
      </c>
      <c r="S114" s="353">
        <v>0.55500000000000005</v>
      </c>
    </row>
    <row r="115" spans="1:19" s="78" customFormat="1">
      <c r="A115" s="77">
        <f t="shared" si="8"/>
        <v>40939</v>
      </c>
      <c r="B115" s="77">
        <f t="shared" si="7"/>
        <v>41304</v>
      </c>
      <c r="C115" s="86">
        <f t="shared" si="9"/>
        <v>0.2424</v>
      </c>
      <c r="D115" s="86">
        <f t="shared" si="10"/>
        <v>0.27200000000000002</v>
      </c>
      <c r="E115" s="86">
        <f t="shared" si="12"/>
        <v>6.2300000000000001E-2</v>
      </c>
      <c r="F115" s="86">
        <f t="shared" si="11"/>
        <v>2.4299999999999999E-2</v>
      </c>
      <c r="G115" s="87">
        <v>0.247</v>
      </c>
      <c r="H115" s="349">
        <v>0.27200000000000002</v>
      </c>
      <c r="I115" s="87">
        <v>6.0999999999999999E-2</v>
      </c>
      <c r="J115" s="350">
        <v>2.3E-2</v>
      </c>
      <c r="K115" s="76">
        <f>((7/3)*L110)+((5/3)*L122)</f>
        <v>13623</v>
      </c>
      <c r="L115" s="94"/>
      <c r="M115" s="353">
        <f t="shared" si="13"/>
        <v>0.55920000000000003</v>
      </c>
      <c r="N115" s="353">
        <v>0.26</v>
      </c>
      <c r="O115" s="353">
        <f t="shared" si="14"/>
        <v>0.56330000000000002</v>
      </c>
      <c r="P115" s="353">
        <v>0.32800000000000001</v>
      </c>
      <c r="Q115" s="353">
        <v>0.68899999999999995</v>
      </c>
      <c r="R115" s="353">
        <v>0.55500000000000005</v>
      </c>
      <c r="S115" s="353">
        <v>0.55500000000000005</v>
      </c>
    </row>
    <row r="116" spans="1:19" s="78" customFormat="1">
      <c r="A116" s="77">
        <f t="shared" si="8"/>
        <v>40968</v>
      </c>
      <c r="B116" s="77">
        <f t="shared" si="7"/>
        <v>41332</v>
      </c>
      <c r="C116" s="86">
        <f t="shared" si="9"/>
        <v>0.24149999999999999</v>
      </c>
      <c r="D116" s="86">
        <f t="shared" si="10"/>
        <v>0.27200000000000002</v>
      </c>
      <c r="E116" s="86">
        <f t="shared" si="12"/>
        <v>6.25E-2</v>
      </c>
      <c r="F116" s="86">
        <f t="shared" si="11"/>
        <v>2.4500000000000001E-2</v>
      </c>
      <c r="G116" s="87">
        <v>0.247</v>
      </c>
      <c r="H116" s="349">
        <v>0.27200000000000002</v>
      </c>
      <c r="I116" s="87">
        <v>6.0999999999999999E-2</v>
      </c>
      <c r="J116" s="350">
        <v>2.3E-2</v>
      </c>
      <c r="K116" s="76">
        <f>((6/3)*L110)+((6/3)*L122)</f>
        <v>13664</v>
      </c>
      <c r="L116" s="94"/>
      <c r="M116" s="353">
        <f t="shared" si="13"/>
        <v>0.56000000000000005</v>
      </c>
      <c r="N116" s="353">
        <v>0.26</v>
      </c>
      <c r="O116" s="353">
        <f t="shared" si="14"/>
        <v>0.56499999999999995</v>
      </c>
      <c r="P116" s="353">
        <v>0.32800000000000001</v>
      </c>
      <c r="Q116" s="353">
        <v>0.68899999999999995</v>
      </c>
      <c r="R116" s="353">
        <v>0.55500000000000005</v>
      </c>
      <c r="S116" s="353">
        <v>0.55500000000000005</v>
      </c>
    </row>
    <row r="117" spans="1:19" s="78" customFormat="1">
      <c r="A117" s="77">
        <f t="shared" si="8"/>
        <v>40999</v>
      </c>
      <c r="B117" s="77">
        <f t="shared" si="7"/>
        <v>41363</v>
      </c>
      <c r="C117" s="86">
        <f t="shared" si="9"/>
        <v>0.24060000000000001</v>
      </c>
      <c r="D117" s="86">
        <f t="shared" si="10"/>
        <v>0.27200000000000002</v>
      </c>
      <c r="E117" s="86">
        <f t="shared" si="12"/>
        <v>6.2799999999999995E-2</v>
      </c>
      <c r="F117" s="86">
        <f t="shared" si="11"/>
        <v>2.4799999999999999E-2</v>
      </c>
      <c r="G117" s="87">
        <v>0.247</v>
      </c>
      <c r="H117" s="349">
        <v>0.27200000000000002</v>
      </c>
      <c r="I117" s="87">
        <v>6.0999999999999999E-2</v>
      </c>
      <c r="J117" s="350">
        <v>2.3E-2</v>
      </c>
      <c r="K117" s="76">
        <f>((5/3)*L110)+((7/3)*L122)</f>
        <v>13705</v>
      </c>
      <c r="L117" s="94"/>
      <c r="M117" s="353">
        <f t="shared" si="13"/>
        <v>0.56079999999999997</v>
      </c>
      <c r="N117" s="353">
        <v>0.26</v>
      </c>
      <c r="O117" s="353">
        <f t="shared" si="14"/>
        <v>0.56669999999999998</v>
      </c>
      <c r="P117" s="353">
        <v>0.32800000000000001</v>
      </c>
      <c r="Q117" s="353">
        <v>0.68899999999999995</v>
      </c>
      <c r="R117" s="353">
        <v>0.55500000000000005</v>
      </c>
      <c r="S117" s="353">
        <v>0.55500000000000005</v>
      </c>
    </row>
    <row r="118" spans="1:19" s="78" customFormat="1">
      <c r="A118" s="77">
        <f t="shared" si="8"/>
        <v>41029</v>
      </c>
      <c r="B118" s="77">
        <f t="shared" si="7"/>
        <v>41393</v>
      </c>
      <c r="C118" s="86">
        <f t="shared" si="9"/>
        <v>0.2397</v>
      </c>
      <c r="D118" s="86">
        <f t="shared" si="10"/>
        <v>0.27200000000000002</v>
      </c>
      <c r="E118" s="86">
        <f t="shared" si="12"/>
        <v>6.3E-2</v>
      </c>
      <c r="F118" s="86">
        <f t="shared" si="11"/>
        <v>2.5000000000000001E-2</v>
      </c>
      <c r="G118" s="87">
        <v>0.247</v>
      </c>
      <c r="H118" s="349">
        <v>0.27200000000000002</v>
      </c>
      <c r="I118" s="87">
        <v>6.0999999999999999E-2</v>
      </c>
      <c r="J118" s="350">
        <v>2.3E-2</v>
      </c>
      <c r="K118" s="76">
        <f>((4/3)*L110)+((8/3)*L122)</f>
        <v>13747</v>
      </c>
      <c r="L118" s="94"/>
      <c r="M118" s="353">
        <f t="shared" si="13"/>
        <v>0.56169999999999998</v>
      </c>
      <c r="N118" s="353">
        <v>0.26</v>
      </c>
      <c r="O118" s="353">
        <f t="shared" si="14"/>
        <v>0.56830000000000003</v>
      </c>
      <c r="P118" s="353">
        <v>0.32800000000000001</v>
      </c>
      <c r="Q118" s="353">
        <v>0.68899999999999995</v>
      </c>
      <c r="R118" s="353">
        <v>0.55500000000000005</v>
      </c>
      <c r="S118" s="353">
        <v>0.55500000000000005</v>
      </c>
    </row>
    <row r="119" spans="1:19" s="78" customFormat="1">
      <c r="A119" s="77">
        <f t="shared" si="8"/>
        <v>41060</v>
      </c>
      <c r="B119" s="77">
        <f t="shared" si="7"/>
        <v>41424</v>
      </c>
      <c r="C119" s="86">
        <f t="shared" si="9"/>
        <v>0.23880000000000001</v>
      </c>
      <c r="D119" s="86">
        <f t="shared" si="10"/>
        <v>0.27200000000000002</v>
      </c>
      <c r="E119" s="86">
        <f t="shared" si="12"/>
        <v>6.3299999999999995E-2</v>
      </c>
      <c r="F119" s="86">
        <f t="shared" si="11"/>
        <v>2.53E-2</v>
      </c>
      <c r="G119" s="87">
        <v>0.247</v>
      </c>
      <c r="H119" s="349">
        <v>0.27200000000000002</v>
      </c>
      <c r="I119" s="87">
        <v>6.0999999999999999E-2</v>
      </c>
      <c r="J119" s="350">
        <v>2.3E-2</v>
      </c>
      <c r="K119" s="76">
        <f>((3/3)*L110)+((9/3)*L122)</f>
        <v>13788</v>
      </c>
      <c r="L119" s="94"/>
      <c r="M119" s="353">
        <f t="shared" si="13"/>
        <v>0.5625</v>
      </c>
      <c r="N119" s="353">
        <v>0.26</v>
      </c>
      <c r="O119" s="353">
        <f t="shared" si="14"/>
        <v>0.56999999999999995</v>
      </c>
      <c r="P119" s="353">
        <v>0.32800000000000001</v>
      </c>
      <c r="Q119" s="353">
        <v>0.68899999999999995</v>
      </c>
      <c r="R119" s="353">
        <v>0.55500000000000005</v>
      </c>
      <c r="S119" s="353">
        <v>0.55500000000000005</v>
      </c>
    </row>
    <row r="120" spans="1:19" s="78" customFormat="1">
      <c r="A120" s="77">
        <f t="shared" si="8"/>
        <v>41090</v>
      </c>
      <c r="B120" s="77">
        <f t="shared" si="7"/>
        <v>41454</v>
      </c>
      <c r="C120" s="86">
        <f t="shared" si="9"/>
        <v>0.23780000000000001</v>
      </c>
      <c r="D120" s="86">
        <f t="shared" si="10"/>
        <v>0.27200000000000002</v>
      </c>
      <c r="E120" s="86">
        <f t="shared" si="12"/>
        <v>6.3500000000000001E-2</v>
      </c>
      <c r="F120" s="86">
        <f t="shared" si="11"/>
        <v>2.5499999999999998E-2</v>
      </c>
      <c r="G120" s="87">
        <v>0.247</v>
      </c>
      <c r="H120" s="349">
        <v>0.27200000000000002</v>
      </c>
      <c r="I120" s="87">
        <v>6.0999999999999999E-2</v>
      </c>
      <c r="J120" s="350">
        <v>2.3E-2</v>
      </c>
      <c r="K120" s="76">
        <f>((2/3)*L110)+((10/3)*L122)</f>
        <v>13829</v>
      </c>
      <c r="L120" s="94"/>
      <c r="M120" s="353">
        <f t="shared" si="13"/>
        <v>0.56330000000000002</v>
      </c>
      <c r="N120" s="353">
        <v>0.26</v>
      </c>
      <c r="O120" s="353">
        <f t="shared" si="14"/>
        <v>0.57169999999999999</v>
      </c>
      <c r="P120" s="353">
        <v>0.32800000000000001</v>
      </c>
      <c r="Q120" s="353">
        <v>0.68899999999999995</v>
      </c>
      <c r="R120" s="353">
        <v>0.55500000000000005</v>
      </c>
      <c r="S120" s="353">
        <v>0.55500000000000005</v>
      </c>
    </row>
    <row r="121" spans="1:19" s="78" customFormat="1">
      <c r="A121" s="82">
        <f t="shared" si="8"/>
        <v>41121</v>
      </c>
      <c r="B121" s="82">
        <f t="shared" si="7"/>
        <v>41485</v>
      </c>
      <c r="C121" s="86">
        <f t="shared" si="9"/>
        <v>0.2369</v>
      </c>
      <c r="D121" s="86">
        <f t="shared" si="10"/>
        <v>0.27200000000000002</v>
      </c>
      <c r="E121" s="86">
        <f t="shared" si="12"/>
        <v>6.3799999999999996E-2</v>
      </c>
      <c r="F121" s="86">
        <f t="shared" si="11"/>
        <v>2.58E-2</v>
      </c>
      <c r="G121" s="87">
        <v>0.247</v>
      </c>
      <c r="H121" s="349">
        <v>0.27200000000000002</v>
      </c>
      <c r="I121" s="87">
        <v>6.0999999999999999E-2</v>
      </c>
      <c r="J121" s="350">
        <v>2.3E-2</v>
      </c>
      <c r="K121" s="76">
        <f>((1/3)*L110)+((11/3)*L122)</f>
        <v>13871</v>
      </c>
      <c r="L121" s="94"/>
      <c r="M121" s="353">
        <f t="shared" si="13"/>
        <v>0.56420000000000003</v>
      </c>
      <c r="N121" s="353">
        <v>0.26</v>
      </c>
      <c r="O121" s="353">
        <f t="shared" si="14"/>
        <v>0.57330000000000003</v>
      </c>
      <c r="P121" s="353">
        <v>0.32800000000000001</v>
      </c>
      <c r="Q121" s="353">
        <v>0.68899999999999995</v>
      </c>
      <c r="R121" s="353">
        <v>0.55500000000000005</v>
      </c>
      <c r="S121" s="353">
        <v>0.55500000000000005</v>
      </c>
    </row>
    <row r="122" spans="1:19">
      <c r="A122" s="19">
        <f t="shared" si="8"/>
        <v>41152</v>
      </c>
      <c r="B122" s="19">
        <f t="shared" si="7"/>
        <v>41516</v>
      </c>
      <c r="C122" s="84">
        <f t="shared" si="9"/>
        <v>0.23599999999999999</v>
      </c>
      <c r="D122" s="84">
        <f t="shared" si="10"/>
        <v>0.27200000000000002</v>
      </c>
      <c r="E122" s="84">
        <f t="shared" si="12"/>
        <v>6.4000000000000001E-2</v>
      </c>
      <c r="F122" s="84">
        <f t="shared" si="11"/>
        <v>2.5999999999999999E-2</v>
      </c>
      <c r="G122" s="85">
        <v>0.23599999999999999</v>
      </c>
      <c r="H122" s="85">
        <v>0.27200000000000002</v>
      </c>
      <c r="I122" s="85">
        <v>6.4000000000000001E-2</v>
      </c>
      <c r="J122" s="85">
        <v>2.5999999999999999E-2</v>
      </c>
      <c r="K122" s="25">
        <f>(L122*4)</f>
        <v>13912</v>
      </c>
      <c r="L122" s="93">
        <v>3478</v>
      </c>
      <c r="M122" s="80">
        <f t="shared" si="13"/>
        <v>0.56499999999999995</v>
      </c>
      <c r="N122" s="80">
        <v>0.26</v>
      </c>
      <c r="O122" s="80">
        <f t="shared" si="14"/>
        <v>0.57499999999999996</v>
      </c>
      <c r="P122" s="80">
        <v>0.32800000000000001</v>
      </c>
      <c r="Q122" s="80">
        <v>0.68899999999999995</v>
      </c>
      <c r="R122" s="80">
        <v>0.56499999999999995</v>
      </c>
      <c r="S122" s="80">
        <v>0.57499999999999996</v>
      </c>
    </row>
    <row r="123" spans="1:19">
      <c r="A123" s="19">
        <f t="shared" si="8"/>
        <v>41182</v>
      </c>
      <c r="B123" s="19">
        <f t="shared" si="7"/>
        <v>41546</v>
      </c>
      <c r="C123" s="84">
        <f t="shared" si="9"/>
        <v>0.23780000000000001</v>
      </c>
      <c r="D123" s="84">
        <f t="shared" si="10"/>
        <v>0.2722</v>
      </c>
      <c r="E123" s="84">
        <f t="shared" si="12"/>
        <v>6.4199999999999993E-2</v>
      </c>
      <c r="F123" s="84">
        <f t="shared" si="11"/>
        <v>2.6200000000000001E-2</v>
      </c>
      <c r="G123" s="85">
        <v>0.23599999999999999</v>
      </c>
      <c r="H123" s="85">
        <v>0.27200000000000002</v>
      </c>
      <c r="I123" s="85">
        <v>6.4000000000000001E-2</v>
      </c>
      <c r="J123" s="85">
        <v>2.5999999999999999E-2</v>
      </c>
      <c r="K123" s="25">
        <f>((11/3)*L122)+((1/3)*L134)</f>
        <v>13954</v>
      </c>
      <c r="L123" s="93"/>
      <c r="M123" s="80">
        <f t="shared" si="13"/>
        <v>0.56630000000000003</v>
      </c>
      <c r="N123" s="80">
        <v>0.26</v>
      </c>
      <c r="O123" s="80">
        <f t="shared" si="14"/>
        <v>0.57630000000000003</v>
      </c>
      <c r="P123" s="80">
        <v>0.32800000000000001</v>
      </c>
      <c r="Q123" s="80">
        <v>0.68899999999999995</v>
      </c>
      <c r="R123" s="80">
        <v>0.56499999999999995</v>
      </c>
      <c r="S123" s="80">
        <v>0.57499999999999996</v>
      </c>
    </row>
    <row r="124" spans="1:19">
      <c r="A124" s="19">
        <f t="shared" si="8"/>
        <v>41213</v>
      </c>
      <c r="B124" s="19">
        <f t="shared" si="7"/>
        <v>41577</v>
      </c>
      <c r="C124" s="84">
        <f t="shared" si="9"/>
        <v>0.23949999999999999</v>
      </c>
      <c r="D124" s="84">
        <f t="shared" si="10"/>
        <v>0.27229999999999999</v>
      </c>
      <c r="E124" s="84">
        <f t="shared" si="12"/>
        <v>6.4299999999999996E-2</v>
      </c>
      <c r="F124" s="84">
        <f t="shared" si="11"/>
        <v>2.63E-2</v>
      </c>
      <c r="G124" s="85">
        <v>0.23599999999999999</v>
      </c>
      <c r="H124" s="85">
        <v>0.27200000000000002</v>
      </c>
      <c r="I124" s="85">
        <v>6.4000000000000001E-2</v>
      </c>
      <c r="J124" s="85">
        <v>2.5999999999999999E-2</v>
      </c>
      <c r="K124" s="25">
        <f>((10/3)*L122)+((2/3)*L134)</f>
        <v>13995</v>
      </c>
      <c r="L124" s="93"/>
      <c r="M124" s="80">
        <f t="shared" si="13"/>
        <v>0.5675</v>
      </c>
      <c r="N124" s="80">
        <v>0.26</v>
      </c>
      <c r="O124" s="80">
        <f t="shared" si="14"/>
        <v>0.57750000000000001</v>
      </c>
      <c r="P124" s="80">
        <v>0.32800000000000001</v>
      </c>
      <c r="Q124" s="80">
        <v>0.68899999999999995</v>
      </c>
      <c r="R124" s="80">
        <v>0.56499999999999995</v>
      </c>
      <c r="S124" s="80">
        <v>0.57499999999999996</v>
      </c>
    </row>
    <row r="125" spans="1:19">
      <c r="A125" s="19">
        <f t="shared" si="8"/>
        <v>41243</v>
      </c>
      <c r="B125" s="19">
        <f t="shared" si="7"/>
        <v>41607</v>
      </c>
      <c r="C125" s="84">
        <f t="shared" si="9"/>
        <v>0.24129999999999999</v>
      </c>
      <c r="D125" s="84">
        <f t="shared" si="10"/>
        <v>0.27250000000000002</v>
      </c>
      <c r="E125" s="84">
        <f t="shared" si="12"/>
        <v>6.4500000000000002E-2</v>
      </c>
      <c r="F125" s="84">
        <f t="shared" si="11"/>
        <v>2.6499999999999999E-2</v>
      </c>
      <c r="G125" s="85">
        <v>0.23599999999999999</v>
      </c>
      <c r="H125" s="85">
        <v>0.27200000000000002</v>
      </c>
      <c r="I125" s="85">
        <v>6.4000000000000001E-2</v>
      </c>
      <c r="J125" s="85">
        <v>2.5999999999999999E-2</v>
      </c>
      <c r="K125" s="25">
        <f>((9/3)*L122)+((3/3)*L134)</f>
        <v>14037</v>
      </c>
      <c r="L125" s="93"/>
      <c r="M125" s="80">
        <f t="shared" si="13"/>
        <v>0.56879999999999997</v>
      </c>
      <c r="N125" s="80">
        <v>0.26</v>
      </c>
      <c r="O125" s="80">
        <f t="shared" si="14"/>
        <v>0.57879999999999998</v>
      </c>
      <c r="P125" s="80">
        <v>0.32800000000000001</v>
      </c>
      <c r="Q125" s="80">
        <v>0.68899999999999995</v>
      </c>
      <c r="R125" s="80">
        <v>0.56499999999999995</v>
      </c>
      <c r="S125" s="80">
        <v>0.57499999999999996</v>
      </c>
    </row>
    <row r="126" spans="1:19">
      <c r="A126" s="19">
        <f t="shared" si="8"/>
        <v>41274</v>
      </c>
      <c r="B126" s="19">
        <f t="shared" si="7"/>
        <v>41638</v>
      </c>
      <c r="C126" s="84">
        <f t="shared" si="9"/>
        <v>0.24299999999999999</v>
      </c>
      <c r="D126" s="84">
        <f t="shared" si="10"/>
        <v>0.2727</v>
      </c>
      <c r="E126" s="84">
        <f t="shared" si="12"/>
        <v>6.4699999999999994E-2</v>
      </c>
      <c r="F126" s="84">
        <f t="shared" si="11"/>
        <v>2.6700000000000002E-2</v>
      </c>
      <c r="G126" s="85">
        <v>0.23599999999999999</v>
      </c>
      <c r="H126" s="85">
        <v>0.27200000000000002</v>
      </c>
      <c r="I126" s="85">
        <v>6.4000000000000001E-2</v>
      </c>
      <c r="J126" s="85">
        <v>2.5999999999999999E-2</v>
      </c>
      <c r="K126" s="25">
        <f>((8/3)*L122)+((4/3)*L134)</f>
        <v>14079</v>
      </c>
      <c r="L126" s="93"/>
      <c r="M126" s="80">
        <f t="shared" si="13"/>
        <v>0.56999999999999995</v>
      </c>
      <c r="N126" s="80">
        <v>0.26</v>
      </c>
      <c r="O126" s="80">
        <f t="shared" si="14"/>
        <v>0.57999999999999996</v>
      </c>
      <c r="P126" s="80">
        <v>0.32800000000000001</v>
      </c>
      <c r="Q126" s="80">
        <v>0.68899999999999995</v>
      </c>
      <c r="R126" s="80">
        <v>0.56499999999999995</v>
      </c>
      <c r="S126" s="80">
        <v>0.57499999999999996</v>
      </c>
    </row>
    <row r="127" spans="1:19">
      <c r="A127" s="19">
        <f t="shared" si="8"/>
        <v>41305</v>
      </c>
      <c r="B127" s="19">
        <f t="shared" si="7"/>
        <v>41669</v>
      </c>
      <c r="C127" s="84">
        <f t="shared" si="9"/>
        <v>0.24479999999999999</v>
      </c>
      <c r="D127" s="84">
        <f t="shared" si="10"/>
        <v>0.27279999999999999</v>
      </c>
      <c r="E127" s="84">
        <f t="shared" si="12"/>
        <v>6.4799999999999996E-2</v>
      </c>
      <c r="F127" s="84">
        <f t="shared" si="11"/>
        <v>2.6800000000000001E-2</v>
      </c>
      <c r="G127" s="85">
        <v>0.23599999999999999</v>
      </c>
      <c r="H127" s="85">
        <v>0.27200000000000002</v>
      </c>
      <c r="I127" s="85">
        <v>6.4000000000000001E-2</v>
      </c>
      <c r="J127" s="85">
        <v>2.5999999999999999E-2</v>
      </c>
      <c r="K127" s="25">
        <f>((7/3)*L122)+((5/3)*L134)</f>
        <v>14120</v>
      </c>
      <c r="L127" s="93"/>
      <c r="M127" s="80">
        <f t="shared" si="13"/>
        <v>0.57130000000000003</v>
      </c>
      <c r="N127" s="80">
        <v>0.26</v>
      </c>
      <c r="O127" s="80">
        <f t="shared" si="14"/>
        <v>0.58130000000000004</v>
      </c>
      <c r="P127" s="80">
        <v>0.32800000000000001</v>
      </c>
      <c r="Q127" s="80">
        <v>0.68899999999999995</v>
      </c>
      <c r="R127" s="80">
        <v>0.56499999999999995</v>
      </c>
      <c r="S127" s="80">
        <v>0.57499999999999996</v>
      </c>
    </row>
    <row r="128" spans="1:19">
      <c r="A128" s="19">
        <f t="shared" si="8"/>
        <v>41333</v>
      </c>
      <c r="B128" s="19">
        <f t="shared" si="7"/>
        <v>41697</v>
      </c>
      <c r="C128" s="84">
        <f t="shared" si="9"/>
        <v>0.2465</v>
      </c>
      <c r="D128" s="84">
        <f t="shared" si="10"/>
        <v>0.27300000000000002</v>
      </c>
      <c r="E128" s="84">
        <f t="shared" si="12"/>
        <v>6.5000000000000002E-2</v>
      </c>
      <c r="F128" s="84">
        <f t="shared" si="11"/>
        <v>2.7E-2</v>
      </c>
      <c r="G128" s="85">
        <v>0.23599999999999999</v>
      </c>
      <c r="H128" s="85">
        <v>0.27200000000000002</v>
      </c>
      <c r="I128" s="85">
        <v>6.4000000000000001E-2</v>
      </c>
      <c r="J128" s="85">
        <v>2.5999999999999999E-2</v>
      </c>
      <c r="K128" s="25">
        <f>((6/3)*L122)+((6/3)*L134)</f>
        <v>14162</v>
      </c>
      <c r="L128" s="93"/>
      <c r="M128" s="80">
        <f t="shared" si="13"/>
        <v>0.57250000000000001</v>
      </c>
      <c r="N128" s="80">
        <v>0.26</v>
      </c>
      <c r="O128" s="80">
        <f t="shared" si="14"/>
        <v>0.58250000000000002</v>
      </c>
      <c r="P128" s="80">
        <v>0.32800000000000001</v>
      </c>
      <c r="Q128" s="80">
        <v>0.68899999999999995</v>
      </c>
      <c r="R128" s="80">
        <v>0.56499999999999995</v>
      </c>
      <c r="S128" s="80">
        <v>0.57499999999999996</v>
      </c>
    </row>
    <row r="129" spans="1:19">
      <c r="A129" s="19">
        <f t="shared" si="8"/>
        <v>41364</v>
      </c>
      <c r="B129" s="19">
        <f t="shared" si="7"/>
        <v>41728</v>
      </c>
      <c r="C129" s="84">
        <f t="shared" si="9"/>
        <v>0.24829999999999999</v>
      </c>
      <c r="D129" s="84">
        <f t="shared" si="10"/>
        <v>0.2732</v>
      </c>
      <c r="E129" s="84">
        <f t="shared" si="12"/>
        <v>6.5199999999999994E-2</v>
      </c>
      <c r="F129" s="84">
        <f t="shared" si="11"/>
        <v>2.7199999999999998E-2</v>
      </c>
      <c r="G129" s="85">
        <v>0.23599999999999999</v>
      </c>
      <c r="H129" s="85">
        <v>0.27200000000000002</v>
      </c>
      <c r="I129" s="85">
        <v>6.4000000000000001E-2</v>
      </c>
      <c r="J129" s="85">
        <v>2.5999999999999999E-2</v>
      </c>
      <c r="K129" s="25">
        <f>((5/3)*L122)+((7/3)*L134)</f>
        <v>14204</v>
      </c>
      <c r="L129" s="93"/>
      <c r="M129" s="80">
        <f t="shared" si="13"/>
        <v>0.57379999999999998</v>
      </c>
      <c r="N129" s="80">
        <v>0.26</v>
      </c>
      <c r="O129" s="80">
        <f t="shared" si="14"/>
        <v>0.58379999999999999</v>
      </c>
      <c r="P129" s="80">
        <v>0.32800000000000001</v>
      </c>
      <c r="Q129" s="80">
        <v>0.68899999999999995</v>
      </c>
      <c r="R129" s="80">
        <v>0.56499999999999995</v>
      </c>
      <c r="S129" s="80">
        <v>0.57499999999999996</v>
      </c>
    </row>
    <row r="130" spans="1:19">
      <c r="A130" s="19">
        <f t="shared" si="8"/>
        <v>41394</v>
      </c>
      <c r="B130" s="19">
        <f t="shared" ref="B130:B193" si="15">EDATE(A130,12)-1</f>
        <v>41758</v>
      </c>
      <c r="C130" s="84">
        <f t="shared" si="9"/>
        <v>0.25</v>
      </c>
      <c r="D130" s="84">
        <f t="shared" si="10"/>
        <v>0.27329999999999999</v>
      </c>
      <c r="E130" s="84">
        <f t="shared" si="12"/>
        <v>6.5299999999999997E-2</v>
      </c>
      <c r="F130" s="84">
        <f t="shared" si="11"/>
        <v>2.7300000000000001E-2</v>
      </c>
      <c r="G130" s="85">
        <v>0.23599999999999999</v>
      </c>
      <c r="H130" s="85">
        <v>0.27200000000000002</v>
      </c>
      <c r="I130" s="85">
        <v>6.4000000000000001E-2</v>
      </c>
      <c r="J130" s="85">
        <v>2.5999999999999999E-2</v>
      </c>
      <c r="K130" s="25">
        <f>((4/3)*L122)+((8/3)*L134)</f>
        <v>14245</v>
      </c>
      <c r="L130" s="93"/>
      <c r="M130" s="80">
        <f t="shared" si="13"/>
        <v>0.57499999999999996</v>
      </c>
      <c r="N130" s="80">
        <v>0.26</v>
      </c>
      <c r="O130" s="80">
        <f t="shared" si="14"/>
        <v>0.58499999999999996</v>
      </c>
      <c r="P130" s="80">
        <v>0.32800000000000001</v>
      </c>
      <c r="Q130" s="80">
        <v>0.68899999999999995</v>
      </c>
      <c r="R130" s="80">
        <v>0.56499999999999995</v>
      </c>
      <c r="S130" s="80">
        <v>0.57499999999999996</v>
      </c>
    </row>
    <row r="131" spans="1:19">
      <c r="A131" s="19">
        <f t="shared" ref="A131:A194" si="16">EDATE(A130,1)</f>
        <v>41425</v>
      </c>
      <c r="B131" s="19">
        <f t="shared" si="15"/>
        <v>41789</v>
      </c>
      <c r="C131" s="84">
        <f t="shared" ref="C131:C194" si="17">AVERAGE(G131:G142)</f>
        <v>0.25180000000000002</v>
      </c>
      <c r="D131" s="84">
        <f t="shared" ref="D131:D194" si="18">AVERAGE(H131:H142)</f>
        <v>0.27350000000000002</v>
      </c>
      <c r="E131" s="84">
        <f t="shared" si="12"/>
        <v>6.5500000000000003E-2</v>
      </c>
      <c r="F131" s="84">
        <f t="shared" si="11"/>
        <v>2.75E-2</v>
      </c>
      <c r="G131" s="85">
        <v>0.23599999999999999</v>
      </c>
      <c r="H131" s="85">
        <v>0.27200000000000002</v>
      </c>
      <c r="I131" s="85">
        <v>6.4000000000000001E-2</v>
      </c>
      <c r="J131" s="85">
        <v>2.5999999999999999E-2</v>
      </c>
      <c r="K131" s="25">
        <f>((3/3)*L122)+((9/3)*L134)</f>
        <v>14287</v>
      </c>
      <c r="L131" s="93"/>
      <c r="M131" s="80">
        <f t="shared" si="13"/>
        <v>0.57630000000000003</v>
      </c>
      <c r="N131" s="80">
        <v>0.26</v>
      </c>
      <c r="O131" s="80">
        <f t="shared" si="14"/>
        <v>0.58630000000000004</v>
      </c>
      <c r="P131" s="80">
        <v>0.32800000000000001</v>
      </c>
      <c r="Q131" s="80">
        <v>0.68899999999999995</v>
      </c>
      <c r="R131" s="80">
        <v>0.56499999999999995</v>
      </c>
      <c r="S131" s="80">
        <v>0.57499999999999996</v>
      </c>
    </row>
    <row r="132" spans="1:19">
      <c r="A132" s="19">
        <f t="shared" si="16"/>
        <v>41455</v>
      </c>
      <c r="B132" s="19">
        <f t="shared" si="15"/>
        <v>41819</v>
      </c>
      <c r="C132" s="84">
        <f t="shared" si="17"/>
        <v>0.2535</v>
      </c>
      <c r="D132" s="84">
        <f t="shared" si="18"/>
        <v>0.2737</v>
      </c>
      <c r="E132" s="84">
        <f t="shared" si="12"/>
        <v>6.5699999999999995E-2</v>
      </c>
      <c r="F132" s="84">
        <f t="shared" ref="F132:F195" si="19">AVERAGE(J132:J143)</f>
        <v>2.7699999999999999E-2</v>
      </c>
      <c r="G132" s="85">
        <v>0.23599999999999999</v>
      </c>
      <c r="H132" s="85">
        <v>0.27200000000000002</v>
      </c>
      <c r="I132" s="85">
        <v>6.4000000000000001E-2</v>
      </c>
      <c r="J132" s="85">
        <v>2.5999999999999999E-2</v>
      </c>
      <c r="K132" s="25">
        <f>((2/3)*L122)+((10/3)*L134)</f>
        <v>14329</v>
      </c>
      <c r="L132" s="93"/>
      <c r="M132" s="80">
        <f t="shared" si="13"/>
        <v>0.57750000000000001</v>
      </c>
      <c r="N132" s="80">
        <v>0.26</v>
      </c>
      <c r="O132" s="80">
        <f t="shared" si="14"/>
        <v>0.58750000000000002</v>
      </c>
      <c r="P132" s="80">
        <v>0.32800000000000001</v>
      </c>
      <c r="Q132" s="80">
        <v>0.68899999999999995</v>
      </c>
      <c r="R132" s="80">
        <v>0.56499999999999995</v>
      </c>
      <c r="S132" s="80">
        <v>0.57499999999999996</v>
      </c>
    </row>
    <row r="133" spans="1:19">
      <c r="A133" s="19">
        <f t="shared" si="16"/>
        <v>41486</v>
      </c>
      <c r="B133" s="19">
        <f t="shared" si="15"/>
        <v>41850</v>
      </c>
      <c r="C133" s="81">
        <f t="shared" si="17"/>
        <v>0.25530000000000003</v>
      </c>
      <c r="D133" s="81">
        <f t="shared" si="18"/>
        <v>0.27379999999999999</v>
      </c>
      <c r="E133" s="81">
        <f t="shared" si="12"/>
        <v>6.5799999999999997E-2</v>
      </c>
      <c r="F133" s="81">
        <f t="shared" si="19"/>
        <v>2.7799999999999998E-2</v>
      </c>
      <c r="G133" s="85">
        <v>0.23599999999999999</v>
      </c>
      <c r="H133" s="85">
        <v>0.27200000000000002</v>
      </c>
      <c r="I133" s="85">
        <v>6.4000000000000001E-2</v>
      </c>
      <c r="J133" s="85">
        <v>2.5999999999999999E-2</v>
      </c>
      <c r="K133" s="25">
        <f>((1/3)*L122)+((11/3)*L134)</f>
        <v>14370</v>
      </c>
      <c r="L133" s="93"/>
      <c r="M133" s="80">
        <f t="shared" si="13"/>
        <v>0.57879999999999998</v>
      </c>
      <c r="N133" s="80">
        <v>0.26</v>
      </c>
      <c r="O133" s="80">
        <f t="shared" si="14"/>
        <v>0.58879999999999999</v>
      </c>
      <c r="P133" s="80">
        <v>0.32800000000000001</v>
      </c>
      <c r="Q133" s="80">
        <v>0.68899999999999995</v>
      </c>
      <c r="R133" s="80">
        <v>0.56499999999999995</v>
      </c>
      <c r="S133" s="80">
        <v>0.57499999999999996</v>
      </c>
    </row>
    <row r="134" spans="1:19" s="78" customFormat="1">
      <c r="A134" s="77">
        <f t="shared" si="16"/>
        <v>41517</v>
      </c>
      <c r="B134" s="77">
        <f t="shared" si="15"/>
        <v>41881</v>
      </c>
      <c r="C134" s="86">
        <f t="shared" si="17"/>
        <v>0.25700000000000001</v>
      </c>
      <c r="D134" s="86">
        <f t="shared" si="18"/>
        <v>0.27400000000000002</v>
      </c>
      <c r="E134" s="86">
        <f t="shared" si="12"/>
        <v>6.6000000000000003E-2</v>
      </c>
      <c r="F134" s="86">
        <f t="shared" si="19"/>
        <v>2.8000000000000001E-2</v>
      </c>
      <c r="G134" s="87">
        <v>0.25700000000000001</v>
      </c>
      <c r="H134" s="87">
        <v>0.27400000000000002</v>
      </c>
      <c r="I134" s="87">
        <v>6.6000000000000003E-2</v>
      </c>
      <c r="J134" s="87">
        <v>2.8000000000000001E-2</v>
      </c>
      <c r="K134" s="76">
        <f>(L134*4)</f>
        <v>14412</v>
      </c>
      <c r="L134" s="94">
        <v>3603</v>
      </c>
      <c r="M134" s="353">
        <f t="shared" si="13"/>
        <v>0.57999999999999996</v>
      </c>
      <c r="N134" s="353">
        <v>0.26</v>
      </c>
      <c r="O134" s="353">
        <f t="shared" si="14"/>
        <v>0.59</v>
      </c>
      <c r="P134" s="353">
        <v>0.32800000000000001</v>
      </c>
      <c r="Q134" s="353">
        <v>0.68899999999999995</v>
      </c>
      <c r="R134" s="353">
        <v>0.57999999999999996</v>
      </c>
      <c r="S134" s="353">
        <v>0.59</v>
      </c>
    </row>
    <row r="135" spans="1:19" s="78" customFormat="1">
      <c r="A135" s="77">
        <f t="shared" si="16"/>
        <v>41547</v>
      </c>
      <c r="B135" s="77">
        <f t="shared" si="15"/>
        <v>41911</v>
      </c>
      <c r="C135" s="86">
        <f t="shared" si="17"/>
        <v>0.25740000000000002</v>
      </c>
      <c r="D135" s="86">
        <f t="shared" si="18"/>
        <v>0.2747</v>
      </c>
      <c r="E135" s="86">
        <f t="shared" si="12"/>
        <v>6.5799999999999997E-2</v>
      </c>
      <c r="F135" s="86">
        <f t="shared" si="19"/>
        <v>2.7799999999999998E-2</v>
      </c>
      <c r="G135" s="87">
        <v>0.25700000000000001</v>
      </c>
      <c r="H135" s="87">
        <v>0.27400000000000002</v>
      </c>
      <c r="I135" s="87">
        <v>6.6000000000000003E-2</v>
      </c>
      <c r="J135" s="87">
        <v>2.8000000000000001E-2</v>
      </c>
      <c r="K135" s="76">
        <f>((11/3)*L134)+((1/3)*L146)</f>
        <v>14455</v>
      </c>
      <c r="L135" s="94"/>
      <c r="M135" s="353">
        <f t="shared" si="13"/>
        <v>0.57999999999999996</v>
      </c>
      <c r="N135" s="353">
        <v>0.26</v>
      </c>
      <c r="O135" s="353">
        <f t="shared" si="14"/>
        <v>0.59</v>
      </c>
      <c r="P135" s="353">
        <v>0.32800000000000001</v>
      </c>
      <c r="Q135" s="353">
        <v>0.68899999999999995</v>
      </c>
      <c r="R135" s="353">
        <v>0.57999999999999996</v>
      </c>
      <c r="S135" s="353">
        <v>0.59</v>
      </c>
    </row>
    <row r="136" spans="1:19" s="78" customFormat="1">
      <c r="A136" s="77">
        <f t="shared" si="16"/>
        <v>41578</v>
      </c>
      <c r="B136" s="77">
        <f t="shared" si="15"/>
        <v>41942</v>
      </c>
      <c r="C136" s="86">
        <f t="shared" si="17"/>
        <v>0.25779999999999997</v>
      </c>
      <c r="D136" s="86">
        <f t="shared" si="18"/>
        <v>0.27529999999999999</v>
      </c>
      <c r="E136" s="86">
        <f t="shared" si="12"/>
        <v>6.5699999999999995E-2</v>
      </c>
      <c r="F136" s="86">
        <f t="shared" si="19"/>
        <v>2.7699999999999999E-2</v>
      </c>
      <c r="G136" s="87">
        <v>0.25700000000000001</v>
      </c>
      <c r="H136" s="87">
        <v>0.27400000000000002</v>
      </c>
      <c r="I136" s="87">
        <v>6.6000000000000003E-2</v>
      </c>
      <c r="J136" s="87">
        <v>2.8000000000000001E-2</v>
      </c>
      <c r="K136" s="76">
        <f>((10/3)*L134)+((2/3)*L146)</f>
        <v>14499</v>
      </c>
      <c r="L136" s="94"/>
      <c r="M136" s="353">
        <f t="shared" si="13"/>
        <v>0.57999999999999996</v>
      </c>
      <c r="N136" s="353">
        <v>0.26</v>
      </c>
      <c r="O136" s="353">
        <f t="shared" si="14"/>
        <v>0.59</v>
      </c>
      <c r="P136" s="353">
        <v>0.32800000000000001</v>
      </c>
      <c r="Q136" s="353">
        <v>0.68899999999999995</v>
      </c>
      <c r="R136" s="353">
        <v>0.57999999999999996</v>
      </c>
      <c r="S136" s="353">
        <v>0.59</v>
      </c>
    </row>
    <row r="137" spans="1:19" s="78" customFormat="1">
      <c r="A137" s="77">
        <f t="shared" si="16"/>
        <v>41608</v>
      </c>
      <c r="B137" s="77">
        <f t="shared" si="15"/>
        <v>41972</v>
      </c>
      <c r="C137" s="86">
        <f t="shared" si="17"/>
        <v>0.25829999999999997</v>
      </c>
      <c r="D137" s="86">
        <f t="shared" si="18"/>
        <v>0.27600000000000002</v>
      </c>
      <c r="E137" s="86">
        <f t="shared" si="12"/>
        <v>6.5500000000000003E-2</v>
      </c>
      <c r="F137" s="86">
        <f t="shared" si="19"/>
        <v>2.75E-2</v>
      </c>
      <c r="G137" s="87">
        <v>0.25700000000000001</v>
      </c>
      <c r="H137" s="87">
        <v>0.27400000000000002</v>
      </c>
      <c r="I137" s="87">
        <v>6.6000000000000003E-2</v>
      </c>
      <c r="J137" s="87">
        <v>2.8000000000000001E-2</v>
      </c>
      <c r="K137" s="76">
        <f>((9/3)*L134)+((3/3)*L146)</f>
        <v>14542</v>
      </c>
      <c r="L137" s="94"/>
      <c r="M137" s="353">
        <f t="shared" si="13"/>
        <v>0.57999999999999996</v>
      </c>
      <c r="N137" s="353">
        <v>0.26</v>
      </c>
      <c r="O137" s="353">
        <f t="shared" si="14"/>
        <v>0.59</v>
      </c>
      <c r="P137" s="353">
        <v>0.32800000000000001</v>
      </c>
      <c r="Q137" s="353">
        <v>0.68899999999999995</v>
      </c>
      <c r="R137" s="353">
        <v>0.57999999999999996</v>
      </c>
      <c r="S137" s="353">
        <v>0.59</v>
      </c>
    </row>
    <row r="138" spans="1:19" s="78" customFormat="1">
      <c r="A138" s="77">
        <f t="shared" si="16"/>
        <v>41639</v>
      </c>
      <c r="B138" s="77">
        <f t="shared" si="15"/>
        <v>42003</v>
      </c>
      <c r="C138" s="86">
        <f t="shared" si="17"/>
        <v>0.25869999999999999</v>
      </c>
      <c r="D138" s="86">
        <f t="shared" si="18"/>
        <v>0.2767</v>
      </c>
      <c r="E138" s="86">
        <f t="shared" si="12"/>
        <v>6.5299999999999997E-2</v>
      </c>
      <c r="F138" s="86">
        <f t="shared" si="19"/>
        <v>2.7300000000000001E-2</v>
      </c>
      <c r="G138" s="87">
        <v>0.25700000000000001</v>
      </c>
      <c r="H138" s="87">
        <v>0.27400000000000002</v>
      </c>
      <c r="I138" s="87">
        <v>6.6000000000000003E-2</v>
      </c>
      <c r="J138" s="87">
        <v>2.8000000000000001E-2</v>
      </c>
      <c r="K138" s="76">
        <f>((8/3)*L134)+((4/3)*L146)</f>
        <v>14585</v>
      </c>
      <c r="L138" s="94"/>
      <c r="M138" s="353">
        <f t="shared" si="13"/>
        <v>0.57999999999999996</v>
      </c>
      <c r="N138" s="353">
        <v>0.26</v>
      </c>
      <c r="O138" s="353">
        <f t="shared" si="14"/>
        <v>0.59</v>
      </c>
      <c r="P138" s="353">
        <v>0.32800000000000001</v>
      </c>
      <c r="Q138" s="353">
        <v>0.68899999999999995</v>
      </c>
      <c r="R138" s="353">
        <v>0.57999999999999996</v>
      </c>
      <c r="S138" s="353">
        <v>0.59</v>
      </c>
    </row>
    <row r="139" spans="1:19" s="78" customFormat="1">
      <c r="A139" s="77">
        <f t="shared" si="16"/>
        <v>41670</v>
      </c>
      <c r="B139" s="77">
        <f t="shared" si="15"/>
        <v>42034</v>
      </c>
      <c r="C139" s="86">
        <f t="shared" si="17"/>
        <v>0.2591</v>
      </c>
      <c r="D139" s="86">
        <f t="shared" si="18"/>
        <v>0.27729999999999999</v>
      </c>
      <c r="E139" s="86">
        <f t="shared" si="12"/>
        <v>6.5199999999999994E-2</v>
      </c>
      <c r="F139" s="86">
        <f t="shared" si="19"/>
        <v>2.7199999999999998E-2</v>
      </c>
      <c r="G139" s="87">
        <v>0.25700000000000001</v>
      </c>
      <c r="H139" s="87">
        <v>0.27400000000000002</v>
      </c>
      <c r="I139" s="87">
        <v>6.6000000000000003E-2</v>
      </c>
      <c r="J139" s="87">
        <v>2.8000000000000001E-2</v>
      </c>
      <c r="K139" s="76">
        <f>((7/3)*L134)+((5/3)*L146)</f>
        <v>14629</v>
      </c>
      <c r="L139" s="94"/>
      <c r="M139" s="353">
        <f t="shared" si="13"/>
        <v>0.57999999999999996</v>
      </c>
      <c r="N139" s="353">
        <v>0.26</v>
      </c>
      <c r="O139" s="353">
        <f t="shared" si="14"/>
        <v>0.59</v>
      </c>
      <c r="P139" s="353">
        <v>0.32800000000000001</v>
      </c>
      <c r="Q139" s="353">
        <v>0.68899999999999995</v>
      </c>
      <c r="R139" s="353">
        <v>0.57999999999999996</v>
      </c>
      <c r="S139" s="353">
        <v>0.59</v>
      </c>
    </row>
    <row r="140" spans="1:19" s="78" customFormat="1">
      <c r="A140" s="77">
        <f t="shared" si="16"/>
        <v>41698</v>
      </c>
      <c r="B140" s="77">
        <f t="shared" si="15"/>
        <v>42062</v>
      </c>
      <c r="C140" s="86">
        <f t="shared" si="17"/>
        <v>0.25950000000000001</v>
      </c>
      <c r="D140" s="86">
        <f t="shared" si="18"/>
        <v>0.27800000000000002</v>
      </c>
      <c r="E140" s="86">
        <f t="shared" si="12"/>
        <v>6.5000000000000002E-2</v>
      </c>
      <c r="F140" s="86">
        <f t="shared" si="19"/>
        <v>2.7E-2</v>
      </c>
      <c r="G140" s="87">
        <v>0.25700000000000001</v>
      </c>
      <c r="H140" s="87">
        <v>0.27400000000000002</v>
      </c>
      <c r="I140" s="87">
        <v>6.6000000000000003E-2</v>
      </c>
      <c r="J140" s="87">
        <v>2.8000000000000001E-2</v>
      </c>
      <c r="K140" s="76">
        <f>((6/3)*L134)+((6/3)*L146)</f>
        <v>14672</v>
      </c>
      <c r="L140" s="94"/>
      <c r="M140" s="353">
        <f t="shared" si="13"/>
        <v>0.57999999999999996</v>
      </c>
      <c r="N140" s="353">
        <v>0.26</v>
      </c>
      <c r="O140" s="353">
        <f t="shared" si="14"/>
        <v>0.59</v>
      </c>
      <c r="P140" s="353">
        <v>0.32800000000000001</v>
      </c>
      <c r="Q140" s="353">
        <v>0.68899999999999995</v>
      </c>
      <c r="R140" s="353">
        <v>0.57999999999999996</v>
      </c>
      <c r="S140" s="353">
        <v>0.59</v>
      </c>
    </row>
    <row r="141" spans="1:19" s="78" customFormat="1">
      <c r="A141" s="77">
        <f t="shared" si="16"/>
        <v>41729</v>
      </c>
      <c r="B141" s="77">
        <f t="shared" si="15"/>
        <v>42093</v>
      </c>
      <c r="C141" s="86">
        <f t="shared" si="17"/>
        <v>0.25990000000000002</v>
      </c>
      <c r="D141" s="86">
        <f t="shared" si="18"/>
        <v>0.2787</v>
      </c>
      <c r="E141" s="86">
        <f t="shared" si="12"/>
        <v>6.4799999999999996E-2</v>
      </c>
      <c r="F141" s="86">
        <f t="shared" si="19"/>
        <v>2.6800000000000001E-2</v>
      </c>
      <c r="G141" s="87">
        <v>0.25700000000000001</v>
      </c>
      <c r="H141" s="87">
        <v>0.27400000000000002</v>
      </c>
      <c r="I141" s="87">
        <v>6.6000000000000003E-2</v>
      </c>
      <c r="J141" s="87">
        <v>2.8000000000000001E-2</v>
      </c>
      <c r="K141" s="76">
        <f>((5/3)*L134)+((7/3)*L146)</f>
        <v>14715</v>
      </c>
      <c r="L141" s="94"/>
      <c r="M141" s="353">
        <f t="shared" si="13"/>
        <v>0.57999999999999996</v>
      </c>
      <c r="N141" s="353">
        <v>0.26</v>
      </c>
      <c r="O141" s="353">
        <f t="shared" si="14"/>
        <v>0.59</v>
      </c>
      <c r="P141" s="353">
        <v>0.32800000000000001</v>
      </c>
      <c r="Q141" s="353">
        <v>0.68899999999999995</v>
      </c>
      <c r="R141" s="353">
        <v>0.57999999999999996</v>
      </c>
      <c r="S141" s="353">
        <v>0.59</v>
      </c>
    </row>
    <row r="142" spans="1:19" s="78" customFormat="1">
      <c r="A142" s="77">
        <f t="shared" si="16"/>
        <v>41759</v>
      </c>
      <c r="B142" s="77">
        <f t="shared" si="15"/>
        <v>42123</v>
      </c>
      <c r="C142" s="86">
        <f t="shared" si="17"/>
        <v>0.26029999999999998</v>
      </c>
      <c r="D142" s="86">
        <f t="shared" si="18"/>
        <v>0.27929999999999999</v>
      </c>
      <c r="E142" s="86">
        <f t="shared" si="12"/>
        <v>6.4699999999999994E-2</v>
      </c>
      <c r="F142" s="86">
        <f t="shared" si="19"/>
        <v>2.6700000000000002E-2</v>
      </c>
      <c r="G142" s="87">
        <v>0.25700000000000001</v>
      </c>
      <c r="H142" s="87">
        <v>0.27400000000000002</v>
      </c>
      <c r="I142" s="87">
        <v>6.6000000000000003E-2</v>
      </c>
      <c r="J142" s="87">
        <v>2.8000000000000001E-2</v>
      </c>
      <c r="K142" s="76">
        <f>((4/3)*L134)+((8/3)*L146)</f>
        <v>14759</v>
      </c>
      <c r="L142" s="94"/>
      <c r="M142" s="353">
        <f t="shared" si="13"/>
        <v>0.57999999999999996</v>
      </c>
      <c r="N142" s="353">
        <v>0.26</v>
      </c>
      <c r="O142" s="353">
        <f t="shared" si="14"/>
        <v>0.59</v>
      </c>
      <c r="P142" s="353">
        <v>0.32800000000000001</v>
      </c>
      <c r="Q142" s="353">
        <v>0.68899999999999995</v>
      </c>
      <c r="R142" s="353">
        <v>0.57999999999999996</v>
      </c>
      <c r="S142" s="353">
        <v>0.59</v>
      </c>
    </row>
    <row r="143" spans="1:19" s="78" customFormat="1">
      <c r="A143" s="77">
        <f t="shared" si="16"/>
        <v>41790</v>
      </c>
      <c r="B143" s="77">
        <f t="shared" si="15"/>
        <v>42154</v>
      </c>
      <c r="C143" s="86">
        <f t="shared" si="17"/>
        <v>0.26079999999999998</v>
      </c>
      <c r="D143" s="86">
        <f t="shared" si="18"/>
        <v>0.28000000000000003</v>
      </c>
      <c r="E143" s="86">
        <f t="shared" si="12"/>
        <v>6.4500000000000002E-2</v>
      </c>
      <c r="F143" s="86">
        <f t="shared" si="19"/>
        <v>2.6499999999999999E-2</v>
      </c>
      <c r="G143" s="87">
        <v>0.25700000000000001</v>
      </c>
      <c r="H143" s="87">
        <v>0.27400000000000002</v>
      </c>
      <c r="I143" s="87">
        <v>6.6000000000000003E-2</v>
      </c>
      <c r="J143" s="87">
        <v>2.8000000000000001E-2</v>
      </c>
      <c r="K143" s="76">
        <f>((3/3)*L134)+((9/3)*L146)</f>
        <v>14802</v>
      </c>
      <c r="L143" s="94"/>
      <c r="M143" s="353">
        <f t="shared" si="13"/>
        <v>0.57999999999999996</v>
      </c>
      <c r="N143" s="353">
        <v>0.26</v>
      </c>
      <c r="O143" s="353">
        <f t="shared" si="14"/>
        <v>0.59</v>
      </c>
      <c r="P143" s="353">
        <v>0.32800000000000001</v>
      </c>
      <c r="Q143" s="353">
        <v>0.68899999999999995</v>
      </c>
      <c r="R143" s="353">
        <v>0.57999999999999996</v>
      </c>
      <c r="S143" s="353">
        <v>0.59</v>
      </c>
    </row>
    <row r="144" spans="1:19" s="78" customFormat="1">
      <c r="A144" s="77">
        <f t="shared" si="16"/>
        <v>41820</v>
      </c>
      <c r="B144" s="77">
        <f t="shared" si="15"/>
        <v>42184</v>
      </c>
      <c r="C144" s="86">
        <f t="shared" si="17"/>
        <v>0.26119999999999999</v>
      </c>
      <c r="D144" s="86">
        <f t="shared" si="18"/>
        <v>0.28070000000000001</v>
      </c>
      <c r="E144" s="86">
        <f t="shared" si="12"/>
        <v>6.4299999999999996E-2</v>
      </c>
      <c r="F144" s="86">
        <f t="shared" si="19"/>
        <v>2.63E-2</v>
      </c>
      <c r="G144" s="87">
        <v>0.25700000000000001</v>
      </c>
      <c r="H144" s="87">
        <v>0.27400000000000002</v>
      </c>
      <c r="I144" s="87">
        <v>6.6000000000000003E-2</v>
      </c>
      <c r="J144" s="87">
        <v>2.8000000000000001E-2</v>
      </c>
      <c r="K144" s="76">
        <f>((2/3)*L134)+((10/3)*L146)</f>
        <v>14845</v>
      </c>
      <c r="L144" s="94"/>
      <c r="M144" s="353">
        <f t="shared" si="13"/>
        <v>0.57999999999999996</v>
      </c>
      <c r="N144" s="353">
        <v>0.26</v>
      </c>
      <c r="O144" s="353">
        <f t="shared" si="14"/>
        <v>0.59</v>
      </c>
      <c r="P144" s="353">
        <v>0.32800000000000001</v>
      </c>
      <c r="Q144" s="353">
        <v>0.68899999999999995</v>
      </c>
      <c r="R144" s="353">
        <v>0.57999999999999996</v>
      </c>
      <c r="S144" s="353">
        <v>0.59</v>
      </c>
    </row>
    <row r="145" spans="1:19" s="78" customFormat="1">
      <c r="A145" s="77">
        <f t="shared" si="16"/>
        <v>41851</v>
      </c>
      <c r="B145" s="77">
        <f t="shared" si="15"/>
        <v>42215</v>
      </c>
      <c r="C145" s="86">
        <f t="shared" si="17"/>
        <v>0.2616</v>
      </c>
      <c r="D145" s="86">
        <f t="shared" si="18"/>
        <v>0.28129999999999999</v>
      </c>
      <c r="E145" s="86">
        <f t="shared" si="12"/>
        <v>6.4199999999999993E-2</v>
      </c>
      <c r="F145" s="86">
        <f t="shared" si="19"/>
        <v>2.6200000000000001E-2</v>
      </c>
      <c r="G145" s="87">
        <v>0.25700000000000001</v>
      </c>
      <c r="H145" s="87">
        <v>0.27400000000000002</v>
      </c>
      <c r="I145" s="87">
        <v>6.6000000000000003E-2</v>
      </c>
      <c r="J145" s="87">
        <v>2.8000000000000001E-2</v>
      </c>
      <c r="K145" s="76">
        <f>((1/3)*L134)+((11/3)*L146)</f>
        <v>14889</v>
      </c>
      <c r="L145" s="94"/>
      <c r="M145" s="353">
        <f t="shared" si="13"/>
        <v>0.57999999999999996</v>
      </c>
      <c r="N145" s="353">
        <v>0.26</v>
      </c>
      <c r="O145" s="353">
        <f t="shared" si="14"/>
        <v>0.59</v>
      </c>
      <c r="P145" s="353">
        <v>0.32800000000000001</v>
      </c>
      <c r="Q145" s="353">
        <v>0.68899999999999995</v>
      </c>
      <c r="R145" s="353">
        <v>0.57999999999999996</v>
      </c>
      <c r="S145" s="353">
        <v>0.59</v>
      </c>
    </row>
    <row r="146" spans="1:19">
      <c r="A146" s="19">
        <f t="shared" si="16"/>
        <v>41882</v>
      </c>
      <c r="B146" s="19">
        <f t="shared" si="15"/>
        <v>42246</v>
      </c>
      <c r="C146" s="84">
        <f t="shared" si="17"/>
        <v>0.26200000000000001</v>
      </c>
      <c r="D146" s="84">
        <f t="shared" si="18"/>
        <v>0.28199999999999997</v>
      </c>
      <c r="E146" s="84">
        <f t="shared" si="12"/>
        <v>6.4000000000000001E-2</v>
      </c>
      <c r="F146" s="84">
        <f t="shared" si="19"/>
        <v>2.5999999999999999E-2</v>
      </c>
      <c r="G146" s="85">
        <v>0.26200000000000001</v>
      </c>
      <c r="H146" s="85">
        <v>0.28199999999999997</v>
      </c>
      <c r="I146" s="85">
        <v>6.4000000000000001E-2</v>
      </c>
      <c r="J146" s="85">
        <v>2.5999999999999999E-2</v>
      </c>
      <c r="K146" s="25">
        <f>(L146*4)</f>
        <v>14932</v>
      </c>
      <c r="L146" s="93">
        <v>3733</v>
      </c>
      <c r="M146" s="80">
        <f t="shared" si="13"/>
        <v>0.57999999999999996</v>
      </c>
      <c r="N146" s="80">
        <v>0.26</v>
      </c>
      <c r="O146" s="80">
        <f t="shared" si="14"/>
        <v>0.59</v>
      </c>
      <c r="P146" s="80">
        <v>0.32800000000000001</v>
      </c>
      <c r="Q146" s="80">
        <v>0.68899999999999995</v>
      </c>
      <c r="R146" s="80">
        <v>0.57999999999999996</v>
      </c>
      <c r="S146" s="80">
        <v>0.59</v>
      </c>
    </row>
    <row r="147" spans="1:19">
      <c r="A147" s="19">
        <f t="shared" si="16"/>
        <v>41912</v>
      </c>
      <c r="B147" s="19">
        <f t="shared" si="15"/>
        <v>42276</v>
      </c>
      <c r="C147" s="84">
        <f t="shared" si="17"/>
        <v>0.26250000000000001</v>
      </c>
      <c r="D147" s="84">
        <f t="shared" si="18"/>
        <v>0.2823</v>
      </c>
      <c r="E147" s="84">
        <f t="shared" ref="E147:F196" si="20">AVERAGE(I147:I158)</f>
        <v>6.4199999999999993E-2</v>
      </c>
      <c r="F147" s="84">
        <f t="shared" si="19"/>
        <v>2.5999999999999999E-2</v>
      </c>
      <c r="G147" s="85">
        <v>0.26200000000000001</v>
      </c>
      <c r="H147" s="85">
        <v>0.28199999999999997</v>
      </c>
      <c r="I147" s="85">
        <v>6.4000000000000001E-2</v>
      </c>
      <c r="J147" s="85">
        <v>2.5999999999999999E-2</v>
      </c>
      <c r="K147" s="25">
        <f>((11/3)*L146)+((1/3)*L158)</f>
        <v>14977</v>
      </c>
      <c r="L147" s="93"/>
      <c r="M147" s="80">
        <f t="shared" si="13"/>
        <v>0.57999999999999996</v>
      </c>
      <c r="N147" s="80">
        <v>0.26</v>
      </c>
      <c r="O147" s="80">
        <f t="shared" si="14"/>
        <v>0.59</v>
      </c>
      <c r="P147" s="80">
        <v>0.32800000000000001</v>
      </c>
      <c r="Q147" s="80">
        <v>0.68899999999999995</v>
      </c>
      <c r="R147" s="80">
        <v>0.57999999999999996</v>
      </c>
      <c r="S147" s="80">
        <v>0.59</v>
      </c>
    </row>
    <row r="148" spans="1:19">
      <c r="A148" s="19">
        <f t="shared" si="16"/>
        <v>41943</v>
      </c>
      <c r="B148" s="19">
        <f t="shared" si="15"/>
        <v>42307</v>
      </c>
      <c r="C148" s="84">
        <f t="shared" si="17"/>
        <v>0.26300000000000001</v>
      </c>
      <c r="D148" s="84">
        <f t="shared" si="18"/>
        <v>0.28270000000000001</v>
      </c>
      <c r="E148" s="84">
        <f t="shared" si="20"/>
        <v>6.4299999999999996E-2</v>
      </c>
      <c r="F148" s="84">
        <f t="shared" si="19"/>
        <v>2.5999999999999999E-2</v>
      </c>
      <c r="G148" s="85">
        <v>0.26200000000000001</v>
      </c>
      <c r="H148" s="85">
        <v>0.28199999999999997</v>
      </c>
      <c r="I148" s="85">
        <v>6.4000000000000001E-2</v>
      </c>
      <c r="J148" s="85">
        <v>2.5999999999999999E-2</v>
      </c>
      <c r="K148" s="25">
        <f>((10/3)*L146)+((2/3)*L158)</f>
        <v>15021</v>
      </c>
      <c r="L148" s="93"/>
      <c r="M148" s="80">
        <f t="shared" si="13"/>
        <v>0.57999999999999996</v>
      </c>
      <c r="N148" s="80">
        <v>0.26</v>
      </c>
      <c r="O148" s="80">
        <f t="shared" si="14"/>
        <v>0.59</v>
      </c>
      <c r="P148" s="80">
        <v>0.32800000000000001</v>
      </c>
      <c r="Q148" s="80">
        <v>0.68899999999999995</v>
      </c>
      <c r="R148" s="80">
        <v>0.57999999999999996</v>
      </c>
      <c r="S148" s="80">
        <v>0.59</v>
      </c>
    </row>
    <row r="149" spans="1:19">
      <c r="A149" s="19">
        <f t="shared" si="16"/>
        <v>41973</v>
      </c>
      <c r="B149" s="19">
        <f t="shared" si="15"/>
        <v>42337</v>
      </c>
      <c r="C149" s="84">
        <f t="shared" si="17"/>
        <v>0.26350000000000001</v>
      </c>
      <c r="D149" s="84">
        <f t="shared" si="18"/>
        <v>0.28299999999999997</v>
      </c>
      <c r="E149" s="84">
        <f t="shared" si="20"/>
        <v>6.4500000000000002E-2</v>
      </c>
      <c r="F149" s="84">
        <f t="shared" si="19"/>
        <v>2.5999999999999999E-2</v>
      </c>
      <c r="G149" s="85">
        <v>0.26200000000000001</v>
      </c>
      <c r="H149" s="85">
        <v>0.28199999999999997</v>
      </c>
      <c r="I149" s="85">
        <v>6.4000000000000001E-2</v>
      </c>
      <c r="J149" s="85">
        <v>2.5999999999999999E-2</v>
      </c>
      <c r="K149" s="25">
        <f>((9/3)*L146)+((3/3)*L158)</f>
        <v>15066</v>
      </c>
      <c r="L149" s="93"/>
      <c r="M149" s="80">
        <f t="shared" si="13"/>
        <v>0.57999999999999996</v>
      </c>
      <c r="N149" s="80">
        <v>0.26</v>
      </c>
      <c r="O149" s="80">
        <f t="shared" si="14"/>
        <v>0.59</v>
      </c>
      <c r="P149" s="80">
        <v>0.32800000000000001</v>
      </c>
      <c r="Q149" s="80">
        <v>0.68899999999999995</v>
      </c>
      <c r="R149" s="80">
        <v>0.57999999999999996</v>
      </c>
      <c r="S149" s="80">
        <v>0.59</v>
      </c>
    </row>
    <row r="150" spans="1:19">
      <c r="A150" s="19">
        <f t="shared" si="16"/>
        <v>42004</v>
      </c>
      <c r="B150" s="19">
        <f t="shared" si="15"/>
        <v>42368</v>
      </c>
      <c r="C150" s="84">
        <f t="shared" si="17"/>
        <v>0.26400000000000001</v>
      </c>
      <c r="D150" s="84">
        <f t="shared" si="18"/>
        <v>0.2833</v>
      </c>
      <c r="E150" s="84">
        <f t="shared" si="20"/>
        <v>6.4699999999999994E-2</v>
      </c>
      <c r="F150" s="84">
        <f t="shared" si="19"/>
        <v>2.5999999999999999E-2</v>
      </c>
      <c r="G150" s="85">
        <v>0.26200000000000001</v>
      </c>
      <c r="H150" s="85">
        <v>0.28199999999999997</v>
      </c>
      <c r="I150" s="85">
        <v>6.4000000000000001E-2</v>
      </c>
      <c r="J150" s="85">
        <v>2.5999999999999999E-2</v>
      </c>
      <c r="K150" s="25">
        <f>((8/3)*L146)+((4/3)*L158)</f>
        <v>15111</v>
      </c>
      <c r="L150" s="93"/>
      <c r="M150" s="80">
        <f t="shared" si="13"/>
        <v>0.57999999999999996</v>
      </c>
      <c r="N150" s="80">
        <v>0.26</v>
      </c>
      <c r="O150" s="80">
        <f t="shared" si="14"/>
        <v>0.59</v>
      </c>
      <c r="P150" s="80">
        <v>0.32800000000000001</v>
      </c>
      <c r="Q150" s="80">
        <v>0.68899999999999995</v>
      </c>
      <c r="R150" s="80">
        <v>0.57999999999999996</v>
      </c>
      <c r="S150" s="80">
        <v>0.59</v>
      </c>
    </row>
    <row r="151" spans="1:19">
      <c r="A151" s="19">
        <f t="shared" si="16"/>
        <v>42035</v>
      </c>
      <c r="B151" s="19">
        <f t="shared" si="15"/>
        <v>42399</v>
      </c>
      <c r="C151" s="84">
        <f t="shared" si="17"/>
        <v>0.26450000000000001</v>
      </c>
      <c r="D151" s="84">
        <f t="shared" si="18"/>
        <v>0.28370000000000001</v>
      </c>
      <c r="E151" s="84">
        <f t="shared" si="20"/>
        <v>6.4799999999999996E-2</v>
      </c>
      <c r="F151" s="84">
        <f t="shared" si="19"/>
        <v>2.5999999999999999E-2</v>
      </c>
      <c r="G151" s="85">
        <v>0.26200000000000001</v>
      </c>
      <c r="H151" s="85">
        <v>0.28199999999999997</v>
      </c>
      <c r="I151" s="85">
        <v>6.4000000000000001E-2</v>
      </c>
      <c r="J151" s="85">
        <v>2.5999999999999999E-2</v>
      </c>
      <c r="K151" s="25">
        <f>((7/3)*L146)+((5/3)*L158)</f>
        <v>15155</v>
      </c>
      <c r="L151" s="93"/>
      <c r="M151" s="80">
        <f t="shared" si="13"/>
        <v>0.57999999999999996</v>
      </c>
      <c r="N151" s="80">
        <v>0.26</v>
      </c>
      <c r="O151" s="80">
        <f t="shared" si="14"/>
        <v>0.59</v>
      </c>
      <c r="P151" s="80">
        <v>0.32800000000000001</v>
      </c>
      <c r="Q151" s="80">
        <v>0.68899999999999995</v>
      </c>
      <c r="R151" s="80">
        <v>0.57999999999999996</v>
      </c>
      <c r="S151" s="80">
        <v>0.59</v>
      </c>
    </row>
    <row r="152" spans="1:19">
      <c r="A152" s="19">
        <f t="shared" si="16"/>
        <v>42063</v>
      </c>
      <c r="B152" s="19">
        <f t="shared" si="15"/>
        <v>42428</v>
      </c>
      <c r="C152" s="84">
        <f t="shared" si="17"/>
        <v>0.26500000000000001</v>
      </c>
      <c r="D152" s="84">
        <f t="shared" si="18"/>
        <v>0.28399999999999997</v>
      </c>
      <c r="E152" s="84">
        <f t="shared" si="20"/>
        <v>6.5000000000000002E-2</v>
      </c>
      <c r="F152" s="84">
        <f t="shared" si="19"/>
        <v>2.5999999999999999E-2</v>
      </c>
      <c r="G152" s="85">
        <v>0.26200000000000001</v>
      </c>
      <c r="H152" s="85">
        <v>0.28199999999999997</v>
      </c>
      <c r="I152" s="85">
        <v>6.4000000000000001E-2</v>
      </c>
      <c r="J152" s="85">
        <v>2.5999999999999999E-2</v>
      </c>
      <c r="K152" s="25">
        <f>((6/3)*L146)+((6/3)*L158)</f>
        <v>15200</v>
      </c>
      <c r="L152" s="93"/>
      <c r="M152" s="80">
        <f t="shared" si="13"/>
        <v>0.57999999999999996</v>
      </c>
      <c r="N152" s="80">
        <v>0.26</v>
      </c>
      <c r="O152" s="80">
        <f t="shared" si="14"/>
        <v>0.59</v>
      </c>
      <c r="P152" s="80">
        <v>0.32800000000000001</v>
      </c>
      <c r="Q152" s="80">
        <v>0.68899999999999995</v>
      </c>
      <c r="R152" s="80">
        <v>0.57999999999999996</v>
      </c>
      <c r="S152" s="80">
        <v>0.59</v>
      </c>
    </row>
    <row r="153" spans="1:19">
      <c r="A153" s="19">
        <f t="shared" si="16"/>
        <v>42094</v>
      </c>
      <c r="B153" s="19">
        <f t="shared" si="15"/>
        <v>42459</v>
      </c>
      <c r="C153" s="84">
        <f t="shared" si="17"/>
        <v>0.26550000000000001</v>
      </c>
      <c r="D153" s="84">
        <f t="shared" si="18"/>
        <v>0.2843</v>
      </c>
      <c r="E153" s="84">
        <f t="shared" si="20"/>
        <v>6.5199999999999994E-2</v>
      </c>
      <c r="F153" s="84">
        <f t="shared" si="19"/>
        <v>2.5999999999999999E-2</v>
      </c>
      <c r="G153" s="85">
        <v>0.26200000000000001</v>
      </c>
      <c r="H153" s="85">
        <v>0.28199999999999997</v>
      </c>
      <c r="I153" s="85">
        <v>6.4000000000000001E-2</v>
      </c>
      <c r="J153" s="85">
        <v>2.5999999999999999E-2</v>
      </c>
      <c r="K153" s="25">
        <f>((5/3)*L146)+((7/3)*L158)</f>
        <v>15245</v>
      </c>
      <c r="L153" s="93"/>
      <c r="M153" s="80">
        <f t="shared" si="13"/>
        <v>0.57999999999999996</v>
      </c>
      <c r="N153" s="80">
        <v>0.26</v>
      </c>
      <c r="O153" s="80">
        <f t="shared" si="14"/>
        <v>0.59</v>
      </c>
      <c r="P153" s="80">
        <v>0.32800000000000001</v>
      </c>
      <c r="Q153" s="80">
        <v>0.68899999999999995</v>
      </c>
      <c r="R153" s="80">
        <v>0.57999999999999996</v>
      </c>
      <c r="S153" s="80">
        <v>0.59</v>
      </c>
    </row>
    <row r="154" spans="1:19">
      <c r="A154" s="19">
        <f t="shared" si="16"/>
        <v>42124</v>
      </c>
      <c r="B154" s="19">
        <f t="shared" si="15"/>
        <v>42489</v>
      </c>
      <c r="C154" s="84">
        <f t="shared" si="17"/>
        <v>0.26600000000000001</v>
      </c>
      <c r="D154" s="84">
        <f t="shared" si="18"/>
        <v>0.28470000000000001</v>
      </c>
      <c r="E154" s="84">
        <f t="shared" si="20"/>
        <v>6.5299999999999997E-2</v>
      </c>
      <c r="F154" s="84">
        <f t="shared" si="19"/>
        <v>2.5999999999999999E-2</v>
      </c>
      <c r="G154" s="85">
        <v>0.26200000000000001</v>
      </c>
      <c r="H154" s="85">
        <v>0.28199999999999997</v>
      </c>
      <c r="I154" s="85">
        <v>6.4000000000000001E-2</v>
      </c>
      <c r="J154" s="85">
        <v>2.5999999999999999E-2</v>
      </c>
      <c r="K154" s="25">
        <f>((4/3)*L146)+((8/3)*L158)</f>
        <v>15289</v>
      </c>
      <c r="L154" s="93"/>
      <c r="M154" s="80">
        <f t="shared" si="13"/>
        <v>0.57999999999999996</v>
      </c>
      <c r="N154" s="80">
        <v>0.26</v>
      </c>
      <c r="O154" s="80">
        <f t="shared" si="14"/>
        <v>0.59</v>
      </c>
      <c r="P154" s="80">
        <v>0.32800000000000001</v>
      </c>
      <c r="Q154" s="80">
        <v>0.68899999999999995</v>
      </c>
      <c r="R154" s="80">
        <v>0.57999999999999996</v>
      </c>
      <c r="S154" s="80">
        <v>0.59</v>
      </c>
    </row>
    <row r="155" spans="1:19">
      <c r="A155" s="19">
        <f t="shared" si="16"/>
        <v>42155</v>
      </c>
      <c r="B155" s="19">
        <f t="shared" si="15"/>
        <v>42520</v>
      </c>
      <c r="C155" s="84">
        <f t="shared" si="17"/>
        <v>0.26650000000000001</v>
      </c>
      <c r="D155" s="84">
        <f t="shared" si="18"/>
        <v>0.28499999999999998</v>
      </c>
      <c r="E155" s="84">
        <f t="shared" si="20"/>
        <v>6.5500000000000003E-2</v>
      </c>
      <c r="F155" s="84">
        <f t="shared" si="19"/>
        <v>2.5999999999999999E-2</v>
      </c>
      <c r="G155" s="85">
        <v>0.26200000000000001</v>
      </c>
      <c r="H155" s="85">
        <v>0.28199999999999997</v>
      </c>
      <c r="I155" s="85">
        <v>6.4000000000000001E-2</v>
      </c>
      <c r="J155" s="85">
        <v>2.5999999999999999E-2</v>
      </c>
      <c r="K155" s="25">
        <f>((3/3)*L146)+((9/3)*L158)</f>
        <v>15334</v>
      </c>
      <c r="L155" s="93"/>
      <c r="M155" s="80">
        <f t="shared" si="13"/>
        <v>0.57999999999999996</v>
      </c>
      <c r="N155" s="80">
        <v>0.26</v>
      </c>
      <c r="O155" s="80">
        <f t="shared" si="14"/>
        <v>0.59</v>
      </c>
      <c r="P155" s="80">
        <v>0.32800000000000001</v>
      </c>
      <c r="Q155" s="80">
        <v>0.68899999999999995</v>
      </c>
      <c r="R155" s="80">
        <v>0.57999999999999996</v>
      </c>
      <c r="S155" s="80">
        <v>0.59</v>
      </c>
    </row>
    <row r="156" spans="1:19">
      <c r="A156" s="19">
        <f t="shared" si="16"/>
        <v>42185</v>
      </c>
      <c r="B156" s="19">
        <f t="shared" si="15"/>
        <v>42550</v>
      </c>
      <c r="C156" s="84">
        <f t="shared" si="17"/>
        <v>0.26700000000000002</v>
      </c>
      <c r="D156" s="84">
        <f t="shared" si="18"/>
        <v>0.2853</v>
      </c>
      <c r="E156" s="84">
        <f t="shared" si="20"/>
        <v>6.5699999999999995E-2</v>
      </c>
      <c r="F156" s="84">
        <f t="shared" si="19"/>
        <v>2.5999999999999999E-2</v>
      </c>
      <c r="G156" s="85">
        <v>0.26200000000000001</v>
      </c>
      <c r="H156" s="85">
        <v>0.28199999999999997</v>
      </c>
      <c r="I156" s="85">
        <v>6.4000000000000001E-2</v>
      </c>
      <c r="J156" s="85">
        <v>2.5999999999999999E-2</v>
      </c>
      <c r="K156" s="25">
        <f>((2/3)*L146)+((10/3)*L158)</f>
        <v>15379</v>
      </c>
      <c r="L156" s="93"/>
      <c r="M156" s="80">
        <f t="shared" si="13"/>
        <v>0.57999999999999996</v>
      </c>
      <c r="N156" s="80">
        <v>0.26</v>
      </c>
      <c r="O156" s="80">
        <f t="shared" si="14"/>
        <v>0.59</v>
      </c>
      <c r="P156" s="80">
        <v>0.32800000000000001</v>
      </c>
      <c r="Q156" s="80">
        <v>0.68899999999999995</v>
      </c>
      <c r="R156" s="80">
        <v>0.57999999999999996</v>
      </c>
      <c r="S156" s="80">
        <v>0.59</v>
      </c>
    </row>
    <row r="157" spans="1:19">
      <c r="A157" s="19">
        <f t="shared" si="16"/>
        <v>42216</v>
      </c>
      <c r="B157" s="19">
        <f t="shared" si="15"/>
        <v>42581</v>
      </c>
      <c r="C157" s="81">
        <f t="shared" si="17"/>
        <v>0.26750000000000002</v>
      </c>
      <c r="D157" s="81">
        <f t="shared" si="18"/>
        <v>0.28570000000000001</v>
      </c>
      <c r="E157" s="81">
        <f t="shared" si="20"/>
        <v>6.5799999999999997E-2</v>
      </c>
      <c r="F157" s="81">
        <f t="shared" si="19"/>
        <v>2.5999999999999999E-2</v>
      </c>
      <c r="G157" s="85">
        <v>0.26200000000000001</v>
      </c>
      <c r="H157" s="85">
        <v>0.28199999999999997</v>
      </c>
      <c r="I157" s="85">
        <v>6.4000000000000001E-2</v>
      </c>
      <c r="J157" s="85">
        <v>2.5999999999999999E-2</v>
      </c>
      <c r="K157" s="25">
        <f>((1/3)*L146)+((11/3)*L158)</f>
        <v>15423</v>
      </c>
      <c r="L157" s="93"/>
      <c r="M157" s="80">
        <f t="shared" si="13"/>
        <v>0.57999999999999996</v>
      </c>
      <c r="N157" s="80">
        <v>0.26</v>
      </c>
      <c r="O157" s="80">
        <f t="shared" si="14"/>
        <v>0.59</v>
      </c>
      <c r="P157" s="80">
        <v>0.32800000000000001</v>
      </c>
      <c r="Q157" s="80">
        <v>0.68899999999999995</v>
      </c>
      <c r="R157" s="80">
        <v>0.57999999999999996</v>
      </c>
      <c r="S157" s="80">
        <v>0.59</v>
      </c>
    </row>
    <row r="158" spans="1:19" s="78" customFormat="1">
      <c r="A158" s="77">
        <f t="shared" si="16"/>
        <v>42247</v>
      </c>
      <c r="B158" s="77">
        <f t="shared" si="15"/>
        <v>42612</v>
      </c>
      <c r="C158" s="86">
        <f t="shared" si="17"/>
        <v>0.26800000000000002</v>
      </c>
      <c r="D158" s="86">
        <f t="shared" si="18"/>
        <v>0.28599999999999998</v>
      </c>
      <c r="E158" s="86">
        <f t="shared" si="20"/>
        <v>6.6000000000000003E-2</v>
      </c>
      <c r="F158" s="86">
        <f t="shared" si="19"/>
        <v>2.5999999999999999E-2</v>
      </c>
      <c r="G158" s="87">
        <v>0.26800000000000002</v>
      </c>
      <c r="H158" s="87">
        <v>0.28599999999999998</v>
      </c>
      <c r="I158" s="87">
        <v>6.6000000000000003E-2</v>
      </c>
      <c r="J158" s="87">
        <v>2.5999999999999999E-2</v>
      </c>
      <c r="K158" s="76">
        <f>(L158*4)</f>
        <v>15468</v>
      </c>
      <c r="L158" s="94">
        <v>3867</v>
      </c>
      <c r="M158" s="353">
        <f t="shared" si="13"/>
        <v>0.57999999999999996</v>
      </c>
      <c r="N158" s="353">
        <v>0.26</v>
      </c>
      <c r="O158" s="353">
        <f t="shared" si="14"/>
        <v>0.59</v>
      </c>
      <c r="P158" s="353">
        <v>0.34620000000000001</v>
      </c>
      <c r="Q158" s="353">
        <v>0.69640000000000002</v>
      </c>
      <c r="R158" s="353">
        <v>0.57999999999999996</v>
      </c>
      <c r="S158" s="353">
        <v>0.59</v>
      </c>
    </row>
    <row r="159" spans="1:19" s="78" customFormat="1">
      <c r="A159" s="77">
        <f t="shared" si="16"/>
        <v>42277</v>
      </c>
      <c r="B159" s="77">
        <f t="shared" si="15"/>
        <v>42642</v>
      </c>
      <c r="C159" s="86">
        <f t="shared" si="17"/>
        <v>0.26669999999999999</v>
      </c>
      <c r="D159" s="86">
        <f t="shared" si="18"/>
        <v>0.2848</v>
      </c>
      <c r="E159" s="86">
        <f t="shared" si="20"/>
        <v>6.6100000000000006E-2</v>
      </c>
      <c r="F159" s="86">
        <f t="shared" si="19"/>
        <v>2.5499999999999998E-2</v>
      </c>
      <c r="G159" s="87">
        <v>0.26800000000000002</v>
      </c>
      <c r="H159" s="87">
        <v>0.28599999999999998</v>
      </c>
      <c r="I159" s="87">
        <v>6.6000000000000003E-2</v>
      </c>
      <c r="J159" s="87">
        <v>2.5999999999999999E-2</v>
      </c>
      <c r="K159" s="76">
        <f>((11/3)*L158)+((1/3)*L170)</f>
        <v>15468</v>
      </c>
      <c r="L159" s="94"/>
      <c r="M159" s="353">
        <f t="shared" si="13"/>
        <v>0.57999999999999996</v>
      </c>
      <c r="N159" s="353">
        <v>0.26</v>
      </c>
      <c r="O159" s="353">
        <f t="shared" si="14"/>
        <v>0.59</v>
      </c>
      <c r="P159" s="353">
        <v>0.34620000000000001</v>
      </c>
      <c r="Q159" s="353">
        <v>0.69640000000000002</v>
      </c>
      <c r="R159" s="353">
        <v>0.57999999999999996</v>
      </c>
      <c r="S159" s="353">
        <v>0.59</v>
      </c>
    </row>
    <row r="160" spans="1:19" s="78" customFormat="1">
      <c r="A160" s="77">
        <f t="shared" si="16"/>
        <v>42308</v>
      </c>
      <c r="B160" s="77">
        <f t="shared" si="15"/>
        <v>42673</v>
      </c>
      <c r="C160" s="86">
        <f t="shared" si="17"/>
        <v>0.26529999999999998</v>
      </c>
      <c r="D160" s="86">
        <f t="shared" si="18"/>
        <v>0.28370000000000001</v>
      </c>
      <c r="E160" s="86">
        <f t="shared" si="20"/>
        <v>6.6199999999999995E-2</v>
      </c>
      <c r="F160" s="86">
        <f t="shared" si="19"/>
        <v>2.5000000000000001E-2</v>
      </c>
      <c r="G160" s="87">
        <v>0.26800000000000002</v>
      </c>
      <c r="H160" s="87">
        <v>0.28599999999999998</v>
      </c>
      <c r="I160" s="87">
        <v>6.6000000000000003E-2</v>
      </c>
      <c r="J160" s="87">
        <v>2.5999999999999999E-2</v>
      </c>
      <c r="K160" s="76">
        <f>((10/3)*L158)+((2/3)*L170)</f>
        <v>15468</v>
      </c>
      <c r="L160" s="94"/>
      <c r="M160" s="353">
        <f t="shared" si="13"/>
        <v>0.57999999999999996</v>
      </c>
      <c r="N160" s="353">
        <v>0.26</v>
      </c>
      <c r="O160" s="353">
        <f t="shared" si="14"/>
        <v>0.59</v>
      </c>
      <c r="P160" s="353">
        <v>0.34620000000000001</v>
      </c>
      <c r="Q160" s="353">
        <v>0.69640000000000002</v>
      </c>
      <c r="R160" s="353">
        <v>0.57999999999999996</v>
      </c>
      <c r="S160" s="353">
        <v>0.59</v>
      </c>
    </row>
    <row r="161" spans="1:19" s="78" customFormat="1">
      <c r="A161" s="77">
        <f t="shared" si="16"/>
        <v>42338</v>
      </c>
      <c r="B161" s="77">
        <f t="shared" si="15"/>
        <v>42703</v>
      </c>
      <c r="C161" s="86">
        <f t="shared" si="17"/>
        <v>0.26400000000000001</v>
      </c>
      <c r="D161" s="86">
        <f t="shared" si="18"/>
        <v>0.28249999999999997</v>
      </c>
      <c r="E161" s="86">
        <f t="shared" si="20"/>
        <v>6.6299999999999998E-2</v>
      </c>
      <c r="F161" s="86">
        <f t="shared" si="19"/>
        <v>2.4500000000000001E-2</v>
      </c>
      <c r="G161" s="87">
        <v>0.26800000000000002</v>
      </c>
      <c r="H161" s="87">
        <v>0.28599999999999998</v>
      </c>
      <c r="I161" s="87">
        <v>6.6000000000000003E-2</v>
      </c>
      <c r="J161" s="87">
        <v>2.5999999999999999E-2</v>
      </c>
      <c r="K161" s="76">
        <f>((9/3)*L158)+((3/3)*L170)</f>
        <v>15468</v>
      </c>
      <c r="L161" s="94"/>
      <c r="M161" s="353">
        <f t="shared" si="13"/>
        <v>0.57999999999999996</v>
      </c>
      <c r="N161" s="353">
        <v>0.26</v>
      </c>
      <c r="O161" s="353">
        <f t="shared" si="14"/>
        <v>0.59</v>
      </c>
      <c r="P161" s="353">
        <v>0.34620000000000001</v>
      </c>
      <c r="Q161" s="353">
        <v>0.69640000000000002</v>
      </c>
      <c r="R161" s="353">
        <v>0.57999999999999996</v>
      </c>
      <c r="S161" s="353">
        <v>0.59</v>
      </c>
    </row>
    <row r="162" spans="1:19" s="78" customFormat="1">
      <c r="A162" s="77">
        <f t="shared" si="16"/>
        <v>42369</v>
      </c>
      <c r="B162" s="77">
        <f t="shared" si="15"/>
        <v>42734</v>
      </c>
      <c r="C162" s="86">
        <f t="shared" si="17"/>
        <v>0.26269999999999999</v>
      </c>
      <c r="D162" s="86">
        <f t="shared" si="18"/>
        <v>0.28129999999999999</v>
      </c>
      <c r="E162" s="86">
        <f t="shared" si="20"/>
        <v>6.6299999999999998E-2</v>
      </c>
      <c r="F162" s="86">
        <f t="shared" si="19"/>
        <v>2.4E-2</v>
      </c>
      <c r="G162" s="87">
        <v>0.26800000000000002</v>
      </c>
      <c r="H162" s="87">
        <v>0.28599999999999998</v>
      </c>
      <c r="I162" s="87">
        <v>6.6000000000000003E-2</v>
      </c>
      <c r="J162" s="87">
        <v>2.5999999999999999E-2</v>
      </c>
      <c r="K162" s="76">
        <f>((8/3)*L158)+((4/3)*L170)</f>
        <v>15468</v>
      </c>
      <c r="L162" s="94"/>
      <c r="M162" s="353">
        <f t="shared" si="13"/>
        <v>0.57999999999999996</v>
      </c>
      <c r="N162" s="353">
        <v>0.26</v>
      </c>
      <c r="O162" s="353">
        <f t="shared" si="14"/>
        <v>0.59</v>
      </c>
      <c r="P162" s="353">
        <v>0.34620000000000001</v>
      </c>
      <c r="Q162" s="353">
        <v>0.69640000000000002</v>
      </c>
      <c r="R162" s="353">
        <v>0.57999999999999996</v>
      </c>
      <c r="S162" s="353">
        <v>0.59</v>
      </c>
    </row>
    <row r="163" spans="1:19" s="78" customFormat="1">
      <c r="A163" s="77">
        <f t="shared" si="16"/>
        <v>42400</v>
      </c>
      <c r="B163" s="77">
        <f t="shared" si="15"/>
        <v>42765</v>
      </c>
      <c r="C163" s="86">
        <f t="shared" si="17"/>
        <v>0.26129999999999998</v>
      </c>
      <c r="D163" s="86">
        <f t="shared" si="18"/>
        <v>0.2802</v>
      </c>
      <c r="E163" s="86">
        <f t="shared" si="20"/>
        <v>6.6400000000000001E-2</v>
      </c>
      <c r="F163" s="86">
        <f t="shared" si="19"/>
        <v>2.35E-2</v>
      </c>
      <c r="G163" s="87">
        <v>0.26800000000000002</v>
      </c>
      <c r="H163" s="87">
        <v>0.28599999999999998</v>
      </c>
      <c r="I163" s="87">
        <v>6.6000000000000003E-2</v>
      </c>
      <c r="J163" s="87">
        <v>2.5999999999999999E-2</v>
      </c>
      <c r="K163" s="76">
        <f>((7/3)*L158)+((5/3)*L170)</f>
        <v>15468</v>
      </c>
      <c r="L163" s="94"/>
      <c r="M163" s="353">
        <f t="shared" si="13"/>
        <v>0.57999999999999996</v>
      </c>
      <c r="N163" s="353">
        <v>0.26</v>
      </c>
      <c r="O163" s="353">
        <f t="shared" si="14"/>
        <v>0.59</v>
      </c>
      <c r="P163" s="353">
        <v>0.34620000000000001</v>
      </c>
      <c r="Q163" s="353">
        <v>0.69640000000000002</v>
      </c>
      <c r="R163" s="353">
        <v>0.57999999999999996</v>
      </c>
      <c r="S163" s="353">
        <v>0.59</v>
      </c>
    </row>
    <row r="164" spans="1:19" s="78" customFormat="1">
      <c r="A164" s="77">
        <f t="shared" si="16"/>
        <v>42429</v>
      </c>
      <c r="B164" s="77">
        <f t="shared" si="15"/>
        <v>42793</v>
      </c>
      <c r="C164" s="86">
        <f t="shared" si="17"/>
        <v>0.26</v>
      </c>
      <c r="D164" s="86">
        <f t="shared" si="18"/>
        <v>0.27900000000000003</v>
      </c>
      <c r="E164" s="86">
        <f t="shared" si="20"/>
        <v>6.6500000000000004E-2</v>
      </c>
      <c r="F164" s="86">
        <f t="shared" si="19"/>
        <v>2.3E-2</v>
      </c>
      <c r="G164" s="87">
        <v>0.26800000000000002</v>
      </c>
      <c r="H164" s="87">
        <v>0.28599999999999998</v>
      </c>
      <c r="I164" s="87">
        <v>6.6000000000000003E-2</v>
      </c>
      <c r="J164" s="87">
        <v>2.5999999999999999E-2</v>
      </c>
      <c r="K164" s="76">
        <f>((6/3)*L158)+((6/3)*L170)</f>
        <v>15468</v>
      </c>
      <c r="L164" s="94"/>
      <c r="M164" s="353">
        <f t="shared" si="13"/>
        <v>0.57999999999999996</v>
      </c>
      <c r="N164" s="353">
        <v>0.26</v>
      </c>
      <c r="O164" s="353">
        <f t="shared" si="14"/>
        <v>0.59</v>
      </c>
      <c r="P164" s="353">
        <v>0.34620000000000001</v>
      </c>
      <c r="Q164" s="353">
        <v>0.69640000000000002</v>
      </c>
      <c r="R164" s="353">
        <v>0.57999999999999996</v>
      </c>
      <c r="S164" s="353">
        <v>0.59</v>
      </c>
    </row>
    <row r="165" spans="1:19" s="78" customFormat="1">
      <c r="A165" s="77">
        <f t="shared" si="16"/>
        <v>42460</v>
      </c>
      <c r="B165" s="77">
        <f t="shared" si="15"/>
        <v>42824</v>
      </c>
      <c r="C165" s="86">
        <f t="shared" si="17"/>
        <v>0.25869999999999999</v>
      </c>
      <c r="D165" s="86">
        <f t="shared" si="18"/>
        <v>0.27779999999999999</v>
      </c>
      <c r="E165" s="86">
        <f t="shared" si="20"/>
        <v>6.6600000000000006E-2</v>
      </c>
      <c r="F165" s="86">
        <f t="shared" si="19"/>
        <v>2.2499999999999999E-2</v>
      </c>
      <c r="G165" s="87">
        <v>0.26800000000000002</v>
      </c>
      <c r="H165" s="87">
        <v>0.28599999999999998</v>
      </c>
      <c r="I165" s="87">
        <v>6.6000000000000003E-2</v>
      </c>
      <c r="J165" s="87">
        <v>2.5999999999999999E-2</v>
      </c>
      <c r="K165" s="76">
        <f>((5/3)*L158)+((7/3)*L170)</f>
        <v>15468</v>
      </c>
      <c r="L165" s="94"/>
      <c r="M165" s="353">
        <f t="shared" si="13"/>
        <v>0.57999999999999996</v>
      </c>
      <c r="N165" s="353">
        <v>0.26</v>
      </c>
      <c r="O165" s="353">
        <f t="shared" si="14"/>
        <v>0.59</v>
      </c>
      <c r="P165" s="353">
        <v>0.34620000000000001</v>
      </c>
      <c r="Q165" s="353">
        <v>0.69640000000000002</v>
      </c>
      <c r="R165" s="353">
        <v>0.57999999999999996</v>
      </c>
      <c r="S165" s="353">
        <v>0.59</v>
      </c>
    </row>
    <row r="166" spans="1:19" s="78" customFormat="1">
      <c r="A166" s="77">
        <f t="shared" si="16"/>
        <v>42490</v>
      </c>
      <c r="B166" s="77">
        <f t="shared" si="15"/>
        <v>42854</v>
      </c>
      <c r="C166" s="86">
        <f t="shared" si="17"/>
        <v>0.25729999999999997</v>
      </c>
      <c r="D166" s="86">
        <f t="shared" si="18"/>
        <v>0.2767</v>
      </c>
      <c r="E166" s="86">
        <f t="shared" si="20"/>
        <v>6.6699999999999995E-2</v>
      </c>
      <c r="F166" s="86">
        <f t="shared" si="19"/>
        <v>2.1999999999999999E-2</v>
      </c>
      <c r="G166" s="87">
        <v>0.26800000000000002</v>
      </c>
      <c r="H166" s="87">
        <v>0.28599999999999998</v>
      </c>
      <c r="I166" s="87">
        <v>6.6000000000000003E-2</v>
      </c>
      <c r="J166" s="87">
        <v>2.5999999999999999E-2</v>
      </c>
      <c r="K166" s="76">
        <f>((4/3)*L158)+((8/3)*L170)</f>
        <v>15468</v>
      </c>
      <c r="L166" s="94"/>
      <c r="M166" s="353">
        <f t="shared" si="13"/>
        <v>0.57999999999999996</v>
      </c>
      <c r="N166" s="353">
        <v>0.26</v>
      </c>
      <c r="O166" s="353">
        <f t="shared" si="14"/>
        <v>0.59</v>
      </c>
      <c r="P166" s="353">
        <v>0.34620000000000001</v>
      </c>
      <c r="Q166" s="353">
        <v>0.69640000000000002</v>
      </c>
      <c r="R166" s="353">
        <v>0.57999999999999996</v>
      </c>
      <c r="S166" s="353">
        <v>0.59</v>
      </c>
    </row>
    <row r="167" spans="1:19" s="78" customFormat="1">
      <c r="A167" s="77">
        <f t="shared" si="16"/>
        <v>42521</v>
      </c>
      <c r="B167" s="77">
        <f t="shared" si="15"/>
        <v>42885</v>
      </c>
      <c r="C167" s="86">
        <f t="shared" si="17"/>
        <v>0.25600000000000001</v>
      </c>
      <c r="D167" s="86">
        <f t="shared" si="18"/>
        <v>0.27550000000000002</v>
      </c>
      <c r="E167" s="86">
        <f t="shared" si="20"/>
        <v>6.6799999999999998E-2</v>
      </c>
      <c r="F167" s="86">
        <f t="shared" si="19"/>
        <v>2.1499999999999998E-2</v>
      </c>
      <c r="G167" s="87">
        <v>0.26800000000000002</v>
      </c>
      <c r="H167" s="87">
        <v>0.28599999999999998</v>
      </c>
      <c r="I167" s="87">
        <v>6.6000000000000003E-2</v>
      </c>
      <c r="J167" s="87">
        <v>2.5999999999999999E-2</v>
      </c>
      <c r="K167" s="76">
        <f>((3/3)*L158)+((9/3)*L170)</f>
        <v>15468</v>
      </c>
      <c r="L167" s="94"/>
      <c r="M167" s="353">
        <f t="shared" si="13"/>
        <v>0.57999999999999996</v>
      </c>
      <c r="N167" s="353">
        <v>0.26</v>
      </c>
      <c r="O167" s="353">
        <f t="shared" si="14"/>
        <v>0.59</v>
      </c>
      <c r="P167" s="353">
        <v>0.34620000000000001</v>
      </c>
      <c r="Q167" s="353">
        <v>0.69640000000000002</v>
      </c>
      <c r="R167" s="353">
        <v>0.57999999999999996</v>
      </c>
      <c r="S167" s="353">
        <v>0.59</v>
      </c>
    </row>
    <row r="168" spans="1:19" s="78" customFormat="1">
      <c r="A168" s="77">
        <f t="shared" si="16"/>
        <v>42551</v>
      </c>
      <c r="B168" s="77">
        <f t="shared" si="15"/>
        <v>42915</v>
      </c>
      <c r="C168" s="86">
        <f t="shared" si="17"/>
        <v>0.25469999999999998</v>
      </c>
      <c r="D168" s="86">
        <f t="shared" si="18"/>
        <v>0.27429999999999999</v>
      </c>
      <c r="E168" s="86">
        <f t="shared" si="20"/>
        <v>6.6799999999999998E-2</v>
      </c>
      <c r="F168" s="86">
        <f t="shared" si="19"/>
        <v>2.1000000000000001E-2</v>
      </c>
      <c r="G168" s="87">
        <v>0.26800000000000002</v>
      </c>
      <c r="H168" s="87">
        <v>0.28599999999999998</v>
      </c>
      <c r="I168" s="87">
        <v>6.6000000000000003E-2</v>
      </c>
      <c r="J168" s="87">
        <v>2.5999999999999999E-2</v>
      </c>
      <c r="K168" s="76">
        <f>((2/3)*L158)+((10/3)*L170)</f>
        <v>15468</v>
      </c>
      <c r="L168" s="94"/>
      <c r="M168" s="353">
        <f t="shared" si="13"/>
        <v>0.57999999999999996</v>
      </c>
      <c r="N168" s="353">
        <v>0.26</v>
      </c>
      <c r="O168" s="353">
        <f t="shared" si="14"/>
        <v>0.59</v>
      </c>
      <c r="P168" s="353">
        <v>0.34620000000000001</v>
      </c>
      <c r="Q168" s="353">
        <v>0.69640000000000002</v>
      </c>
      <c r="R168" s="353">
        <v>0.57999999999999996</v>
      </c>
      <c r="S168" s="353">
        <v>0.59</v>
      </c>
    </row>
    <row r="169" spans="1:19" s="78" customFormat="1">
      <c r="A169" s="77">
        <f t="shared" si="16"/>
        <v>42582</v>
      </c>
      <c r="B169" s="77">
        <f t="shared" si="15"/>
        <v>42946</v>
      </c>
      <c r="C169" s="86">
        <f t="shared" si="17"/>
        <v>0.25330000000000003</v>
      </c>
      <c r="D169" s="86">
        <f t="shared" si="18"/>
        <v>0.2732</v>
      </c>
      <c r="E169" s="86">
        <f t="shared" si="20"/>
        <v>6.6900000000000001E-2</v>
      </c>
      <c r="F169" s="86">
        <f t="shared" si="19"/>
        <v>2.0500000000000001E-2</v>
      </c>
      <c r="G169" s="87">
        <v>0.26800000000000002</v>
      </c>
      <c r="H169" s="87">
        <v>0.28599999999999998</v>
      </c>
      <c r="I169" s="87">
        <v>6.6000000000000003E-2</v>
      </c>
      <c r="J169" s="87">
        <v>2.5999999999999999E-2</v>
      </c>
      <c r="K169" s="76">
        <f>((1/3)*L158)+((11/3)*L170)</f>
        <v>15468</v>
      </c>
      <c r="L169" s="94"/>
      <c r="M169" s="353">
        <f t="shared" si="13"/>
        <v>0.57999999999999996</v>
      </c>
      <c r="N169" s="353">
        <v>0.26</v>
      </c>
      <c r="O169" s="353">
        <f t="shared" si="14"/>
        <v>0.59</v>
      </c>
      <c r="P169" s="353">
        <v>0.34620000000000001</v>
      </c>
      <c r="Q169" s="353">
        <v>0.69640000000000002</v>
      </c>
      <c r="R169" s="353">
        <v>0.57999999999999996</v>
      </c>
      <c r="S169" s="353">
        <v>0.59</v>
      </c>
    </row>
    <row r="170" spans="1:19">
      <c r="A170" s="19">
        <f t="shared" si="16"/>
        <v>42613</v>
      </c>
      <c r="B170" s="19">
        <f t="shared" si="15"/>
        <v>42977</v>
      </c>
      <c r="C170" s="84">
        <f t="shared" si="17"/>
        <v>0.252</v>
      </c>
      <c r="D170" s="84">
        <f t="shared" si="18"/>
        <v>0.27200000000000002</v>
      </c>
      <c r="E170" s="84">
        <f t="shared" si="20"/>
        <v>6.7000000000000004E-2</v>
      </c>
      <c r="F170" s="84">
        <f t="shared" si="19"/>
        <v>0.02</v>
      </c>
      <c r="G170" s="85">
        <v>0.252</v>
      </c>
      <c r="H170" s="85">
        <v>0.27200000000000002</v>
      </c>
      <c r="I170" s="85">
        <v>6.7000000000000004E-2</v>
      </c>
      <c r="J170" s="85">
        <v>0.02</v>
      </c>
      <c r="K170" s="25">
        <f>(L170*4)</f>
        <v>15468</v>
      </c>
      <c r="L170" s="93">
        <v>3867</v>
      </c>
      <c r="M170" s="80">
        <f t="shared" si="13"/>
        <v>0.57999999999999996</v>
      </c>
      <c r="N170" s="80">
        <v>0.26</v>
      </c>
      <c r="O170" s="80">
        <f t="shared" si="14"/>
        <v>0.59</v>
      </c>
      <c r="P170" s="80">
        <v>0.34620000000000001</v>
      </c>
      <c r="Q170" s="80">
        <v>0.69640000000000002</v>
      </c>
      <c r="R170" s="80">
        <v>0.57999999999999996</v>
      </c>
      <c r="S170" s="80">
        <v>0.59</v>
      </c>
    </row>
    <row r="171" spans="1:19">
      <c r="A171" s="19">
        <f t="shared" si="16"/>
        <v>42643</v>
      </c>
      <c r="B171" s="19">
        <f t="shared" si="15"/>
        <v>43007</v>
      </c>
      <c r="C171" s="84">
        <f t="shared" si="17"/>
        <v>0.25140000000000001</v>
      </c>
      <c r="D171" s="84">
        <f t="shared" si="18"/>
        <v>0.27139999999999997</v>
      </c>
      <c r="E171" s="84">
        <f t="shared" si="20"/>
        <v>6.6699999999999995E-2</v>
      </c>
      <c r="F171" s="84">
        <f t="shared" si="19"/>
        <v>2.0500000000000001E-2</v>
      </c>
      <c r="G171" s="85">
        <v>0.252</v>
      </c>
      <c r="H171" s="85">
        <v>0.27200000000000002</v>
      </c>
      <c r="I171" s="85">
        <v>6.7000000000000004E-2</v>
      </c>
      <c r="J171" s="85">
        <v>0.02</v>
      </c>
      <c r="K171" s="25">
        <f>((11/3)*L170)+((1/3)*L182)</f>
        <v>15468</v>
      </c>
      <c r="L171" s="93"/>
      <c r="M171" s="80">
        <f t="shared" si="13"/>
        <v>0.58169999999999999</v>
      </c>
      <c r="N171" s="80">
        <v>0.26</v>
      </c>
      <c r="O171" s="80">
        <f t="shared" si="14"/>
        <v>0.5917</v>
      </c>
      <c r="P171" s="80">
        <v>0.34620000000000001</v>
      </c>
      <c r="Q171" s="80">
        <v>0.69640000000000002</v>
      </c>
      <c r="R171" s="80">
        <v>0.57999999999999996</v>
      </c>
      <c r="S171" s="80">
        <v>0.59</v>
      </c>
    </row>
    <row r="172" spans="1:19">
      <c r="A172" s="19">
        <f t="shared" si="16"/>
        <v>42674</v>
      </c>
      <c r="B172" s="19">
        <f t="shared" si="15"/>
        <v>43038</v>
      </c>
      <c r="C172" s="84">
        <f t="shared" si="17"/>
        <v>0.25080000000000002</v>
      </c>
      <c r="D172" s="84">
        <f t="shared" si="18"/>
        <v>0.27079999999999999</v>
      </c>
      <c r="E172" s="84">
        <f t="shared" si="20"/>
        <v>6.6299999999999998E-2</v>
      </c>
      <c r="F172" s="84">
        <f t="shared" si="19"/>
        <v>2.1000000000000001E-2</v>
      </c>
      <c r="G172" s="85">
        <v>0.252</v>
      </c>
      <c r="H172" s="85">
        <v>0.27200000000000002</v>
      </c>
      <c r="I172" s="85">
        <v>6.7000000000000004E-2</v>
      </c>
      <c r="J172" s="85">
        <v>0.02</v>
      </c>
      <c r="K172" s="25">
        <f>((10/3)*L170)+((2/3)*L182)</f>
        <v>15468</v>
      </c>
      <c r="L172" s="93"/>
      <c r="M172" s="80">
        <f t="shared" si="13"/>
        <v>0.58330000000000004</v>
      </c>
      <c r="N172" s="80">
        <v>0.26</v>
      </c>
      <c r="O172" s="80">
        <f t="shared" si="14"/>
        <v>0.59330000000000005</v>
      </c>
      <c r="P172" s="80">
        <v>0.34620000000000001</v>
      </c>
      <c r="Q172" s="80">
        <v>0.69640000000000002</v>
      </c>
      <c r="R172" s="80">
        <v>0.57999999999999996</v>
      </c>
      <c r="S172" s="80">
        <v>0.59</v>
      </c>
    </row>
    <row r="173" spans="1:19">
      <c r="A173" s="19">
        <f t="shared" si="16"/>
        <v>42704</v>
      </c>
      <c r="B173" s="19">
        <f t="shared" si="15"/>
        <v>43068</v>
      </c>
      <c r="C173" s="84">
        <f t="shared" si="17"/>
        <v>0.25030000000000002</v>
      </c>
      <c r="D173" s="84">
        <f t="shared" si="18"/>
        <v>0.27029999999999998</v>
      </c>
      <c r="E173" s="84">
        <f t="shared" si="20"/>
        <v>6.6000000000000003E-2</v>
      </c>
      <c r="F173" s="84">
        <f t="shared" si="19"/>
        <v>2.1499999999999998E-2</v>
      </c>
      <c r="G173" s="85">
        <v>0.252</v>
      </c>
      <c r="H173" s="85">
        <v>0.27200000000000002</v>
      </c>
      <c r="I173" s="85">
        <v>6.7000000000000004E-2</v>
      </c>
      <c r="J173" s="85">
        <v>0.02</v>
      </c>
      <c r="K173" s="25">
        <f>((9/3)*L170)+((3/3)*L182)</f>
        <v>15468</v>
      </c>
      <c r="L173" s="93"/>
      <c r="M173" s="80">
        <f t="shared" si="13"/>
        <v>0.58499999999999996</v>
      </c>
      <c r="N173" s="80">
        <v>0.26</v>
      </c>
      <c r="O173" s="80">
        <f t="shared" si="14"/>
        <v>0.59499999999999997</v>
      </c>
      <c r="P173" s="80">
        <v>0.34620000000000001</v>
      </c>
      <c r="Q173" s="80">
        <v>0.69640000000000002</v>
      </c>
      <c r="R173" s="80">
        <v>0.57999999999999996</v>
      </c>
      <c r="S173" s="80">
        <v>0.59</v>
      </c>
    </row>
    <row r="174" spans="1:19">
      <c r="A174" s="19">
        <f t="shared" si="16"/>
        <v>42735</v>
      </c>
      <c r="B174" s="19">
        <f t="shared" si="15"/>
        <v>43099</v>
      </c>
      <c r="C174" s="84">
        <f t="shared" si="17"/>
        <v>0.24970000000000001</v>
      </c>
      <c r="D174" s="84">
        <f t="shared" si="18"/>
        <v>0.2697</v>
      </c>
      <c r="E174" s="84">
        <f t="shared" si="20"/>
        <v>6.5699999999999995E-2</v>
      </c>
      <c r="F174" s="84">
        <f t="shared" si="19"/>
        <v>2.1999999999999999E-2</v>
      </c>
      <c r="G174" s="85">
        <v>0.252</v>
      </c>
      <c r="H174" s="85">
        <v>0.27200000000000002</v>
      </c>
      <c r="I174" s="85">
        <v>6.7000000000000004E-2</v>
      </c>
      <c r="J174" s="85">
        <v>0.02</v>
      </c>
      <c r="K174" s="25">
        <f>((8/3)*L170)+((4/3)*L182)</f>
        <v>15468</v>
      </c>
      <c r="L174" s="93"/>
      <c r="M174" s="80">
        <f t="shared" si="13"/>
        <v>0.5867</v>
      </c>
      <c r="N174" s="80">
        <v>0.26</v>
      </c>
      <c r="O174" s="80">
        <f t="shared" si="14"/>
        <v>0.59670000000000001</v>
      </c>
      <c r="P174" s="80">
        <v>0.34620000000000001</v>
      </c>
      <c r="Q174" s="80">
        <v>0.69640000000000002</v>
      </c>
      <c r="R174" s="80">
        <v>0.57999999999999996</v>
      </c>
      <c r="S174" s="80">
        <v>0.59</v>
      </c>
    </row>
    <row r="175" spans="1:19">
      <c r="A175" s="19">
        <f t="shared" si="16"/>
        <v>42766</v>
      </c>
      <c r="B175" s="19">
        <f t="shared" si="15"/>
        <v>43130</v>
      </c>
      <c r="C175" s="84">
        <f t="shared" si="17"/>
        <v>0.24909999999999999</v>
      </c>
      <c r="D175" s="84">
        <f t="shared" si="18"/>
        <v>0.26910000000000001</v>
      </c>
      <c r="E175" s="84">
        <f t="shared" si="20"/>
        <v>6.5299999999999997E-2</v>
      </c>
      <c r="F175" s="84">
        <f t="shared" si="19"/>
        <v>2.2499999999999999E-2</v>
      </c>
      <c r="G175" s="85">
        <v>0.252</v>
      </c>
      <c r="H175" s="85">
        <v>0.27200000000000002</v>
      </c>
      <c r="I175" s="85">
        <v>6.7000000000000004E-2</v>
      </c>
      <c r="J175" s="85">
        <v>0.02</v>
      </c>
      <c r="K175" s="25">
        <f>((7/3)*L170)+((5/3)*L182)</f>
        <v>15468</v>
      </c>
      <c r="L175" s="93"/>
      <c r="M175" s="80">
        <f t="shared" ref="M175:M238" si="21">AVERAGE(R175:R186)</f>
        <v>0.58830000000000005</v>
      </c>
      <c r="N175" s="80">
        <v>0.26</v>
      </c>
      <c r="O175" s="80">
        <f t="shared" ref="O175:O238" si="22">AVERAGE(S175:S186)</f>
        <v>0.59830000000000005</v>
      </c>
      <c r="P175" s="80">
        <v>0.34620000000000001</v>
      </c>
      <c r="Q175" s="80">
        <v>0.69640000000000002</v>
      </c>
      <c r="R175" s="80">
        <v>0.57999999999999996</v>
      </c>
      <c r="S175" s="80">
        <v>0.59</v>
      </c>
    </row>
    <row r="176" spans="1:19">
      <c r="A176" s="19">
        <f t="shared" si="16"/>
        <v>42794</v>
      </c>
      <c r="B176" s="19">
        <f t="shared" si="15"/>
        <v>43158</v>
      </c>
      <c r="C176" s="84">
        <f t="shared" si="17"/>
        <v>0.2485</v>
      </c>
      <c r="D176" s="84">
        <f t="shared" si="18"/>
        <v>0.26850000000000002</v>
      </c>
      <c r="E176" s="84">
        <f t="shared" si="20"/>
        <v>6.5000000000000002E-2</v>
      </c>
      <c r="F176" s="84">
        <f t="shared" si="19"/>
        <v>2.3E-2</v>
      </c>
      <c r="G176" s="85">
        <v>0.252</v>
      </c>
      <c r="H176" s="85">
        <v>0.27200000000000002</v>
      </c>
      <c r="I176" s="85">
        <v>6.7000000000000004E-2</v>
      </c>
      <c r="J176" s="85">
        <v>0.02</v>
      </c>
      <c r="K176" s="25">
        <f>((6/3)*L170)+((6/3)*L182)</f>
        <v>15468</v>
      </c>
      <c r="L176" s="93"/>
      <c r="M176" s="80">
        <f t="shared" si="21"/>
        <v>0.59</v>
      </c>
      <c r="N176" s="80">
        <v>0.26</v>
      </c>
      <c r="O176" s="80">
        <f t="shared" si="22"/>
        <v>0.6</v>
      </c>
      <c r="P176" s="80">
        <v>0.34620000000000001</v>
      </c>
      <c r="Q176" s="80">
        <v>0.69640000000000002</v>
      </c>
      <c r="R176" s="80">
        <v>0.57999999999999996</v>
      </c>
      <c r="S176" s="80">
        <v>0.59</v>
      </c>
    </row>
    <row r="177" spans="1:19">
      <c r="A177" s="19">
        <f t="shared" si="16"/>
        <v>42825</v>
      </c>
      <c r="B177" s="19">
        <f t="shared" si="15"/>
        <v>43189</v>
      </c>
      <c r="C177" s="84">
        <f t="shared" si="17"/>
        <v>0.24790000000000001</v>
      </c>
      <c r="D177" s="84">
        <f t="shared" si="18"/>
        <v>0.26790000000000003</v>
      </c>
      <c r="E177" s="84">
        <f t="shared" si="20"/>
        <v>6.4699999999999994E-2</v>
      </c>
      <c r="F177" s="84">
        <f t="shared" si="19"/>
        <v>2.35E-2</v>
      </c>
      <c r="G177" s="85">
        <v>0.252</v>
      </c>
      <c r="H177" s="85">
        <v>0.27200000000000002</v>
      </c>
      <c r="I177" s="85">
        <v>6.7000000000000004E-2</v>
      </c>
      <c r="J177" s="85">
        <v>0.02</v>
      </c>
      <c r="K177" s="25">
        <f>((5/3)*L170)+((7/3)*L182)</f>
        <v>15468</v>
      </c>
      <c r="L177" s="93"/>
      <c r="M177" s="80">
        <f t="shared" si="21"/>
        <v>0.5917</v>
      </c>
      <c r="N177" s="80">
        <v>0.26</v>
      </c>
      <c r="O177" s="80">
        <f t="shared" si="22"/>
        <v>0.60170000000000001</v>
      </c>
      <c r="P177" s="80">
        <v>0.34620000000000001</v>
      </c>
      <c r="Q177" s="80">
        <v>0.69640000000000002</v>
      </c>
      <c r="R177" s="80">
        <v>0.57999999999999996</v>
      </c>
      <c r="S177" s="80">
        <v>0.59</v>
      </c>
    </row>
    <row r="178" spans="1:19">
      <c r="A178" s="19">
        <f t="shared" si="16"/>
        <v>42855</v>
      </c>
      <c r="B178" s="19">
        <f t="shared" si="15"/>
        <v>43219</v>
      </c>
      <c r="C178" s="84">
        <f t="shared" si="17"/>
        <v>0.24729999999999999</v>
      </c>
      <c r="D178" s="84">
        <f t="shared" si="18"/>
        <v>0.26729999999999998</v>
      </c>
      <c r="E178" s="84">
        <f t="shared" si="20"/>
        <v>6.4299999999999996E-2</v>
      </c>
      <c r="F178" s="84">
        <f t="shared" si="19"/>
        <v>2.4E-2</v>
      </c>
      <c r="G178" s="85">
        <v>0.252</v>
      </c>
      <c r="H178" s="85">
        <v>0.27200000000000002</v>
      </c>
      <c r="I178" s="85">
        <v>6.7000000000000004E-2</v>
      </c>
      <c r="J178" s="85">
        <v>0.02</v>
      </c>
      <c r="K178" s="25">
        <f>((4/3)*L170)+((8/3)*L182)</f>
        <v>15468</v>
      </c>
      <c r="L178" s="93"/>
      <c r="M178" s="80">
        <f t="shared" si="21"/>
        <v>0.59330000000000005</v>
      </c>
      <c r="N178" s="80">
        <v>0.26</v>
      </c>
      <c r="O178" s="80">
        <f t="shared" si="22"/>
        <v>0.60329999999999995</v>
      </c>
      <c r="P178" s="80">
        <v>0.34620000000000001</v>
      </c>
      <c r="Q178" s="80">
        <v>0.69640000000000002</v>
      </c>
      <c r="R178" s="80">
        <v>0.57999999999999996</v>
      </c>
      <c r="S178" s="80">
        <v>0.59</v>
      </c>
    </row>
    <row r="179" spans="1:19">
      <c r="A179" s="19">
        <f t="shared" si="16"/>
        <v>42886</v>
      </c>
      <c r="B179" s="19">
        <f t="shared" si="15"/>
        <v>43250</v>
      </c>
      <c r="C179" s="84">
        <f t="shared" si="17"/>
        <v>0.24679999999999999</v>
      </c>
      <c r="D179" s="84">
        <f t="shared" si="18"/>
        <v>0.26679999999999998</v>
      </c>
      <c r="E179" s="84">
        <f t="shared" si="20"/>
        <v>6.4000000000000001E-2</v>
      </c>
      <c r="F179" s="84">
        <f t="shared" si="19"/>
        <v>2.4500000000000001E-2</v>
      </c>
      <c r="G179" s="85">
        <v>0.252</v>
      </c>
      <c r="H179" s="85">
        <v>0.27200000000000002</v>
      </c>
      <c r="I179" s="85">
        <v>6.7000000000000004E-2</v>
      </c>
      <c r="J179" s="85">
        <v>0.02</v>
      </c>
      <c r="K179" s="25">
        <f>((3/3)*L170)+((9/3)*L182)</f>
        <v>15468</v>
      </c>
      <c r="L179" s="93"/>
      <c r="M179" s="80">
        <f t="shared" si="21"/>
        <v>0.59499999999999997</v>
      </c>
      <c r="N179" s="80">
        <v>0.26</v>
      </c>
      <c r="O179" s="80">
        <f t="shared" si="22"/>
        <v>0.60499999999999998</v>
      </c>
      <c r="P179" s="80">
        <v>0.34620000000000001</v>
      </c>
      <c r="Q179" s="80">
        <v>0.69640000000000002</v>
      </c>
      <c r="R179" s="80">
        <v>0.57999999999999996</v>
      </c>
      <c r="S179" s="80">
        <v>0.59</v>
      </c>
    </row>
    <row r="180" spans="1:19">
      <c r="A180" s="19">
        <f t="shared" si="16"/>
        <v>42916</v>
      </c>
      <c r="B180" s="19">
        <f t="shared" si="15"/>
        <v>43280</v>
      </c>
      <c r="C180" s="84">
        <f t="shared" si="17"/>
        <v>0.2462</v>
      </c>
      <c r="D180" s="84">
        <f t="shared" si="18"/>
        <v>0.26619999999999999</v>
      </c>
      <c r="E180" s="84">
        <f t="shared" si="20"/>
        <v>6.3700000000000007E-2</v>
      </c>
      <c r="F180" s="84">
        <f t="shared" si="19"/>
        <v>2.5000000000000001E-2</v>
      </c>
      <c r="G180" s="85">
        <v>0.252</v>
      </c>
      <c r="H180" s="85">
        <v>0.27200000000000002</v>
      </c>
      <c r="I180" s="85">
        <v>6.7000000000000004E-2</v>
      </c>
      <c r="J180" s="85">
        <v>0.02</v>
      </c>
      <c r="K180" s="25">
        <f>((2/3)*L170)+((10/3)*L182)</f>
        <v>15468</v>
      </c>
      <c r="L180" s="93"/>
      <c r="M180" s="80">
        <f t="shared" si="21"/>
        <v>0.59670000000000001</v>
      </c>
      <c r="N180" s="80">
        <v>0.26</v>
      </c>
      <c r="O180" s="80">
        <f t="shared" si="22"/>
        <v>0.60670000000000002</v>
      </c>
      <c r="P180" s="80">
        <v>0.34620000000000001</v>
      </c>
      <c r="Q180" s="80">
        <v>0.69640000000000002</v>
      </c>
      <c r="R180" s="80">
        <v>0.57999999999999996</v>
      </c>
      <c r="S180" s="80">
        <v>0.59</v>
      </c>
    </row>
    <row r="181" spans="1:19">
      <c r="A181" s="19">
        <f t="shared" si="16"/>
        <v>42947</v>
      </c>
      <c r="B181" s="19">
        <f t="shared" si="15"/>
        <v>43311</v>
      </c>
      <c r="C181" s="81">
        <f t="shared" si="17"/>
        <v>0.24560000000000001</v>
      </c>
      <c r="D181" s="81">
        <f t="shared" si="18"/>
        <v>0.2656</v>
      </c>
      <c r="E181" s="81">
        <f t="shared" si="20"/>
        <v>6.3299999999999995E-2</v>
      </c>
      <c r="F181" s="81">
        <f t="shared" si="19"/>
        <v>2.5499999999999998E-2</v>
      </c>
      <c r="G181" s="85">
        <v>0.252</v>
      </c>
      <c r="H181" s="85">
        <v>0.27200000000000002</v>
      </c>
      <c r="I181" s="85">
        <v>6.7000000000000004E-2</v>
      </c>
      <c r="J181" s="85">
        <v>0.02</v>
      </c>
      <c r="K181" s="25">
        <f>((1/3)*L170)+((11/3)*L182)</f>
        <v>15468</v>
      </c>
      <c r="L181" s="93"/>
      <c r="M181" s="80">
        <f t="shared" si="21"/>
        <v>0.59830000000000005</v>
      </c>
      <c r="N181" s="80">
        <v>0.26</v>
      </c>
      <c r="O181" s="80">
        <f t="shared" si="22"/>
        <v>0.60829999999999995</v>
      </c>
      <c r="P181" s="80">
        <v>0.34620000000000001</v>
      </c>
      <c r="Q181" s="80">
        <v>0.69640000000000002</v>
      </c>
      <c r="R181" s="80">
        <v>0.57999999999999996</v>
      </c>
      <c r="S181" s="80">
        <v>0.59</v>
      </c>
    </row>
    <row r="182" spans="1:19" s="78" customFormat="1">
      <c r="A182" s="77">
        <f t="shared" si="16"/>
        <v>42978</v>
      </c>
      <c r="B182" s="77">
        <f t="shared" si="15"/>
        <v>43342</v>
      </c>
      <c r="C182" s="86">
        <f t="shared" si="17"/>
        <v>0.245</v>
      </c>
      <c r="D182" s="86">
        <f t="shared" si="18"/>
        <v>0.26500000000000001</v>
      </c>
      <c r="E182" s="86">
        <f t="shared" si="20"/>
        <v>6.3E-2</v>
      </c>
      <c r="F182" s="86">
        <f t="shared" si="19"/>
        <v>2.5999999999999999E-2</v>
      </c>
      <c r="G182" s="87">
        <v>0.245</v>
      </c>
      <c r="H182" s="87">
        <v>0.26500000000000001</v>
      </c>
      <c r="I182" s="87">
        <v>6.3E-2</v>
      </c>
      <c r="J182" s="87">
        <v>2.5999999999999999E-2</v>
      </c>
      <c r="K182" s="76">
        <f>(L182*4)</f>
        <v>15468</v>
      </c>
      <c r="L182" s="94">
        <v>3867</v>
      </c>
      <c r="M182" s="353">
        <f t="shared" si="21"/>
        <v>0.6</v>
      </c>
      <c r="N182" s="353">
        <v>0.26</v>
      </c>
      <c r="O182" s="353">
        <f t="shared" si="22"/>
        <v>0.61</v>
      </c>
      <c r="P182" s="353">
        <v>0.34620000000000001</v>
      </c>
      <c r="Q182" s="353">
        <v>0.69640000000000002</v>
      </c>
      <c r="R182" s="353">
        <v>0.6</v>
      </c>
      <c r="S182" s="353">
        <v>0.61</v>
      </c>
    </row>
    <row r="183" spans="1:19" s="78" customFormat="1">
      <c r="A183" s="77">
        <f t="shared" si="16"/>
        <v>43008</v>
      </c>
      <c r="B183" s="77">
        <f t="shared" si="15"/>
        <v>43372</v>
      </c>
      <c r="C183" s="86">
        <f t="shared" si="17"/>
        <v>0.24629999999999999</v>
      </c>
      <c r="D183" s="86">
        <f t="shared" si="18"/>
        <v>0.26619999999999999</v>
      </c>
      <c r="E183" s="86">
        <f t="shared" si="20"/>
        <v>6.2799999999999995E-2</v>
      </c>
      <c r="F183" s="86">
        <f t="shared" si="19"/>
        <v>2.5999999999999999E-2</v>
      </c>
      <c r="G183" s="87">
        <v>0.245</v>
      </c>
      <c r="H183" s="87">
        <v>0.26500000000000001</v>
      </c>
      <c r="I183" s="87">
        <v>6.3E-2</v>
      </c>
      <c r="J183" s="87">
        <v>2.5999999999999999E-2</v>
      </c>
      <c r="K183" s="76">
        <f>((11/3)*L182)+((1/3)*L194)</f>
        <v>15513</v>
      </c>
      <c r="L183" s="94"/>
      <c r="M183" s="353">
        <f t="shared" si="21"/>
        <v>0.6</v>
      </c>
      <c r="N183" s="353">
        <v>0.26</v>
      </c>
      <c r="O183" s="353">
        <f t="shared" si="22"/>
        <v>0.61</v>
      </c>
      <c r="P183" s="353">
        <v>0.34620000000000001</v>
      </c>
      <c r="Q183" s="353">
        <v>0.69640000000000002</v>
      </c>
      <c r="R183" s="353">
        <v>0.6</v>
      </c>
      <c r="S183" s="353">
        <v>0.61</v>
      </c>
    </row>
    <row r="184" spans="1:19" s="78" customFormat="1">
      <c r="A184" s="77">
        <f t="shared" si="16"/>
        <v>43039</v>
      </c>
      <c r="B184" s="77">
        <f t="shared" si="15"/>
        <v>43403</v>
      </c>
      <c r="C184" s="86">
        <f t="shared" si="17"/>
        <v>0.2475</v>
      </c>
      <c r="D184" s="86">
        <f t="shared" si="18"/>
        <v>0.26729999999999998</v>
      </c>
      <c r="E184" s="86">
        <f t="shared" si="20"/>
        <v>6.2700000000000006E-2</v>
      </c>
      <c r="F184" s="86">
        <f t="shared" si="19"/>
        <v>2.5999999999999999E-2</v>
      </c>
      <c r="G184" s="87">
        <v>0.245</v>
      </c>
      <c r="H184" s="87">
        <v>0.26500000000000001</v>
      </c>
      <c r="I184" s="87">
        <v>6.3E-2</v>
      </c>
      <c r="J184" s="87">
        <v>2.5999999999999999E-2</v>
      </c>
      <c r="K184" s="76">
        <f>((10/3)*L182)+((2/3)*L194)</f>
        <v>15558</v>
      </c>
      <c r="L184" s="94"/>
      <c r="M184" s="353">
        <f t="shared" si="21"/>
        <v>0.6</v>
      </c>
      <c r="N184" s="353">
        <v>0.26</v>
      </c>
      <c r="O184" s="353">
        <f t="shared" si="22"/>
        <v>0.61</v>
      </c>
      <c r="P184" s="353">
        <v>0.34620000000000001</v>
      </c>
      <c r="Q184" s="353">
        <v>0.69640000000000002</v>
      </c>
      <c r="R184" s="353">
        <v>0.6</v>
      </c>
      <c r="S184" s="353">
        <v>0.61</v>
      </c>
    </row>
    <row r="185" spans="1:19" s="78" customFormat="1">
      <c r="A185" s="77">
        <f t="shared" si="16"/>
        <v>43069</v>
      </c>
      <c r="B185" s="77">
        <f t="shared" si="15"/>
        <v>43433</v>
      </c>
      <c r="C185" s="86">
        <f t="shared" si="17"/>
        <v>0.24879999999999999</v>
      </c>
      <c r="D185" s="86">
        <f t="shared" si="18"/>
        <v>0.26850000000000002</v>
      </c>
      <c r="E185" s="86">
        <f t="shared" si="20"/>
        <v>6.25E-2</v>
      </c>
      <c r="F185" s="86">
        <f t="shared" si="19"/>
        <v>2.5999999999999999E-2</v>
      </c>
      <c r="G185" s="87">
        <v>0.245</v>
      </c>
      <c r="H185" s="87">
        <v>0.26500000000000001</v>
      </c>
      <c r="I185" s="87">
        <v>6.3E-2</v>
      </c>
      <c r="J185" s="87">
        <v>2.5999999999999999E-2</v>
      </c>
      <c r="K185" s="76">
        <f>((9/3)*L182)+((3/3)*L194)</f>
        <v>15603</v>
      </c>
      <c r="L185" s="94"/>
      <c r="M185" s="353">
        <f t="shared" si="21"/>
        <v>0.6</v>
      </c>
      <c r="N185" s="353">
        <v>0.26</v>
      </c>
      <c r="O185" s="353">
        <f t="shared" si="22"/>
        <v>0.61</v>
      </c>
      <c r="P185" s="353">
        <v>0.34620000000000001</v>
      </c>
      <c r="Q185" s="353">
        <v>0.69640000000000002</v>
      </c>
      <c r="R185" s="353">
        <v>0.6</v>
      </c>
      <c r="S185" s="353">
        <v>0.61</v>
      </c>
    </row>
    <row r="186" spans="1:19" s="78" customFormat="1">
      <c r="A186" s="77">
        <f t="shared" si="16"/>
        <v>43100</v>
      </c>
      <c r="B186" s="77">
        <f t="shared" si="15"/>
        <v>43464</v>
      </c>
      <c r="C186" s="86">
        <f t="shared" si="17"/>
        <v>0.25</v>
      </c>
      <c r="D186" s="86">
        <f t="shared" si="18"/>
        <v>0.2697</v>
      </c>
      <c r="E186" s="86">
        <f t="shared" si="20"/>
        <v>6.2300000000000001E-2</v>
      </c>
      <c r="F186" s="86">
        <f t="shared" si="19"/>
        <v>2.5999999999999999E-2</v>
      </c>
      <c r="G186" s="87">
        <v>0.245</v>
      </c>
      <c r="H186" s="87">
        <v>0.26500000000000001</v>
      </c>
      <c r="I186" s="87">
        <v>6.3E-2</v>
      </c>
      <c r="J186" s="87">
        <v>2.5999999999999999E-2</v>
      </c>
      <c r="K186" s="76">
        <f>((8/3)*L182)+((4/3)*L194)</f>
        <v>15648</v>
      </c>
      <c r="L186" s="94"/>
      <c r="M186" s="353">
        <f t="shared" si="21"/>
        <v>0.6</v>
      </c>
      <c r="N186" s="353">
        <v>0.26</v>
      </c>
      <c r="O186" s="353">
        <f t="shared" si="22"/>
        <v>0.61</v>
      </c>
      <c r="P186" s="353">
        <v>0.34620000000000001</v>
      </c>
      <c r="Q186" s="353">
        <v>0.69640000000000002</v>
      </c>
      <c r="R186" s="353">
        <v>0.6</v>
      </c>
      <c r="S186" s="353">
        <v>0.61</v>
      </c>
    </row>
    <row r="187" spans="1:19" s="78" customFormat="1">
      <c r="A187" s="77">
        <f t="shared" si="16"/>
        <v>43131</v>
      </c>
      <c r="B187" s="77">
        <f t="shared" si="15"/>
        <v>43495</v>
      </c>
      <c r="C187" s="86">
        <f t="shared" si="17"/>
        <v>0.25130000000000002</v>
      </c>
      <c r="D187" s="86">
        <f t="shared" si="18"/>
        <v>0.27079999999999999</v>
      </c>
      <c r="E187" s="86">
        <f t="shared" si="20"/>
        <v>6.2199999999999998E-2</v>
      </c>
      <c r="F187" s="86">
        <f t="shared" si="19"/>
        <v>2.5999999999999999E-2</v>
      </c>
      <c r="G187" s="87">
        <v>0.245</v>
      </c>
      <c r="H187" s="87">
        <v>0.26500000000000001</v>
      </c>
      <c r="I187" s="87">
        <v>6.3E-2</v>
      </c>
      <c r="J187" s="87">
        <v>2.5999999999999999E-2</v>
      </c>
      <c r="K187" s="76">
        <f>((7/3)*L182)+((5/3)*L194)</f>
        <v>15693</v>
      </c>
      <c r="L187" s="94"/>
      <c r="M187" s="353">
        <f t="shared" si="21"/>
        <v>0.6</v>
      </c>
      <c r="N187" s="353">
        <v>0.26</v>
      </c>
      <c r="O187" s="353">
        <f t="shared" si="22"/>
        <v>0.61</v>
      </c>
      <c r="P187" s="353">
        <v>0.34620000000000001</v>
      </c>
      <c r="Q187" s="353">
        <v>0.69640000000000002</v>
      </c>
      <c r="R187" s="353">
        <v>0.6</v>
      </c>
      <c r="S187" s="353">
        <v>0.61</v>
      </c>
    </row>
    <row r="188" spans="1:19" s="78" customFormat="1">
      <c r="A188" s="77">
        <f t="shared" si="16"/>
        <v>43159</v>
      </c>
      <c r="B188" s="77">
        <f t="shared" si="15"/>
        <v>43523</v>
      </c>
      <c r="C188" s="86">
        <f t="shared" si="17"/>
        <v>0.2525</v>
      </c>
      <c r="D188" s="86">
        <f t="shared" si="18"/>
        <v>0.27200000000000002</v>
      </c>
      <c r="E188" s="86">
        <f t="shared" si="20"/>
        <v>6.2E-2</v>
      </c>
      <c r="F188" s="86">
        <f t="shared" si="19"/>
        <v>2.5999999999999999E-2</v>
      </c>
      <c r="G188" s="87">
        <v>0.245</v>
      </c>
      <c r="H188" s="87">
        <v>0.26500000000000001</v>
      </c>
      <c r="I188" s="87">
        <v>6.3E-2</v>
      </c>
      <c r="J188" s="87">
        <v>2.5999999999999999E-2</v>
      </c>
      <c r="K188" s="76">
        <f>((6/3)*L182)+((6/3)*L194)</f>
        <v>15738</v>
      </c>
      <c r="L188" s="94"/>
      <c r="M188" s="353">
        <f t="shared" si="21"/>
        <v>0.6</v>
      </c>
      <c r="N188" s="353">
        <v>0.26</v>
      </c>
      <c r="O188" s="353">
        <f t="shared" si="22"/>
        <v>0.61</v>
      </c>
      <c r="P188" s="353">
        <v>0.34620000000000001</v>
      </c>
      <c r="Q188" s="353">
        <v>0.69640000000000002</v>
      </c>
      <c r="R188" s="353">
        <v>0.6</v>
      </c>
      <c r="S188" s="353">
        <v>0.61</v>
      </c>
    </row>
    <row r="189" spans="1:19" s="78" customFormat="1">
      <c r="A189" s="77">
        <f t="shared" si="16"/>
        <v>43190</v>
      </c>
      <c r="B189" s="77">
        <f t="shared" si="15"/>
        <v>43554</v>
      </c>
      <c r="C189" s="86">
        <f t="shared" si="17"/>
        <v>0.25380000000000003</v>
      </c>
      <c r="D189" s="86">
        <f t="shared" si="18"/>
        <v>0.2732</v>
      </c>
      <c r="E189" s="86">
        <f t="shared" si="20"/>
        <v>6.1800000000000001E-2</v>
      </c>
      <c r="F189" s="86">
        <f t="shared" si="19"/>
        <v>2.5999999999999999E-2</v>
      </c>
      <c r="G189" s="87">
        <v>0.245</v>
      </c>
      <c r="H189" s="87">
        <v>0.26500000000000001</v>
      </c>
      <c r="I189" s="87">
        <v>6.3E-2</v>
      </c>
      <c r="J189" s="87">
        <v>2.5999999999999999E-2</v>
      </c>
      <c r="K189" s="76">
        <f>((5/3)*L182)+((7/3)*L194)</f>
        <v>15783</v>
      </c>
      <c r="L189" s="94"/>
      <c r="M189" s="353">
        <f t="shared" si="21"/>
        <v>0.6</v>
      </c>
      <c r="N189" s="353">
        <v>0.26</v>
      </c>
      <c r="O189" s="353">
        <f t="shared" si="22"/>
        <v>0.61</v>
      </c>
      <c r="P189" s="353">
        <v>0.34620000000000001</v>
      </c>
      <c r="Q189" s="353">
        <v>0.69640000000000002</v>
      </c>
      <c r="R189" s="353">
        <v>0.6</v>
      </c>
      <c r="S189" s="353">
        <v>0.61</v>
      </c>
    </row>
    <row r="190" spans="1:19" s="78" customFormat="1">
      <c r="A190" s="77">
        <f t="shared" si="16"/>
        <v>43220</v>
      </c>
      <c r="B190" s="77">
        <f t="shared" si="15"/>
        <v>43584</v>
      </c>
      <c r="C190" s="86">
        <f t="shared" si="17"/>
        <v>0.255</v>
      </c>
      <c r="D190" s="86">
        <f t="shared" si="18"/>
        <v>0.27429999999999999</v>
      </c>
      <c r="E190" s="86">
        <f t="shared" si="20"/>
        <v>6.1699999999999998E-2</v>
      </c>
      <c r="F190" s="86">
        <f t="shared" si="19"/>
        <v>2.5999999999999999E-2</v>
      </c>
      <c r="G190" s="87">
        <v>0.245</v>
      </c>
      <c r="H190" s="87">
        <v>0.26500000000000001</v>
      </c>
      <c r="I190" s="87">
        <v>6.3E-2</v>
      </c>
      <c r="J190" s="87">
        <v>2.5999999999999999E-2</v>
      </c>
      <c r="K190" s="76">
        <f>((4/3)*L182)+((8/3)*L194)</f>
        <v>15828</v>
      </c>
      <c r="L190" s="94"/>
      <c r="M190" s="353">
        <f t="shared" si="21"/>
        <v>0.6</v>
      </c>
      <c r="N190" s="353">
        <v>0.26</v>
      </c>
      <c r="O190" s="353">
        <f t="shared" si="22"/>
        <v>0.61</v>
      </c>
      <c r="P190" s="353">
        <v>0.34620000000000001</v>
      </c>
      <c r="Q190" s="353">
        <v>0.69640000000000002</v>
      </c>
      <c r="R190" s="353">
        <v>0.6</v>
      </c>
      <c r="S190" s="353">
        <v>0.61</v>
      </c>
    </row>
    <row r="191" spans="1:19" s="78" customFormat="1">
      <c r="A191" s="77">
        <f t="shared" si="16"/>
        <v>43251</v>
      </c>
      <c r="B191" s="77">
        <f t="shared" si="15"/>
        <v>43615</v>
      </c>
      <c r="C191" s="86">
        <f t="shared" si="17"/>
        <v>0.25629999999999997</v>
      </c>
      <c r="D191" s="86">
        <f t="shared" si="18"/>
        <v>0.27550000000000002</v>
      </c>
      <c r="E191" s="86">
        <f t="shared" si="20"/>
        <v>6.1499999999999999E-2</v>
      </c>
      <c r="F191" s="86">
        <f t="shared" si="19"/>
        <v>2.5999999999999999E-2</v>
      </c>
      <c r="G191" s="87">
        <v>0.245</v>
      </c>
      <c r="H191" s="87">
        <v>0.26500000000000001</v>
      </c>
      <c r="I191" s="87">
        <v>6.3E-2</v>
      </c>
      <c r="J191" s="87">
        <v>2.5999999999999999E-2</v>
      </c>
      <c r="K191" s="76">
        <f>((3/3)*L182)+((9/3)*L194)</f>
        <v>15873</v>
      </c>
      <c r="L191" s="94"/>
      <c r="M191" s="353">
        <f t="shared" si="21"/>
        <v>0.6</v>
      </c>
      <c r="N191" s="353">
        <v>0.26</v>
      </c>
      <c r="O191" s="353">
        <f t="shared" si="22"/>
        <v>0.61</v>
      </c>
      <c r="P191" s="353">
        <v>0.34620000000000001</v>
      </c>
      <c r="Q191" s="353">
        <v>0.69640000000000002</v>
      </c>
      <c r="R191" s="353">
        <v>0.6</v>
      </c>
      <c r="S191" s="353">
        <v>0.61</v>
      </c>
    </row>
    <row r="192" spans="1:19" s="78" customFormat="1">
      <c r="A192" s="77">
        <f t="shared" si="16"/>
        <v>43281</v>
      </c>
      <c r="B192" s="77">
        <f t="shared" si="15"/>
        <v>43645</v>
      </c>
      <c r="C192" s="86">
        <f t="shared" si="17"/>
        <v>0.25750000000000001</v>
      </c>
      <c r="D192" s="86">
        <f t="shared" si="18"/>
        <v>0.2767</v>
      </c>
      <c r="E192" s="86">
        <f t="shared" si="20"/>
        <v>6.13E-2</v>
      </c>
      <c r="F192" s="86">
        <f t="shared" si="19"/>
        <v>2.5999999999999999E-2</v>
      </c>
      <c r="G192" s="87">
        <v>0.245</v>
      </c>
      <c r="H192" s="87">
        <v>0.26500000000000001</v>
      </c>
      <c r="I192" s="87">
        <v>6.3E-2</v>
      </c>
      <c r="J192" s="87">
        <v>2.5999999999999999E-2</v>
      </c>
      <c r="K192" s="76">
        <f>((2/3)*L182)+((10/3)*L194)</f>
        <v>15918</v>
      </c>
      <c r="L192" s="94"/>
      <c r="M192" s="353">
        <f t="shared" si="21"/>
        <v>0.6</v>
      </c>
      <c r="N192" s="353">
        <v>0.26</v>
      </c>
      <c r="O192" s="353">
        <f t="shared" si="22"/>
        <v>0.61</v>
      </c>
      <c r="P192" s="353">
        <v>0.34620000000000001</v>
      </c>
      <c r="Q192" s="353">
        <v>0.69640000000000002</v>
      </c>
      <c r="R192" s="353">
        <v>0.6</v>
      </c>
      <c r="S192" s="353">
        <v>0.61</v>
      </c>
    </row>
    <row r="193" spans="1:19" s="78" customFormat="1">
      <c r="A193" s="77">
        <f t="shared" si="16"/>
        <v>43312</v>
      </c>
      <c r="B193" s="77">
        <f t="shared" si="15"/>
        <v>43676</v>
      </c>
      <c r="C193" s="86">
        <f t="shared" si="17"/>
        <v>0.25879999999999997</v>
      </c>
      <c r="D193" s="86">
        <f t="shared" si="18"/>
        <v>0.27779999999999999</v>
      </c>
      <c r="E193" s="86">
        <f t="shared" si="20"/>
        <v>6.1199999999999997E-2</v>
      </c>
      <c r="F193" s="86">
        <f t="shared" si="19"/>
        <v>2.5999999999999999E-2</v>
      </c>
      <c r="G193" s="87">
        <v>0.245</v>
      </c>
      <c r="H193" s="87">
        <v>0.26500000000000001</v>
      </c>
      <c r="I193" s="87">
        <v>6.3E-2</v>
      </c>
      <c r="J193" s="87">
        <v>2.5999999999999999E-2</v>
      </c>
      <c r="K193" s="76">
        <f>((1/3)*L182)+((11/3)*L194)</f>
        <v>15963</v>
      </c>
      <c r="L193" s="94"/>
      <c r="M193" s="353">
        <f t="shared" si="21"/>
        <v>0.6</v>
      </c>
      <c r="N193" s="353">
        <v>0.26</v>
      </c>
      <c r="O193" s="353">
        <f t="shared" si="22"/>
        <v>0.61</v>
      </c>
      <c r="P193" s="353">
        <v>0.34620000000000001</v>
      </c>
      <c r="Q193" s="353">
        <v>0.69640000000000002</v>
      </c>
      <c r="R193" s="353">
        <v>0.6</v>
      </c>
      <c r="S193" s="353">
        <v>0.61</v>
      </c>
    </row>
    <row r="194" spans="1:19">
      <c r="A194" s="19">
        <f t="shared" si="16"/>
        <v>43343</v>
      </c>
      <c r="B194" s="19">
        <f t="shared" ref="B194:B257" si="23">EDATE(A194,12)-1</f>
        <v>43707</v>
      </c>
      <c r="C194" s="84">
        <f t="shared" si="17"/>
        <v>0.26</v>
      </c>
      <c r="D194" s="84">
        <f t="shared" si="18"/>
        <v>0.27900000000000003</v>
      </c>
      <c r="E194" s="84">
        <f t="shared" si="20"/>
        <v>6.0999999999999999E-2</v>
      </c>
      <c r="F194" s="84">
        <f t="shared" si="19"/>
        <v>2.5999999999999999E-2</v>
      </c>
      <c r="G194" s="85">
        <v>0.26</v>
      </c>
      <c r="H194" s="85">
        <v>0.27900000000000003</v>
      </c>
      <c r="I194" s="85">
        <v>6.0999999999999999E-2</v>
      </c>
      <c r="J194" s="85">
        <v>2.5999999999999999E-2</v>
      </c>
      <c r="K194" s="25">
        <f>(L194*4)</f>
        <v>16008</v>
      </c>
      <c r="L194" s="93">
        <v>4002</v>
      </c>
      <c r="M194" s="80">
        <f t="shared" si="21"/>
        <v>0.6</v>
      </c>
      <c r="N194" s="80">
        <v>0.26</v>
      </c>
      <c r="O194" s="80">
        <f t="shared" si="22"/>
        <v>0.61</v>
      </c>
      <c r="P194" s="80">
        <v>0.34620000000000001</v>
      </c>
      <c r="Q194" s="80">
        <v>0.69640000000000002</v>
      </c>
      <c r="R194" s="80">
        <v>0.6</v>
      </c>
      <c r="S194" s="80">
        <v>0.61</v>
      </c>
    </row>
    <row r="195" spans="1:19">
      <c r="A195" s="19">
        <f t="shared" ref="A195:A258" si="24">EDATE(A194,1)</f>
        <v>43373</v>
      </c>
      <c r="B195" s="19">
        <f t="shared" si="23"/>
        <v>43737</v>
      </c>
      <c r="C195" s="84">
        <f t="shared" ref="C195:F210" si="25">AVERAGE(G195:G206)</f>
        <v>0.26129999999999998</v>
      </c>
      <c r="D195" s="84">
        <f t="shared" si="25"/>
        <v>0.2802</v>
      </c>
      <c r="E195" s="84">
        <f t="shared" si="20"/>
        <v>6.1100000000000002E-2</v>
      </c>
      <c r="F195" s="84">
        <f t="shared" si="19"/>
        <v>2.5999999999999999E-2</v>
      </c>
      <c r="G195" s="85">
        <v>0.26</v>
      </c>
      <c r="H195" s="85">
        <v>0.27900000000000003</v>
      </c>
      <c r="I195" s="85">
        <v>6.0999999999999999E-2</v>
      </c>
      <c r="J195" s="85">
        <v>2.5999999999999999E-2</v>
      </c>
      <c r="K195" s="25">
        <f>((11/3)*L194)+((1/3)*L206)</f>
        <v>16008</v>
      </c>
      <c r="L195" s="93"/>
      <c r="M195" s="80">
        <f t="shared" si="21"/>
        <v>0.6</v>
      </c>
      <c r="N195" s="80">
        <v>0.26</v>
      </c>
      <c r="O195" s="80">
        <f t="shared" si="22"/>
        <v>0.61</v>
      </c>
      <c r="P195" s="80">
        <v>0.34620000000000001</v>
      </c>
      <c r="Q195" s="80">
        <v>0.69640000000000002</v>
      </c>
      <c r="R195" s="80">
        <v>0.6</v>
      </c>
      <c r="S195" s="80">
        <v>0.61</v>
      </c>
    </row>
    <row r="196" spans="1:19">
      <c r="A196" s="19">
        <f t="shared" si="24"/>
        <v>43404</v>
      </c>
      <c r="B196" s="19">
        <f t="shared" si="23"/>
        <v>43768</v>
      </c>
      <c r="C196" s="84">
        <f t="shared" si="25"/>
        <v>0.26250000000000001</v>
      </c>
      <c r="D196" s="84">
        <f t="shared" si="25"/>
        <v>0.28129999999999999</v>
      </c>
      <c r="E196" s="84">
        <f t="shared" si="20"/>
        <v>6.1199999999999997E-2</v>
      </c>
      <c r="F196" s="84">
        <f t="shared" si="20"/>
        <v>2.5999999999999999E-2</v>
      </c>
      <c r="G196" s="85">
        <v>0.26</v>
      </c>
      <c r="H196" s="85">
        <v>0.27900000000000003</v>
      </c>
      <c r="I196" s="85">
        <v>6.0999999999999999E-2</v>
      </c>
      <c r="J196" s="85">
        <v>2.5999999999999999E-2</v>
      </c>
      <c r="K196" s="25">
        <f>((10/3)*L194)+((2/3)*L206)</f>
        <v>16008</v>
      </c>
      <c r="L196" s="93"/>
      <c r="M196" s="80">
        <f t="shared" si="21"/>
        <v>0.6</v>
      </c>
      <c r="N196" s="80">
        <v>0.26</v>
      </c>
      <c r="O196" s="80">
        <f t="shared" si="22"/>
        <v>0.61</v>
      </c>
      <c r="P196" s="80">
        <v>0.34620000000000001</v>
      </c>
      <c r="Q196" s="80">
        <v>0.69640000000000002</v>
      </c>
      <c r="R196" s="80">
        <v>0.6</v>
      </c>
      <c r="S196" s="80">
        <v>0.61</v>
      </c>
    </row>
    <row r="197" spans="1:19">
      <c r="A197" s="19">
        <f t="shared" si="24"/>
        <v>43434</v>
      </c>
      <c r="B197" s="19">
        <f t="shared" si="23"/>
        <v>43798</v>
      </c>
      <c r="C197" s="84">
        <f t="shared" si="25"/>
        <v>0.26379999999999998</v>
      </c>
      <c r="D197" s="84">
        <f t="shared" si="25"/>
        <v>0.28249999999999997</v>
      </c>
      <c r="E197" s="84">
        <f t="shared" si="25"/>
        <v>6.13E-2</v>
      </c>
      <c r="F197" s="84">
        <f t="shared" si="25"/>
        <v>2.5999999999999999E-2</v>
      </c>
      <c r="G197" s="85">
        <v>0.26</v>
      </c>
      <c r="H197" s="85">
        <v>0.27900000000000003</v>
      </c>
      <c r="I197" s="85">
        <v>6.0999999999999999E-2</v>
      </c>
      <c r="J197" s="85">
        <v>2.5999999999999999E-2</v>
      </c>
      <c r="K197" s="25">
        <f>((9/3)*L194)+((3/3)*L206)</f>
        <v>16008</v>
      </c>
      <c r="L197" s="93"/>
      <c r="M197" s="80">
        <f t="shared" si="21"/>
        <v>0.6</v>
      </c>
      <c r="N197" s="80">
        <v>0.26</v>
      </c>
      <c r="O197" s="80">
        <f t="shared" si="22"/>
        <v>0.61</v>
      </c>
      <c r="P197" s="80">
        <v>0.34620000000000001</v>
      </c>
      <c r="Q197" s="80">
        <v>0.69640000000000002</v>
      </c>
      <c r="R197" s="80">
        <v>0.6</v>
      </c>
      <c r="S197" s="80">
        <v>0.61</v>
      </c>
    </row>
    <row r="198" spans="1:19">
      <c r="A198" s="19">
        <f t="shared" si="24"/>
        <v>43465</v>
      </c>
      <c r="B198" s="19">
        <f t="shared" si="23"/>
        <v>43829</v>
      </c>
      <c r="C198" s="84">
        <f t="shared" si="25"/>
        <v>0.26500000000000001</v>
      </c>
      <c r="D198" s="84">
        <f t="shared" si="25"/>
        <v>0.28370000000000001</v>
      </c>
      <c r="E198" s="84">
        <f t="shared" si="25"/>
        <v>6.13E-2</v>
      </c>
      <c r="F198" s="84">
        <f t="shared" si="25"/>
        <v>2.5999999999999999E-2</v>
      </c>
      <c r="G198" s="85">
        <v>0.26</v>
      </c>
      <c r="H198" s="85">
        <v>0.27900000000000003</v>
      </c>
      <c r="I198" s="85">
        <v>6.0999999999999999E-2</v>
      </c>
      <c r="J198" s="85">
        <v>2.5999999999999999E-2</v>
      </c>
      <c r="K198" s="25">
        <f>((8/3)*L194)+((4/3)*L206)</f>
        <v>16008</v>
      </c>
      <c r="L198" s="93"/>
      <c r="M198" s="80">
        <f t="shared" si="21"/>
        <v>0.6</v>
      </c>
      <c r="N198" s="80">
        <v>0.26</v>
      </c>
      <c r="O198" s="80">
        <f t="shared" si="22"/>
        <v>0.61</v>
      </c>
      <c r="P198" s="80">
        <v>0.34620000000000001</v>
      </c>
      <c r="Q198" s="80">
        <v>0.69640000000000002</v>
      </c>
      <c r="R198" s="80">
        <v>0.6</v>
      </c>
      <c r="S198" s="80">
        <v>0.61</v>
      </c>
    </row>
    <row r="199" spans="1:19">
      <c r="A199" s="19">
        <f t="shared" si="24"/>
        <v>43496</v>
      </c>
      <c r="B199" s="19">
        <f t="shared" si="23"/>
        <v>43860</v>
      </c>
      <c r="C199" s="84">
        <f t="shared" si="25"/>
        <v>0.26629999999999998</v>
      </c>
      <c r="D199" s="84">
        <f t="shared" si="25"/>
        <v>0.2848</v>
      </c>
      <c r="E199" s="84">
        <f t="shared" si="25"/>
        <v>6.1400000000000003E-2</v>
      </c>
      <c r="F199" s="84">
        <f t="shared" si="25"/>
        <v>2.5999999999999999E-2</v>
      </c>
      <c r="G199" s="85">
        <v>0.26</v>
      </c>
      <c r="H199" s="85">
        <v>0.27900000000000003</v>
      </c>
      <c r="I199" s="85">
        <v>6.0999999999999999E-2</v>
      </c>
      <c r="J199" s="85">
        <v>2.5999999999999999E-2</v>
      </c>
      <c r="K199" s="25">
        <f>((7/3)*L194)+((5/3)*L206)</f>
        <v>16008</v>
      </c>
      <c r="L199" s="93"/>
      <c r="M199" s="80">
        <f t="shared" si="21"/>
        <v>0.6</v>
      </c>
      <c r="N199" s="80">
        <v>0.26</v>
      </c>
      <c r="O199" s="80">
        <f t="shared" si="22"/>
        <v>0.61</v>
      </c>
      <c r="P199" s="80">
        <v>0.34620000000000001</v>
      </c>
      <c r="Q199" s="80">
        <v>0.69640000000000002</v>
      </c>
      <c r="R199" s="80">
        <v>0.6</v>
      </c>
      <c r="S199" s="80">
        <v>0.61</v>
      </c>
    </row>
    <row r="200" spans="1:19">
      <c r="A200" s="19">
        <f t="shared" si="24"/>
        <v>43524</v>
      </c>
      <c r="B200" s="19">
        <f t="shared" si="23"/>
        <v>43889</v>
      </c>
      <c r="C200" s="84">
        <f t="shared" si="25"/>
        <v>0.26750000000000002</v>
      </c>
      <c r="D200" s="84">
        <f t="shared" si="25"/>
        <v>0.28599999999999998</v>
      </c>
      <c r="E200" s="84">
        <f t="shared" si="25"/>
        <v>6.1499999999999999E-2</v>
      </c>
      <c r="F200" s="84">
        <f t="shared" si="25"/>
        <v>2.5999999999999999E-2</v>
      </c>
      <c r="G200" s="85">
        <v>0.26</v>
      </c>
      <c r="H200" s="85">
        <v>0.27900000000000003</v>
      </c>
      <c r="I200" s="85">
        <v>6.0999999999999999E-2</v>
      </c>
      <c r="J200" s="85">
        <v>2.5999999999999999E-2</v>
      </c>
      <c r="K200" s="25">
        <f>((6/3)*L194)+((6/3)*L206)</f>
        <v>16008</v>
      </c>
      <c r="L200" s="93"/>
      <c r="M200" s="80">
        <f t="shared" si="21"/>
        <v>0.6</v>
      </c>
      <c r="N200" s="80">
        <v>0.26</v>
      </c>
      <c r="O200" s="80">
        <f t="shared" si="22"/>
        <v>0.61</v>
      </c>
      <c r="P200" s="80">
        <v>0.34620000000000001</v>
      </c>
      <c r="Q200" s="80">
        <v>0.69640000000000002</v>
      </c>
      <c r="R200" s="80">
        <v>0.6</v>
      </c>
      <c r="S200" s="80">
        <v>0.61</v>
      </c>
    </row>
    <row r="201" spans="1:19">
      <c r="A201" s="19">
        <f t="shared" si="24"/>
        <v>43555</v>
      </c>
      <c r="B201" s="19">
        <f t="shared" si="23"/>
        <v>43920</v>
      </c>
      <c r="C201" s="84">
        <f t="shared" si="25"/>
        <v>0.26879999999999998</v>
      </c>
      <c r="D201" s="84">
        <f t="shared" si="25"/>
        <v>0.28720000000000001</v>
      </c>
      <c r="E201" s="84">
        <f t="shared" si="25"/>
        <v>6.1600000000000002E-2</v>
      </c>
      <c r="F201" s="84">
        <f t="shared" si="25"/>
        <v>2.5999999999999999E-2</v>
      </c>
      <c r="G201" s="85">
        <v>0.26</v>
      </c>
      <c r="H201" s="85">
        <v>0.27900000000000003</v>
      </c>
      <c r="I201" s="85">
        <v>6.0999999999999999E-2</v>
      </c>
      <c r="J201" s="85">
        <v>2.5999999999999999E-2</v>
      </c>
      <c r="K201" s="25">
        <f>((5/3)*L194)+((7/3)*L206)</f>
        <v>16008</v>
      </c>
      <c r="L201" s="93"/>
      <c r="M201" s="80">
        <f t="shared" si="21"/>
        <v>0.6</v>
      </c>
      <c r="N201" s="80">
        <v>0.26</v>
      </c>
      <c r="O201" s="80">
        <f t="shared" si="22"/>
        <v>0.61</v>
      </c>
      <c r="P201" s="80">
        <v>0.34620000000000001</v>
      </c>
      <c r="Q201" s="80">
        <v>0.69640000000000002</v>
      </c>
      <c r="R201" s="80">
        <v>0.6</v>
      </c>
      <c r="S201" s="80">
        <v>0.61</v>
      </c>
    </row>
    <row r="202" spans="1:19">
      <c r="A202" s="19">
        <f t="shared" si="24"/>
        <v>43585</v>
      </c>
      <c r="B202" s="19">
        <f t="shared" si="23"/>
        <v>43950</v>
      </c>
      <c r="C202" s="84">
        <f t="shared" si="25"/>
        <v>0.27</v>
      </c>
      <c r="D202" s="84">
        <f t="shared" si="25"/>
        <v>0.2883</v>
      </c>
      <c r="E202" s="84">
        <f t="shared" si="25"/>
        <v>6.1699999999999998E-2</v>
      </c>
      <c r="F202" s="84">
        <f t="shared" si="25"/>
        <v>2.5999999999999999E-2</v>
      </c>
      <c r="G202" s="85">
        <v>0.26</v>
      </c>
      <c r="H202" s="85">
        <v>0.27900000000000003</v>
      </c>
      <c r="I202" s="85">
        <v>6.0999999999999999E-2</v>
      </c>
      <c r="J202" s="85">
        <v>2.5999999999999999E-2</v>
      </c>
      <c r="K202" s="25">
        <f>((4/3)*L194)+((8/3)*L206)</f>
        <v>16008</v>
      </c>
      <c r="L202" s="93"/>
      <c r="M202" s="80">
        <f t="shared" si="21"/>
        <v>0.6</v>
      </c>
      <c r="N202" s="80">
        <v>0.26</v>
      </c>
      <c r="O202" s="80">
        <f t="shared" si="22"/>
        <v>0.61</v>
      </c>
      <c r="P202" s="80">
        <v>0.34620000000000001</v>
      </c>
      <c r="Q202" s="80">
        <v>0.69640000000000002</v>
      </c>
      <c r="R202" s="80">
        <v>0.6</v>
      </c>
      <c r="S202" s="80">
        <v>0.61</v>
      </c>
    </row>
    <row r="203" spans="1:19">
      <c r="A203" s="19">
        <f t="shared" si="24"/>
        <v>43616</v>
      </c>
      <c r="B203" s="19">
        <f t="shared" si="23"/>
        <v>43981</v>
      </c>
      <c r="C203" s="84">
        <f t="shared" si="25"/>
        <v>0.27129999999999999</v>
      </c>
      <c r="D203" s="84">
        <f t="shared" si="25"/>
        <v>0.28949999999999998</v>
      </c>
      <c r="E203" s="84">
        <f t="shared" si="25"/>
        <v>6.1800000000000001E-2</v>
      </c>
      <c r="F203" s="84">
        <f t="shared" si="25"/>
        <v>2.5999999999999999E-2</v>
      </c>
      <c r="G203" s="85">
        <v>0.26</v>
      </c>
      <c r="H203" s="85">
        <v>0.27900000000000003</v>
      </c>
      <c r="I203" s="85">
        <v>6.0999999999999999E-2</v>
      </c>
      <c r="J203" s="85">
        <v>2.5999999999999999E-2</v>
      </c>
      <c r="K203" s="25">
        <f>((3/3)*L194)+((9/3)*L206)</f>
        <v>16008</v>
      </c>
      <c r="L203" s="93"/>
      <c r="M203" s="80">
        <f t="shared" si="21"/>
        <v>0.6</v>
      </c>
      <c r="N203" s="80">
        <v>0.26</v>
      </c>
      <c r="O203" s="80">
        <f t="shared" si="22"/>
        <v>0.61</v>
      </c>
      <c r="P203" s="80">
        <v>0.34620000000000001</v>
      </c>
      <c r="Q203" s="80">
        <v>0.69640000000000002</v>
      </c>
      <c r="R203" s="80">
        <v>0.6</v>
      </c>
      <c r="S203" s="80">
        <v>0.61</v>
      </c>
    </row>
    <row r="204" spans="1:19">
      <c r="A204" s="19">
        <f t="shared" si="24"/>
        <v>43646</v>
      </c>
      <c r="B204" s="19">
        <f t="shared" si="23"/>
        <v>44011</v>
      </c>
      <c r="C204" s="84">
        <f t="shared" si="25"/>
        <v>0.27250000000000002</v>
      </c>
      <c r="D204" s="84">
        <f t="shared" si="25"/>
        <v>0.29070000000000001</v>
      </c>
      <c r="E204" s="84">
        <f t="shared" si="25"/>
        <v>6.1800000000000001E-2</v>
      </c>
      <c r="F204" s="84">
        <f t="shared" si="25"/>
        <v>2.5999999999999999E-2</v>
      </c>
      <c r="G204" s="85">
        <v>0.26</v>
      </c>
      <c r="H204" s="85">
        <v>0.27900000000000003</v>
      </c>
      <c r="I204" s="85">
        <v>6.0999999999999999E-2</v>
      </c>
      <c r="J204" s="85">
        <v>2.5999999999999999E-2</v>
      </c>
      <c r="K204" s="25">
        <f>((2/3)*L194)+((10/3)*L206)</f>
        <v>16008</v>
      </c>
      <c r="L204" s="93"/>
      <c r="M204" s="80">
        <f t="shared" si="21"/>
        <v>0.6</v>
      </c>
      <c r="N204" s="80">
        <v>0.26</v>
      </c>
      <c r="O204" s="80">
        <f t="shared" si="22"/>
        <v>0.61</v>
      </c>
      <c r="P204" s="80">
        <v>0.34620000000000001</v>
      </c>
      <c r="Q204" s="80">
        <v>0.69640000000000002</v>
      </c>
      <c r="R204" s="80">
        <v>0.6</v>
      </c>
      <c r="S204" s="80">
        <v>0.61</v>
      </c>
    </row>
    <row r="205" spans="1:19">
      <c r="A205" s="19">
        <f t="shared" si="24"/>
        <v>43677</v>
      </c>
      <c r="B205" s="19">
        <f t="shared" si="23"/>
        <v>44042</v>
      </c>
      <c r="C205" s="81">
        <f t="shared" si="25"/>
        <v>0.27379999999999999</v>
      </c>
      <c r="D205" s="81">
        <f t="shared" si="25"/>
        <v>0.2918</v>
      </c>
      <c r="E205" s="81">
        <f t="shared" si="25"/>
        <v>6.1899999999999997E-2</v>
      </c>
      <c r="F205" s="81">
        <f t="shared" si="25"/>
        <v>2.5999999999999999E-2</v>
      </c>
      <c r="G205" s="85">
        <v>0.26</v>
      </c>
      <c r="H205" s="85">
        <v>0.27900000000000003</v>
      </c>
      <c r="I205" s="85">
        <v>6.0999999999999999E-2</v>
      </c>
      <c r="J205" s="85">
        <v>2.5999999999999999E-2</v>
      </c>
      <c r="K205" s="25">
        <f>((1/3)*L194)+((11/3)*L206)</f>
        <v>16008</v>
      </c>
      <c r="L205" s="93"/>
      <c r="M205" s="80">
        <f t="shared" si="21"/>
        <v>0.6</v>
      </c>
      <c r="N205" s="80">
        <v>0.26</v>
      </c>
      <c r="O205" s="80">
        <f t="shared" si="22"/>
        <v>0.61</v>
      </c>
      <c r="P205" s="80">
        <v>0.34620000000000001</v>
      </c>
      <c r="Q205" s="80">
        <v>0.69640000000000002</v>
      </c>
      <c r="R205" s="80">
        <v>0.6</v>
      </c>
      <c r="S205" s="80">
        <v>0.61</v>
      </c>
    </row>
    <row r="206" spans="1:19" s="78" customFormat="1">
      <c r="A206" s="77">
        <f t="shared" si="24"/>
        <v>43708</v>
      </c>
      <c r="B206" s="77">
        <f t="shared" si="23"/>
        <v>44073</v>
      </c>
      <c r="C206" s="86">
        <f t="shared" si="25"/>
        <v>0.27500000000000002</v>
      </c>
      <c r="D206" s="86">
        <f t="shared" si="25"/>
        <v>0.29299999999999998</v>
      </c>
      <c r="E206" s="86">
        <f t="shared" si="25"/>
        <v>6.2E-2</v>
      </c>
      <c r="F206" s="86">
        <f t="shared" si="25"/>
        <v>2.5999999999999999E-2</v>
      </c>
      <c r="G206" s="87">
        <v>0.27500000000000002</v>
      </c>
      <c r="H206" s="87">
        <v>0.29299999999999998</v>
      </c>
      <c r="I206" s="87">
        <v>6.2E-2</v>
      </c>
      <c r="J206" s="87">
        <v>2.5999999999999999E-2</v>
      </c>
      <c r="K206" s="76">
        <f>4002/3*9+2992/3*3+2578/3*0</f>
        <v>14998</v>
      </c>
      <c r="L206" s="94">
        <v>4002</v>
      </c>
      <c r="M206" s="353">
        <f t="shared" si="21"/>
        <v>0.6</v>
      </c>
      <c r="N206" s="353">
        <v>0.26</v>
      </c>
      <c r="O206" s="353">
        <f t="shared" si="22"/>
        <v>0.61</v>
      </c>
      <c r="P206" s="353">
        <v>0.34620000000000001</v>
      </c>
      <c r="Q206" s="353">
        <v>0.69640000000000002</v>
      </c>
      <c r="R206" s="353">
        <v>0.6</v>
      </c>
      <c r="S206" s="353">
        <v>0.61</v>
      </c>
    </row>
    <row r="207" spans="1:19" s="78" customFormat="1">
      <c r="A207" s="77">
        <f t="shared" si="24"/>
        <v>43738</v>
      </c>
      <c r="B207" s="77">
        <f t="shared" si="23"/>
        <v>44103</v>
      </c>
      <c r="C207" s="86">
        <f t="shared" si="25"/>
        <v>0.27550000000000002</v>
      </c>
      <c r="D207" s="86">
        <f t="shared" si="25"/>
        <v>0.29360000000000003</v>
      </c>
      <c r="E207" s="86">
        <f t="shared" si="25"/>
        <v>6.1899999999999997E-2</v>
      </c>
      <c r="F207" s="86">
        <f t="shared" si="25"/>
        <v>2.5999999999999999E-2</v>
      </c>
      <c r="G207" s="87">
        <v>0.27500000000000002</v>
      </c>
      <c r="H207" s="87">
        <v>0.29299999999999998</v>
      </c>
      <c r="I207" s="87">
        <v>6.2E-2</v>
      </c>
      <c r="J207" s="87">
        <v>2.5999999999999999E-2</v>
      </c>
      <c r="K207" s="76">
        <f>4002/3*8+2992/3*3+2578/3*1</f>
        <v>14523</v>
      </c>
      <c r="L207" s="94"/>
      <c r="M207" s="353">
        <f t="shared" si="21"/>
        <v>0.6</v>
      </c>
      <c r="N207" s="353">
        <v>0.26</v>
      </c>
      <c r="O207" s="353">
        <f t="shared" si="22"/>
        <v>0.61</v>
      </c>
      <c r="P207" s="353">
        <v>0.34620000000000001</v>
      </c>
      <c r="Q207" s="353">
        <v>0.69640000000000002</v>
      </c>
      <c r="R207" s="353">
        <v>0.6</v>
      </c>
      <c r="S207" s="353">
        <v>0.61</v>
      </c>
    </row>
    <row r="208" spans="1:19" s="78" customFormat="1">
      <c r="A208" s="77">
        <f t="shared" si="24"/>
        <v>43769</v>
      </c>
      <c r="B208" s="77">
        <f t="shared" si="23"/>
        <v>44134</v>
      </c>
      <c r="C208" s="86">
        <f t="shared" si="25"/>
        <v>0.27600000000000002</v>
      </c>
      <c r="D208" s="86">
        <f t="shared" si="25"/>
        <v>0.29420000000000002</v>
      </c>
      <c r="E208" s="86">
        <f t="shared" si="25"/>
        <v>6.1800000000000001E-2</v>
      </c>
      <c r="F208" s="86">
        <f t="shared" si="25"/>
        <v>2.5999999999999999E-2</v>
      </c>
      <c r="G208" s="87">
        <v>0.27500000000000002</v>
      </c>
      <c r="H208" s="87">
        <v>0.29299999999999998</v>
      </c>
      <c r="I208" s="87">
        <v>6.2E-2</v>
      </c>
      <c r="J208" s="87">
        <v>2.5999999999999999E-2</v>
      </c>
      <c r="K208" s="76">
        <f>4002/3*7+2992/3*3+2578/3*2</f>
        <v>14049</v>
      </c>
      <c r="L208" s="94"/>
      <c r="M208" s="353">
        <f t="shared" si="21"/>
        <v>0.6</v>
      </c>
      <c r="N208" s="353">
        <v>0.26</v>
      </c>
      <c r="O208" s="353">
        <f t="shared" si="22"/>
        <v>0.61</v>
      </c>
      <c r="P208" s="353">
        <v>0.34620000000000001</v>
      </c>
      <c r="Q208" s="353">
        <v>0.69640000000000002</v>
      </c>
      <c r="R208" s="353">
        <v>0.6</v>
      </c>
      <c r="S208" s="353">
        <v>0.61</v>
      </c>
    </row>
    <row r="209" spans="1:19" s="78" customFormat="1">
      <c r="A209" s="77">
        <f t="shared" si="24"/>
        <v>43799</v>
      </c>
      <c r="B209" s="77">
        <f t="shared" si="23"/>
        <v>44164</v>
      </c>
      <c r="C209" s="86">
        <f t="shared" si="25"/>
        <v>0.27650000000000002</v>
      </c>
      <c r="D209" s="86">
        <f t="shared" si="25"/>
        <v>0.29480000000000001</v>
      </c>
      <c r="E209" s="86">
        <f t="shared" si="25"/>
        <v>6.1800000000000001E-2</v>
      </c>
      <c r="F209" s="86">
        <f t="shared" si="25"/>
        <v>2.5999999999999999E-2</v>
      </c>
      <c r="G209" s="87">
        <v>0.27500000000000002</v>
      </c>
      <c r="H209" s="87">
        <v>0.29299999999999998</v>
      </c>
      <c r="I209" s="87">
        <v>6.2E-2</v>
      </c>
      <c r="J209" s="87">
        <v>2.5999999999999999E-2</v>
      </c>
      <c r="K209" s="76">
        <f>4002/3*6+2992/3*3+2578/3*3</f>
        <v>13574</v>
      </c>
      <c r="L209" s="94"/>
      <c r="M209" s="353">
        <f t="shared" si="21"/>
        <v>0.6</v>
      </c>
      <c r="N209" s="353">
        <v>0.26</v>
      </c>
      <c r="O209" s="353">
        <f t="shared" si="22"/>
        <v>0.61</v>
      </c>
      <c r="P209" s="353">
        <v>0.34620000000000001</v>
      </c>
      <c r="Q209" s="353">
        <v>0.69640000000000002</v>
      </c>
      <c r="R209" s="353">
        <v>0.6</v>
      </c>
      <c r="S209" s="353">
        <v>0.61</v>
      </c>
    </row>
    <row r="210" spans="1:19" s="78" customFormat="1">
      <c r="A210" s="77">
        <f t="shared" si="24"/>
        <v>43830</v>
      </c>
      <c r="B210" s="77">
        <f t="shared" si="23"/>
        <v>44195</v>
      </c>
      <c r="C210" s="86">
        <f t="shared" si="25"/>
        <v>0.27700000000000002</v>
      </c>
      <c r="D210" s="86">
        <f t="shared" si="25"/>
        <v>0.29530000000000001</v>
      </c>
      <c r="E210" s="86">
        <f t="shared" si="25"/>
        <v>6.1699999999999998E-2</v>
      </c>
      <c r="F210" s="86">
        <f t="shared" si="25"/>
        <v>2.5999999999999999E-2</v>
      </c>
      <c r="G210" s="87">
        <v>0.27500000000000002</v>
      </c>
      <c r="H210" s="87">
        <v>0.29299999999999998</v>
      </c>
      <c r="I210" s="87">
        <v>6.2E-2</v>
      </c>
      <c r="J210" s="87">
        <v>2.5999999999999999E-2</v>
      </c>
      <c r="K210" s="76">
        <f>4002/3*5+2992/3*3+2578/3*4</f>
        <v>13099</v>
      </c>
      <c r="L210" s="94"/>
      <c r="M210" s="353">
        <f t="shared" si="21"/>
        <v>0.6</v>
      </c>
      <c r="N210" s="353">
        <v>0.26</v>
      </c>
      <c r="O210" s="353">
        <f t="shared" si="22"/>
        <v>0.61</v>
      </c>
      <c r="P210" s="353">
        <v>0.34620000000000001</v>
      </c>
      <c r="Q210" s="353">
        <v>0.69640000000000002</v>
      </c>
      <c r="R210" s="353">
        <v>0.6</v>
      </c>
      <c r="S210" s="353">
        <v>0.61</v>
      </c>
    </row>
    <row r="211" spans="1:19" s="78" customFormat="1">
      <c r="A211" s="77">
        <f t="shared" si="24"/>
        <v>43861</v>
      </c>
      <c r="B211" s="77">
        <f t="shared" si="23"/>
        <v>44226</v>
      </c>
      <c r="C211" s="86">
        <f t="shared" ref="C211:F226" si="26">AVERAGE(G211:G222)</f>
        <v>0.27750000000000002</v>
      </c>
      <c r="D211" s="86">
        <f t="shared" si="26"/>
        <v>0.2959</v>
      </c>
      <c r="E211" s="86">
        <f t="shared" si="26"/>
        <v>6.1600000000000002E-2</v>
      </c>
      <c r="F211" s="86">
        <f t="shared" si="26"/>
        <v>2.5999999999999999E-2</v>
      </c>
      <c r="G211" s="87">
        <v>0.27500000000000002</v>
      </c>
      <c r="H211" s="87">
        <v>0.29299999999999998</v>
      </c>
      <c r="I211" s="87">
        <v>6.2E-2</v>
      </c>
      <c r="J211" s="87">
        <v>2.5999999999999999E-2</v>
      </c>
      <c r="K211" s="76">
        <f>4002/3*4+2992/3*3+2578/3*5</f>
        <v>12625</v>
      </c>
      <c r="L211" s="94"/>
      <c r="M211" s="353">
        <f t="shared" si="21"/>
        <v>0.6</v>
      </c>
      <c r="N211" s="353">
        <v>0.26</v>
      </c>
      <c r="O211" s="353">
        <f t="shared" si="22"/>
        <v>0.61</v>
      </c>
      <c r="P211" s="353">
        <v>0.34620000000000001</v>
      </c>
      <c r="Q211" s="353">
        <v>0.69640000000000002</v>
      </c>
      <c r="R211" s="353">
        <v>0.6</v>
      </c>
      <c r="S211" s="353">
        <v>0.61</v>
      </c>
    </row>
    <row r="212" spans="1:19" s="78" customFormat="1">
      <c r="A212" s="77">
        <f t="shared" si="24"/>
        <v>43890</v>
      </c>
      <c r="B212" s="77">
        <f t="shared" si="23"/>
        <v>44254</v>
      </c>
      <c r="C212" s="86">
        <f t="shared" si="26"/>
        <v>0.27800000000000002</v>
      </c>
      <c r="D212" s="86">
        <f t="shared" si="26"/>
        <v>0.29649999999999999</v>
      </c>
      <c r="E212" s="86">
        <f t="shared" si="26"/>
        <v>6.1499999999999999E-2</v>
      </c>
      <c r="F212" s="86">
        <f t="shared" si="26"/>
        <v>2.5999999999999999E-2</v>
      </c>
      <c r="G212" s="87">
        <v>0.27500000000000002</v>
      </c>
      <c r="H212" s="87">
        <v>0.29299999999999998</v>
      </c>
      <c r="I212" s="87">
        <v>6.2E-2</v>
      </c>
      <c r="J212" s="87">
        <v>2.5999999999999999E-2</v>
      </c>
      <c r="K212" s="76">
        <f>4002/3*3+2992/3*3+2578/3*6</f>
        <v>12150</v>
      </c>
      <c r="L212" s="94"/>
      <c r="M212" s="353">
        <f t="shared" si="21"/>
        <v>0.6</v>
      </c>
      <c r="N212" s="353">
        <v>0.26</v>
      </c>
      <c r="O212" s="353">
        <f t="shared" si="22"/>
        <v>0.61</v>
      </c>
      <c r="P212" s="353">
        <v>0.34620000000000001</v>
      </c>
      <c r="Q212" s="353">
        <v>0.69640000000000002</v>
      </c>
      <c r="R212" s="353">
        <v>0.6</v>
      </c>
      <c r="S212" s="353">
        <v>0.61</v>
      </c>
    </row>
    <row r="213" spans="1:19" s="78" customFormat="1">
      <c r="A213" s="77">
        <f t="shared" si="24"/>
        <v>43921</v>
      </c>
      <c r="B213" s="77">
        <f t="shared" si="23"/>
        <v>44285</v>
      </c>
      <c r="C213" s="86">
        <f t="shared" si="26"/>
        <v>0.27850000000000003</v>
      </c>
      <c r="D213" s="86">
        <f t="shared" si="26"/>
        <v>0.29709999999999998</v>
      </c>
      <c r="E213" s="86">
        <f t="shared" si="26"/>
        <v>6.1400000000000003E-2</v>
      </c>
      <c r="F213" s="86">
        <f t="shared" si="26"/>
        <v>2.5999999999999999E-2</v>
      </c>
      <c r="G213" s="87">
        <v>0.27500000000000002</v>
      </c>
      <c r="H213" s="87">
        <v>0.29299999999999998</v>
      </c>
      <c r="I213" s="87">
        <v>6.2E-2</v>
      </c>
      <c r="J213" s="87">
        <v>2.5999999999999999E-2</v>
      </c>
      <c r="K213" s="76">
        <f>4002/3*2+2992/3*3+2578/3*7</f>
        <v>11675</v>
      </c>
      <c r="L213" s="94"/>
      <c r="M213" s="353">
        <f t="shared" si="21"/>
        <v>0.6</v>
      </c>
      <c r="N213" s="353">
        <v>0.26</v>
      </c>
      <c r="O213" s="353">
        <f t="shared" si="22"/>
        <v>0.61</v>
      </c>
      <c r="P213" s="353">
        <v>0.34620000000000001</v>
      </c>
      <c r="Q213" s="353">
        <v>0.69640000000000002</v>
      </c>
      <c r="R213" s="353">
        <v>0.6</v>
      </c>
      <c r="S213" s="353">
        <v>0.61</v>
      </c>
    </row>
    <row r="214" spans="1:19" s="78" customFormat="1">
      <c r="A214" s="77">
        <f t="shared" si="24"/>
        <v>43951</v>
      </c>
      <c r="B214" s="77">
        <f t="shared" si="23"/>
        <v>44315</v>
      </c>
      <c r="C214" s="86">
        <f t="shared" si="26"/>
        <v>0.27900000000000003</v>
      </c>
      <c r="D214" s="86">
        <f t="shared" si="26"/>
        <v>0.29770000000000002</v>
      </c>
      <c r="E214" s="86">
        <f t="shared" si="26"/>
        <v>6.13E-2</v>
      </c>
      <c r="F214" s="86">
        <f t="shared" si="26"/>
        <v>2.5999999999999999E-2</v>
      </c>
      <c r="G214" s="87">
        <v>0.27500000000000002</v>
      </c>
      <c r="H214" s="87">
        <v>0.29299999999999998</v>
      </c>
      <c r="I214" s="87">
        <v>6.2E-2</v>
      </c>
      <c r="J214" s="87">
        <v>2.5999999999999999E-2</v>
      </c>
      <c r="K214" s="76">
        <f>4002/3*1+2992/3*3+2578/3*8</f>
        <v>11201</v>
      </c>
      <c r="L214" s="94"/>
      <c r="M214" s="353">
        <f t="shared" si="21"/>
        <v>0.6</v>
      </c>
      <c r="N214" s="353">
        <v>0.26</v>
      </c>
      <c r="O214" s="353">
        <f t="shared" si="22"/>
        <v>0.61</v>
      </c>
      <c r="P214" s="353">
        <v>0.34620000000000001</v>
      </c>
      <c r="Q214" s="353">
        <v>0.69640000000000002</v>
      </c>
      <c r="R214" s="353">
        <v>0.6</v>
      </c>
      <c r="S214" s="353">
        <v>0.61</v>
      </c>
    </row>
    <row r="215" spans="1:19" s="78" customFormat="1">
      <c r="A215" s="77">
        <f t="shared" si="24"/>
        <v>43982</v>
      </c>
      <c r="B215" s="77">
        <f t="shared" si="23"/>
        <v>44346</v>
      </c>
      <c r="C215" s="86">
        <f t="shared" si="26"/>
        <v>0.27950000000000003</v>
      </c>
      <c r="D215" s="86">
        <f t="shared" si="26"/>
        <v>0.29830000000000001</v>
      </c>
      <c r="E215" s="86">
        <f t="shared" si="26"/>
        <v>6.13E-2</v>
      </c>
      <c r="F215" s="86">
        <f t="shared" si="26"/>
        <v>2.5999999999999999E-2</v>
      </c>
      <c r="G215" s="87">
        <v>0.27500000000000002</v>
      </c>
      <c r="H215" s="87">
        <v>0.29299999999999998</v>
      </c>
      <c r="I215" s="87">
        <v>6.2E-2</v>
      </c>
      <c r="J215" s="87">
        <v>2.5999999999999999E-2</v>
      </c>
      <c r="K215" s="76">
        <f>4002/3*0+2992/3*3+2578/3*9</f>
        <v>10726</v>
      </c>
      <c r="L215" s="94"/>
      <c r="M215" s="353">
        <f t="shared" si="21"/>
        <v>0.6</v>
      </c>
      <c r="N215" s="353">
        <v>0.26</v>
      </c>
      <c r="O215" s="353">
        <f t="shared" si="22"/>
        <v>0.61</v>
      </c>
      <c r="P215" s="353">
        <v>0.34620000000000001</v>
      </c>
      <c r="Q215" s="353">
        <v>0.69640000000000002</v>
      </c>
      <c r="R215" s="353">
        <v>0.6</v>
      </c>
      <c r="S215" s="353">
        <v>0.61</v>
      </c>
    </row>
    <row r="216" spans="1:19" s="78" customFormat="1">
      <c r="A216" s="77">
        <f t="shared" si="24"/>
        <v>44012</v>
      </c>
      <c r="B216" s="77">
        <f t="shared" si="23"/>
        <v>44376</v>
      </c>
      <c r="C216" s="86">
        <f t="shared" si="26"/>
        <v>0.28000000000000003</v>
      </c>
      <c r="D216" s="86">
        <f t="shared" si="26"/>
        <v>0.29880000000000001</v>
      </c>
      <c r="E216" s="86">
        <f t="shared" si="26"/>
        <v>6.1199999999999997E-2</v>
      </c>
      <c r="F216" s="86">
        <f t="shared" si="26"/>
        <v>2.5999999999999999E-2</v>
      </c>
      <c r="G216" s="87">
        <v>0.27500000000000002</v>
      </c>
      <c r="H216" s="87">
        <v>0.29299999999999998</v>
      </c>
      <c r="I216" s="87">
        <v>6.2E-2</v>
      </c>
      <c r="J216" s="87">
        <v>2.5999999999999999E-2</v>
      </c>
      <c r="K216" s="76">
        <f>4002/3*0+2992/3*2+2578/3*10</f>
        <v>10588</v>
      </c>
      <c r="L216" s="94"/>
      <c r="M216" s="353">
        <f t="shared" si="21"/>
        <v>0.6</v>
      </c>
      <c r="N216" s="353">
        <v>0.26</v>
      </c>
      <c r="O216" s="353">
        <f t="shared" si="22"/>
        <v>0.61</v>
      </c>
      <c r="P216" s="353">
        <v>0.34620000000000001</v>
      </c>
      <c r="Q216" s="353">
        <v>0.69640000000000002</v>
      </c>
      <c r="R216" s="353">
        <v>0.6</v>
      </c>
      <c r="S216" s="353">
        <v>0.61</v>
      </c>
    </row>
    <row r="217" spans="1:19" s="78" customFormat="1">
      <c r="A217" s="77">
        <f t="shared" si="24"/>
        <v>44043</v>
      </c>
      <c r="B217" s="77">
        <f t="shared" si="23"/>
        <v>44407</v>
      </c>
      <c r="C217" s="86">
        <f t="shared" si="26"/>
        <v>0.28050000000000003</v>
      </c>
      <c r="D217" s="86">
        <f t="shared" si="26"/>
        <v>0.2994</v>
      </c>
      <c r="E217" s="86">
        <f t="shared" si="26"/>
        <v>6.1100000000000002E-2</v>
      </c>
      <c r="F217" s="86">
        <f t="shared" si="26"/>
        <v>2.5999999999999999E-2</v>
      </c>
      <c r="G217" s="87">
        <v>0.27500000000000002</v>
      </c>
      <c r="H217" s="87">
        <v>0.29299999999999998</v>
      </c>
      <c r="I217" s="87">
        <v>6.2E-2</v>
      </c>
      <c r="J217" s="87">
        <v>2.5999999999999999E-2</v>
      </c>
      <c r="K217" s="76">
        <f>4002/3*0+2992/3*1+2578/3*11</f>
        <v>10450</v>
      </c>
      <c r="L217" s="94"/>
      <c r="M217" s="353">
        <f t="shared" si="21"/>
        <v>0.6</v>
      </c>
      <c r="N217" s="353">
        <v>0.26</v>
      </c>
      <c r="O217" s="353">
        <f t="shared" si="22"/>
        <v>0.61</v>
      </c>
      <c r="P217" s="353">
        <v>0.34620000000000001</v>
      </c>
      <c r="Q217" s="353">
        <v>0.69640000000000002</v>
      </c>
      <c r="R217" s="353">
        <v>0.6</v>
      </c>
      <c r="S217" s="353">
        <v>0.61</v>
      </c>
    </row>
    <row r="218" spans="1:19">
      <c r="A218" s="19">
        <f t="shared" si="24"/>
        <v>44074</v>
      </c>
      <c r="B218" s="19">
        <f t="shared" si="23"/>
        <v>44438</v>
      </c>
      <c r="C218" s="84">
        <f t="shared" si="26"/>
        <v>0.28100000000000003</v>
      </c>
      <c r="D218" s="84">
        <f t="shared" si="26"/>
        <v>0.3</v>
      </c>
      <c r="E218" s="84">
        <f t="shared" si="26"/>
        <v>6.0999999999999999E-2</v>
      </c>
      <c r="F218" s="84">
        <f t="shared" si="26"/>
        <v>2.5999999999999999E-2</v>
      </c>
      <c r="G218" s="85">
        <v>0.28100000000000003</v>
      </c>
      <c r="H218" s="85">
        <v>0.3</v>
      </c>
      <c r="I218" s="85">
        <v>6.0999999999999999E-2</v>
      </c>
      <c r="J218" s="85">
        <v>2.5999999999999999E-2</v>
      </c>
      <c r="K218" s="25">
        <f>(L218*4)</f>
        <v>10312</v>
      </c>
      <c r="L218" s="93">
        <v>2578</v>
      </c>
      <c r="M218" s="80">
        <f t="shared" si="21"/>
        <v>0.6</v>
      </c>
      <c r="N218" s="80">
        <v>0.26</v>
      </c>
      <c r="O218" s="80">
        <f t="shared" si="22"/>
        <v>0.61</v>
      </c>
      <c r="P218" s="80">
        <v>0.34620000000000001</v>
      </c>
      <c r="Q218" s="80">
        <v>0.69640000000000002</v>
      </c>
      <c r="R218" s="80">
        <v>0.6</v>
      </c>
      <c r="S218" s="80">
        <v>0.61</v>
      </c>
    </row>
    <row r="219" spans="1:19">
      <c r="A219" s="19">
        <f t="shared" si="24"/>
        <v>44104</v>
      </c>
      <c r="B219" s="19">
        <f t="shared" si="23"/>
        <v>44468</v>
      </c>
      <c r="C219" s="84">
        <f t="shared" si="26"/>
        <v>0.28100000000000003</v>
      </c>
      <c r="D219" s="84">
        <f t="shared" si="26"/>
        <v>0.30220000000000002</v>
      </c>
      <c r="E219" s="84">
        <f t="shared" si="26"/>
        <v>6.0999999999999999E-2</v>
      </c>
      <c r="F219" s="84">
        <f t="shared" si="26"/>
        <v>2.5999999999999999E-2</v>
      </c>
      <c r="G219" s="85">
        <v>0.28100000000000003</v>
      </c>
      <c r="H219" s="85">
        <v>0.3</v>
      </c>
      <c r="I219" s="85">
        <v>6.0999999999999999E-2</v>
      </c>
      <c r="J219" s="85">
        <v>2.5999999999999999E-2</v>
      </c>
      <c r="K219" s="25">
        <f>((11/3)*L218)+((1/3)*L230)</f>
        <v>10287</v>
      </c>
      <c r="L219" s="93"/>
      <c r="M219" s="80">
        <f t="shared" si="21"/>
        <v>0.6</v>
      </c>
      <c r="N219" s="80">
        <v>0.26</v>
      </c>
      <c r="O219" s="80">
        <f t="shared" si="22"/>
        <v>0.61</v>
      </c>
      <c r="P219" s="80">
        <v>0.34620000000000001</v>
      </c>
      <c r="Q219" s="80">
        <v>0.69640000000000002</v>
      </c>
      <c r="R219" s="80">
        <v>0.6</v>
      </c>
      <c r="S219" s="80">
        <v>0.61</v>
      </c>
    </row>
    <row r="220" spans="1:19">
      <c r="A220" s="19">
        <f t="shared" si="24"/>
        <v>44135</v>
      </c>
      <c r="B220" s="19">
        <f t="shared" si="23"/>
        <v>44499</v>
      </c>
      <c r="C220" s="84">
        <f t="shared" si="26"/>
        <v>0.28100000000000003</v>
      </c>
      <c r="D220" s="84">
        <f t="shared" si="26"/>
        <v>0.30430000000000001</v>
      </c>
      <c r="E220" s="84">
        <f t="shared" si="26"/>
        <v>6.0999999999999999E-2</v>
      </c>
      <c r="F220" s="84">
        <f t="shared" si="26"/>
        <v>2.5999999999999999E-2</v>
      </c>
      <c r="G220" s="85">
        <v>0.28100000000000003</v>
      </c>
      <c r="H220" s="85">
        <v>0.3</v>
      </c>
      <c r="I220" s="85">
        <v>6.0999999999999999E-2</v>
      </c>
      <c r="J220" s="85">
        <v>2.5999999999999999E-2</v>
      </c>
      <c r="K220" s="25">
        <f>((10/3)*L218)+((2/3)*L230)</f>
        <v>10263</v>
      </c>
      <c r="L220" s="93"/>
      <c r="M220" s="80">
        <f t="shared" si="21"/>
        <v>0.6</v>
      </c>
      <c r="N220" s="80">
        <v>0.26</v>
      </c>
      <c r="O220" s="80">
        <f t="shared" si="22"/>
        <v>0.61</v>
      </c>
      <c r="P220" s="80">
        <v>0.34620000000000001</v>
      </c>
      <c r="Q220" s="80">
        <v>0.69640000000000002</v>
      </c>
      <c r="R220" s="80">
        <v>0.6</v>
      </c>
      <c r="S220" s="80">
        <v>0.61</v>
      </c>
    </row>
    <row r="221" spans="1:19">
      <c r="A221" s="19">
        <f t="shared" si="24"/>
        <v>44165</v>
      </c>
      <c r="B221" s="19">
        <f t="shared" si="23"/>
        <v>44529</v>
      </c>
      <c r="C221" s="84">
        <f t="shared" si="26"/>
        <v>0.28100000000000003</v>
      </c>
      <c r="D221" s="84">
        <f t="shared" si="26"/>
        <v>0.30649999999999999</v>
      </c>
      <c r="E221" s="84">
        <f t="shared" si="26"/>
        <v>6.0999999999999999E-2</v>
      </c>
      <c r="F221" s="84">
        <f t="shared" si="26"/>
        <v>2.5999999999999999E-2</v>
      </c>
      <c r="G221" s="85">
        <v>0.28100000000000003</v>
      </c>
      <c r="H221" s="85">
        <v>0.3</v>
      </c>
      <c r="I221" s="85">
        <v>6.0999999999999999E-2</v>
      </c>
      <c r="J221" s="85">
        <v>2.5999999999999999E-2</v>
      </c>
      <c r="K221" s="25">
        <f>((9/3)*L218)+((3/3)*L230)</f>
        <v>10238</v>
      </c>
      <c r="L221" s="93"/>
      <c r="M221" s="80">
        <f t="shared" si="21"/>
        <v>0.6</v>
      </c>
      <c r="N221" s="80">
        <v>0.26</v>
      </c>
      <c r="O221" s="80">
        <f t="shared" si="22"/>
        <v>0.61</v>
      </c>
      <c r="P221" s="80">
        <v>0.34620000000000001</v>
      </c>
      <c r="Q221" s="80">
        <v>0.69640000000000002</v>
      </c>
      <c r="R221" s="80">
        <v>0.6</v>
      </c>
      <c r="S221" s="80">
        <v>0.61</v>
      </c>
    </row>
    <row r="222" spans="1:19">
      <c r="A222" s="19">
        <f t="shared" si="24"/>
        <v>44196</v>
      </c>
      <c r="B222" s="19">
        <f t="shared" si="23"/>
        <v>44560</v>
      </c>
      <c r="C222" s="84">
        <f t="shared" si="26"/>
        <v>0.28100000000000003</v>
      </c>
      <c r="D222" s="84">
        <f t="shared" si="26"/>
        <v>0.30869999999999997</v>
      </c>
      <c r="E222" s="84">
        <f t="shared" si="26"/>
        <v>6.0999999999999999E-2</v>
      </c>
      <c r="F222" s="84">
        <f t="shared" si="26"/>
        <v>2.5999999999999999E-2</v>
      </c>
      <c r="G222" s="85">
        <v>0.28100000000000003</v>
      </c>
      <c r="H222" s="85">
        <v>0.3</v>
      </c>
      <c r="I222" s="85">
        <v>6.0999999999999999E-2</v>
      </c>
      <c r="J222" s="85">
        <v>2.5999999999999999E-2</v>
      </c>
      <c r="K222" s="25">
        <f>((8/3)*L218)+((4/3)*L230)</f>
        <v>10213</v>
      </c>
      <c r="L222" s="93"/>
      <c r="M222" s="80">
        <f t="shared" si="21"/>
        <v>0.6</v>
      </c>
      <c r="N222" s="80">
        <v>0.26</v>
      </c>
      <c r="O222" s="80">
        <f t="shared" si="22"/>
        <v>0.61</v>
      </c>
      <c r="P222" s="80">
        <v>0.34620000000000001</v>
      </c>
      <c r="Q222" s="80">
        <v>0.69640000000000002</v>
      </c>
      <c r="R222" s="80">
        <v>0.6</v>
      </c>
      <c r="S222" s="80">
        <v>0.61</v>
      </c>
    </row>
    <row r="223" spans="1:19">
      <c r="A223" s="19">
        <f t="shared" si="24"/>
        <v>44227</v>
      </c>
      <c r="B223" s="19">
        <f t="shared" si="23"/>
        <v>44591</v>
      </c>
      <c r="C223" s="84">
        <f t="shared" si="26"/>
        <v>0.28100000000000003</v>
      </c>
      <c r="D223" s="84">
        <f t="shared" si="26"/>
        <v>0.31080000000000002</v>
      </c>
      <c r="E223" s="84">
        <f t="shared" si="26"/>
        <v>6.0999999999999999E-2</v>
      </c>
      <c r="F223" s="84">
        <f t="shared" si="26"/>
        <v>2.5999999999999999E-2</v>
      </c>
      <c r="G223" s="85">
        <v>0.28100000000000003</v>
      </c>
      <c r="H223" s="85">
        <v>0.3</v>
      </c>
      <c r="I223" s="85">
        <v>6.0999999999999999E-2</v>
      </c>
      <c r="J223" s="85">
        <v>2.5999999999999999E-2</v>
      </c>
      <c r="K223" s="25">
        <f>((7/3)*L218)+((5/3)*L230)</f>
        <v>10189</v>
      </c>
      <c r="L223" s="93"/>
      <c r="M223" s="80">
        <f t="shared" si="21"/>
        <v>0.6</v>
      </c>
      <c r="N223" s="80">
        <v>0.26</v>
      </c>
      <c r="O223" s="80">
        <f t="shared" si="22"/>
        <v>0.61</v>
      </c>
      <c r="P223" s="80">
        <v>0.34620000000000001</v>
      </c>
      <c r="Q223" s="80">
        <v>0.69640000000000002</v>
      </c>
      <c r="R223" s="80">
        <v>0.6</v>
      </c>
      <c r="S223" s="80">
        <v>0.61</v>
      </c>
    </row>
    <row r="224" spans="1:19">
      <c r="A224" s="19">
        <f t="shared" si="24"/>
        <v>44255</v>
      </c>
      <c r="B224" s="19">
        <f t="shared" si="23"/>
        <v>44619</v>
      </c>
      <c r="C224" s="84">
        <f t="shared" si="26"/>
        <v>0.28100000000000003</v>
      </c>
      <c r="D224" s="84">
        <f t="shared" si="26"/>
        <v>0.313</v>
      </c>
      <c r="E224" s="84">
        <f t="shared" si="26"/>
        <v>6.0999999999999999E-2</v>
      </c>
      <c r="F224" s="84">
        <f t="shared" si="26"/>
        <v>2.5999999999999999E-2</v>
      </c>
      <c r="G224" s="85">
        <v>0.28100000000000003</v>
      </c>
      <c r="H224" s="85">
        <v>0.3</v>
      </c>
      <c r="I224" s="85">
        <v>6.0999999999999999E-2</v>
      </c>
      <c r="J224" s="85">
        <v>2.5999999999999999E-2</v>
      </c>
      <c r="K224" s="25">
        <f>((6/3)*L218)+((6/3)*L230)</f>
        <v>10164</v>
      </c>
      <c r="L224" s="93"/>
      <c r="M224" s="80">
        <f t="shared" si="21"/>
        <v>0.6</v>
      </c>
      <c r="N224" s="80">
        <v>0.26</v>
      </c>
      <c r="O224" s="80">
        <f t="shared" si="22"/>
        <v>0.61</v>
      </c>
      <c r="P224" s="80">
        <v>0.34620000000000001</v>
      </c>
      <c r="Q224" s="80">
        <v>0.69640000000000002</v>
      </c>
      <c r="R224" s="80">
        <v>0.6</v>
      </c>
      <c r="S224" s="80">
        <v>0.61</v>
      </c>
    </row>
    <row r="225" spans="1:19">
      <c r="A225" s="19">
        <f t="shared" si="24"/>
        <v>44286</v>
      </c>
      <c r="B225" s="19">
        <f t="shared" si="23"/>
        <v>44650</v>
      </c>
      <c r="C225" s="84">
        <f t="shared" si="26"/>
        <v>0.28100000000000003</v>
      </c>
      <c r="D225" s="84">
        <f t="shared" si="26"/>
        <v>0.31519999999999998</v>
      </c>
      <c r="E225" s="84">
        <f t="shared" si="26"/>
        <v>6.0999999999999999E-2</v>
      </c>
      <c r="F225" s="84">
        <f t="shared" si="26"/>
        <v>2.5999999999999999E-2</v>
      </c>
      <c r="G225" s="85">
        <v>0.28100000000000003</v>
      </c>
      <c r="H225" s="85">
        <v>0.3</v>
      </c>
      <c r="I225" s="85">
        <v>6.0999999999999999E-2</v>
      </c>
      <c r="J225" s="85">
        <v>2.5999999999999999E-2</v>
      </c>
      <c r="K225" s="25">
        <f>((5/3)*L218)+((7/3)*L230)</f>
        <v>10139</v>
      </c>
      <c r="L225" s="93"/>
      <c r="M225" s="80">
        <f t="shared" si="21"/>
        <v>0.6</v>
      </c>
      <c r="N225" s="80">
        <v>0.26</v>
      </c>
      <c r="O225" s="80">
        <f t="shared" si="22"/>
        <v>0.61</v>
      </c>
      <c r="P225" s="80">
        <v>0.34620000000000001</v>
      </c>
      <c r="Q225" s="80">
        <v>0.69640000000000002</v>
      </c>
      <c r="R225" s="80">
        <v>0.6</v>
      </c>
      <c r="S225" s="80">
        <v>0.61</v>
      </c>
    </row>
    <row r="226" spans="1:19">
      <c r="A226" s="19">
        <f t="shared" si="24"/>
        <v>44316</v>
      </c>
      <c r="B226" s="19">
        <f t="shared" si="23"/>
        <v>44680</v>
      </c>
      <c r="C226" s="84">
        <f t="shared" si="26"/>
        <v>0.28100000000000003</v>
      </c>
      <c r="D226" s="84">
        <f t="shared" si="26"/>
        <v>0.31730000000000003</v>
      </c>
      <c r="E226" s="84">
        <f t="shared" si="26"/>
        <v>6.0999999999999999E-2</v>
      </c>
      <c r="F226" s="84">
        <f t="shared" si="26"/>
        <v>2.5999999999999999E-2</v>
      </c>
      <c r="G226" s="85">
        <v>0.28100000000000003</v>
      </c>
      <c r="H226" s="85">
        <v>0.3</v>
      </c>
      <c r="I226" s="85">
        <v>6.0999999999999999E-2</v>
      </c>
      <c r="J226" s="85">
        <v>2.5999999999999999E-2</v>
      </c>
      <c r="K226" s="25">
        <f>((4/3)*L218)+((8/3)*L230)</f>
        <v>10115</v>
      </c>
      <c r="L226" s="93"/>
      <c r="M226" s="80">
        <f t="shared" si="21"/>
        <v>0.6</v>
      </c>
      <c r="N226" s="80">
        <v>0.26</v>
      </c>
      <c r="O226" s="80">
        <f t="shared" si="22"/>
        <v>0.61</v>
      </c>
      <c r="P226" s="80">
        <v>0.34620000000000001</v>
      </c>
      <c r="Q226" s="80">
        <v>0.69640000000000002</v>
      </c>
      <c r="R226" s="80">
        <v>0.6</v>
      </c>
      <c r="S226" s="80">
        <v>0.61</v>
      </c>
    </row>
    <row r="227" spans="1:19">
      <c r="A227" s="19">
        <f t="shared" si="24"/>
        <v>44347</v>
      </c>
      <c r="B227" s="19">
        <f t="shared" si="23"/>
        <v>44711</v>
      </c>
      <c r="C227" s="84">
        <f t="shared" ref="C227:F242" si="27">AVERAGE(G227:G238)</f>
        <v>0.28100000000000003</v>
      </c>
      <c r="D227" s="84">
        <f t="shared" si="27"/>
        <v>0.31950000000000001</v>
      </c>
      <c r="E227" s="84">
        <f t="shared" si="27"/>
        <v>6.0999999999999999E-2</v>
      </c>
      <c r="F227" s="84">
        <f t="shared" si="27"/>
        <v>2.5999999999999999E-2</v>
      </c>
      <c r="G227" s="85">
        <v>0.28100000000000003</v>
      </c>
      <c r="H227" s="85">
        <v>0.3</v>
      </c>
      <c r="I227" s="85">
        <v>6.0999999999999999E-2</v>
      </c>
      <c r="J227" s="85">
        <v>2.5999999999999999E-2</v>
      </c>
      <c r="K227" s="25">
        <f>((3/3)*L218)+((9/3)*L230)</f>
        <v>10090</v>
      </c>
      <c r="L227" s="93"/>
      <c r="M227" s="80">
        <f t="shared" si="21"/>
        <v>0.6</v>
      </c>
      <c r="N227" s="80">
        <v>0.26</v>
      </c>
      <c r="O227" s="80">
        <f t="shared" si="22"/>
        <v>0.61</v>
      </c>
      <c r="P227" s="80">
        <v>0.34620000000000001</v>
      </c>
      <c r="Q227" s="80">
        <v>0.69640000000000002</v>
      </c>
      <c r="R227" s="80">
        <v>0.6</v>
      </c>
      <c r="S227" s="80">
        <v>0.61</v>
      </c>
    </row>
    <row r="228" spans="1:19">
      <c r="A228" s="19">
        <f t="shared" si="24"/>
        <v>44377</v>
      </c>
      <c r="B228" s="19">
        <f t="shared" si="23"/>
        <v>44741</v>
      </c>
      <c r="C228" s="84">
        <f t="shared" si="27"/>
        <v>0.28100000000000003</v>
      </c>
      <c r="D228" s="84">
        <f t="shared" si="27"/>
        <v>0.32169999999999999</v>
      </c>
      <c r="E228" s="84">
        <f t="shared" si="27"/>
        <v>6.0999999999999999E-2</v>
      </c>
      <c r="F228" s="84">
        <f t="shared" si="27"/>
        <v>2.5999999999999999E-2</v>
      </c>
      <c r="G228" s="85">
        <v>0.28100000000000003</v>
      </c>
      <c r="H228" s="85">
        <v>0.3</v>
      </c>
      <c r="I228" s="85">
        <v>6.0999999999999999E-2</v>
      </c>
      <c r="J228" s="85">
        <v>2.5999999999999999E-2</v>
      </c>
      <c r="K228" s="25">
        <f>((2/3)*L218)+((10/3)*L230)</f>
        <v>10065</v>
      </c>
      <c r="L228" s="93"/>
      <c r="M228" s="80">
        <f t="shared" si="21"/>
        <v>0.6</v>
      </c>
      <c r="N228" s="80">
        <v>0.26</v>
      </c>
      <c r="O228" s="80">
        <f t="shared" si="22"/>
        <v>0.61</v>
      </c>
      <c r="P228" s="80">
        <v>0.34620000000000001</v>
      </c>
      <c r="Q228" s="80">
        <v>0.69640000000000002</v>
      </c>
      <c r="R228" s="80">
        <v>0.6</v>
      </c>
      <c r="S228" s="80">
        <v>0.61</v>
      </c>
    </row>
    <row r="229" spans="1:19">
      <c r="A229" s="19">
        <f t="shared" si="24"/>
        <v>44408</v>
      </c>
      <c r="B229" s="19">
        <f t="shared" si="23"/>
        <v>44772</v>
      </c>
      <c r="C229" s="81">
        <f t="shared" si="27"/>
        <v>0.28100000000000003</v>
      </c>
      <c r="D229" s="81">
        <f t="shared" si="27"/>
        <v>0.32379999999999998</v>
      </c>
      <c r="E229" s="81">
        <f t="shared" si="27"/>
        <v>6.0999999999999999E-2</v>
      </c>
      <c r="F229" s="81">
        <f t="shared" si="27"/>
        <v>2.5999999999999999E-2</v>
      </c>
      <c r="G229" s="85">
        <v>0.28100000000000003</v>
      </c>
      <c r="H229" s="85">
        <v>0.3</v>
      </c>
      <c r="I229" s="85">
        <v>6.0999999999999999E-2</v>
      </c>
      <c r="J229" s="85">
        <v>2.5999999999999999E-2</v>
      </c>
      <c r="K229" s="25">
        <f>((1/3)*L218)+((11/3)*L230)</f>
        <v>10041</v>
      </c>
      <c r="L229" s="93"/>
      <c r="M229" s="80">
        <f t="shared" si="21"/>
        <v>0.6</v>
      </c>
      <c r="N229" s="80">
        <v>0.26</v>
      </c>
      <c r="O229" s="80">
        <f t="shared" si="22"/>
        <v>0.61</v>
      </c>
      <c r="P229" s="80">
        <v>0.34620000000000001</v>
      </c>
      <c r="Q229" s="80">
        <v>0.69640000000000002</v>
      </c>
      <c r="R229" s="80">
        <v>0.6</v>
      </c>
      <c r="S229" s="80">
        <v>0.61</v>
      </c>
    </row>
    <row r="230" spans="1:19" s="78" customFormat="1">
      <c r="A230" s="77">
        <f t="shared" si="24"/>
        <v>44439</v>
      </c>
      <c r="B230" s="77">
        <f t="shared" si="23"/>
        <v>44803</v>
      </c>
      <c r="C230" s="86">
        <f t="shared" si="27"/>
        <v>0.28100000000000003</v>
      </c>
      <c r="D230" s="86">
        <f t="shared" si="27"/>
        <v>0.32600000000000001</v>
      </c>
      <c r="E230" s="86">
        <f t="shared" si="27"/>
        <v>6.0999999999999999E-2</v>
      </c>
      <c r="F230" s="86">
        <f t="shared" si="27"/>
        <v>2.5999999999999999E-2</v>
      </c>
      <c r="G230" s="87">
        <v>0.28100000000000003</v>
      </c>
      <c r="H230" s="87">
        <v>0.32600000000000001</v>
      </c>
      <c r="I230" s="87">
        <v>6.0999999999999999E-2</v>
      </c>
      <c r="J230" s="87">
        <v>2.5999999999999999E-2</v>
      </c>
      <c r="K230" s="76">
        <f>(L230*4)</f>
        <v>10016</v>
      </c>
      <c r="L230" s="94">
        <v>2504</v>
      </c>
      <c r="M230" s="353">
        <f t="shared" si="21"/>
        <v>0.6</v>
      </c>
      <c r="N230" s="353">
        <v>0.26</v>
      </c>
      <c r="O230" s="353">
        <f t="shared" si="22"/>
        <v>0.61</v>
      </c>
      <c r="P230" s="353">
        <v>0.34620000000000001</v>
      </c>
      <c r="Q230" s="353">
        <v>0.69640000000000002</v>
      </c>
      <c r="R230" s="353">
        <v>0.6</v>
      </c>
      <c r="S230" s="353">
        <v>0.61</v>
      </c>
    </row>
    <row r="231" spans="1:19" s="78" customFormat="1">
      <c r="A231" s="77">
        <f t="shared" si="24"/>
        <v>44469</v>
      </c>
      <c r="B231" s="77">
        <f t="shared" si="23"/>
        <v>44833</v>
      </c>
      <c r="C231" s="86">
        <f t="shared" si="27"/>
        <v>0.28100000000000003</v>
      </c>
      <c r="D231" s="86">
        <f t="shared" si="27"/>
        <v>0.32600000000000001</v>
      </c>
      <c r="E231" s="86">
        <f t="shared" si="27"/>
        <v>6.0999999999999999E-2</v>
      </c>
      <c r="F231" s="86">
        <f t="shared" si="27"/>
        <v>2.5999999999999999E-2</v>
      </c>
      <c r="G231" s="87">
        <v>0.28100000000000003</v>
      </c>
      <c r="H231" s="87">
        <v>0.32600000000000001</v>
      </c>
      <c r="I231" s="87">
        <v>6.0999999999999999E-2</v>
      </c>
      <c r="J231" s="87">
        <v>2.5999999999999999E-2</v>
      </c>
      <c r="K231" s="76">
        <f>((11/3)*L230)+((1/3)*L242)</f>
        <v>10016</v>
      </c>
      <c r="L231" s="94"/>
      <c r="M231" s="353">
        <f t="shared" si="21"/>
        <v>0.6</v>
      </c>
      <c r="N231" s="353">
        <v>0.26</v>
      </c>
      <c r="O231" s="353">
        <f t="shared" si="22"/>
        <v>0.61</v>
      </c>
      <c r="P231" s="353">
        <v>0.34620000000000001</v>
      </c>
      <c r="Q231" s="353">
        <v>0.69640000000000002</v>
      </c>
      <c r="R231" s="353">
        <v>0.6</v>
      </c>
      <c r="S231" s="353">
        <v>0.61</v>
      </c>
    </row>
    <row r="232" spans="1:19" s="78" customFormat="1">
      <c r="A232" s="77">
        <f t="shared" si="24"/>
        <v>44500</v>
      </c>
      <c r="B232" s="77">
        <f t="shared" si="23"/>
        <v>44864</v>
      </c>
      <c r="C232" s="86">
        <f t="shared" si="27"/>
        <v>0.28100000000000003</v>
      </c>
      <c r="D232" s="86">
        <f t="shared" si="27"/>
        <v>0.32600000000000001</v>
      </c>
      <c r="E232" s="86">
        <f t="shared" si="27"/>
        <v>6.0999999999999999E-2</v>
      </c>
      <c r="F232" s="86">
        <f t="shared" si="27"/>
        <v>2.5999999999999999E-2</v>
      </c>
      <c r="G232" s="87">
        <v>0.28100000000000003</v>
      </c>
      <c r="H232" s="87">
        <v>0.32600000000000001</v>
      </c>
      <c r="I232" s="87">
        <v>6.0999999999999999E-2</v>
      </c>
      <c r="J232" s="87">
        <v>2.5999999999999999E-2</v>
      </c>
      <c r="K232" s="76">
        <f>((10/3)*L230)+((2/3)*L242)</f>
        <v>10016</v>
      </c>
      <c r="L232" s="94"/>
      <c r="M232" s="353">
        <f t="shared" si="21"/>
        <v>0.6</v>
      </c>
      <c r="N232" s="353">
        <v>0.26</v>
      </c>
      <c r="O232" s="353">
        <f t="shared" si="22"/>
        <v>0.61</v>
      </c>
      <c r="P232" s="353">
        <v>0.34620000000000001</v>
      </c>
      <c r="Q232" s="353">
        <v>0.69640000000000002</v>
      </c>
      <c r="R232" s="353">
        <v>0.6</v>
      </c>
      <c r="S232" s="353">
        <v>0.61</v>
      </c>
    </row>
    <row r="233" spans="1:19" s="78" customFormat="1">
      <c r="A233" s="77">
        <f t="shared" si="24"/>
        <v>44530</v>
      </c>
      <c r="B233" s="77">
        <f t="shared" si="23"/>
        <v>44894</v>
      </c>
      <c r="C233" s="86">
        <f t="shared" si="27"/>
        <v>0.28100000000000003</v>
      </c>
      <c r="D233" s="86">
        <f t="shared" si="27"/>
        <v>0.32600000000000001</v>
      </c>
      <c r="E233" s="86">
        <f t="shared" si="27"/>
        <v>6.0999999999999999E-2</v>
      </c>
      <c r="F233" s="86">
        <f t="shared" si="27"/>
        <v>2.5999999999999999E-2</v>
      </c>
      <c r="G233" s="87">
        <v>0.28100000000000003</v>
      </c>
      <c r="H233" s="87">
        <v>0.32600000000000001</v>
      </c>
      <c r="I233" s="87">
        <v>6.0999999999999999E-2</v>
      </c>
      <c r="J233" s="87">
        <v>2.5999999999999999E-2</v>
      </c>
      <c r="K233" s="76">
        <f>((9/3)*L230)+((3/3)*L242)</f>
        <v>10016</v>
      </c>
      <c r="L233" s="94"/>
      <c r="M233" s="353">
        <f t="shared" si="21"/>
        <v>0.6</v>
      </c>
      <c r="N233" s="353">
        <v>0.26</v>
      </c>
      <c r="O233" s="353">
        <f t="shared" si="22"/>
        <v>0.61</v>
      </c>
      <c r="P233" s="353">
        <v>0.34620000000000001</v>
      </c>
      <c r="Q233" s="353">
        <v>0.69640000000000002</v>
      </c>
      <c r="R233" s="353">
        <v>0.6</v>
      </c>
      <c r="S233" s="353">
        <v>0.61</v>
      </c>
    </row>
    <row r="234" spans="1:19" s="78" customFormat="1">
      <c r="A234" s="77">
        <f t="shared" si="24"/>
        <v>44561</v>
      </c>
      <c r="B234" s="77">
        <f t="shared" si="23"/>
        <v>44925</v>
      </c>
      <c r="C234" s="86">
        <f t="shared" si="27"/>
        <v>0.28100000000000003</v>
      </c>
      <c r="D234" s="86">
        <f t="shared" si="27"/>
        <v>0.32600000000000001</v>
      </c>
      <c r="E234" s="86">
        <f t="shared" si="27"/>
        <v>6.0999999999999999E-2</v>
      </c>
      <c r="F234" s="86">
        <f t="shared" si="27"/>
        <v>2.5999999999999999E-2</v>
      </c>
      <c r="G234" s="87">
        <v>0.28100000000000003</v>
      </c>
      <c r="H234" s="87">
        <v>0.32600000000000001</v>
      </c>
      <c r="I234" s="87">
        <v>6.0999999999999999E-2</v>
      </c>
      <c r="J234" s="87">
        <v>2.5999999999999999E-2</v>
      </c>
      <c r="K234" s="76">
        <f>((8/3)*L230)+((4/3)*L242)</f>
        <v>10016</v>
      </c>
      <c r="L234" s="94"/>
      <c r="M234" s="353">
        <f t="shared" si="21"/>
        <v>0.6</v>
      </c>
      <c r="N234" s="353">
        <v>0.26</v>
      </c>
      <c r="O234" s="353">
        <f t="shared" si="22"/>
        <v>0.61</v>
      </c>
      <c r="P234" s="353">
        <v>0.34620000000000001</v>
      </c>
      <c r="Q234" s="353">
        <v>0.69640000000000002</v>
      </c>
      <c r="R234" s="353">
        <v>0.6</v>
      </c>
      <c r="S234" s="353">
        <v>0.61</v>
      </c>
    </row>
    <row r="235" spans="1:19" s="78" customFormat="1">
      <c r="A235" s="77">
        <f t="shared" si="24"/>
        <v>44592</v>
      </c>
      <c r="B235" s="77">
        <f t="shared" si="23"/>
        <v>44956</v>
      </c>
      <c r="C235" s="86">
        <f t="shared" si="27"/>
        <v>0.28100000000000003</v>
      </c>
      <c r="D235" s="86">
        <f t="shared" si="27"/>
        <v>0.32600000000000001</v>
      </c>
      <c r="E235" s="86">
        <f t="shared" si="27"/>
        <v>6.0999999999999999E-2</v>
      </c>
      <c r="F235" s="86">
        <f t="shared" si="27"/>
        <v>2.5999999999999999E-2</v>
      </c>
      <c r="G235" s="87">
        <v>0.28100000000000003</v>
      </c>
      <c r="H235" s="87">
        <v>0.32600000000000001</v>
      </c>
      <c r="I235" s="87">
        <v>6.0999999999999999E-2</v>
      </c>
      <c r="J235" s="87">
        <v>2.5999999999999999E-2</v>
      </c>
      <c r="K235" s="76">
        <f>((7/3)*L230)+((5/3)*L242)</f>
        <v>10016</v>
      </c>
      <c r="L235" s="94"/>
      <c r="M235" s="353">
        <f t="shared" si="21"/>
        <v>0.6</v>
      </c>
      <c r="N235" s="353">
        <v>0.26</v>
      </c>
      <c r="O235" s="353">
        <f t="shared" si="22"/>
        <v>0.61</v>
      </c>
      <c r="P235" s="353">
        <v>0.34620000000000001</v>
      </c>
      <c r="Q235" s="353">
        <v>0.69640000000000002</v>
      </c>
      <c r="R235" s="353">
        <v>0.6</v>
      </c>
      <c r="S235" s="353">
        <v>0.61</v>
      </c>
    </row>
    <row r="236" spans="1:19" s="78" customFormat="1">
      <c r="A236" s="77">
        <f t="shared" si="24"/>
        <v>44620</v>
      </c>
      <c r="B236" s="77">
        <f t="shared" si="23"/>
        <v>44984</v>
      </c>
      <c r="C236" s="86">
        <f t="shared" si="27"/>
        <v>0.28100000000000003</v>
      </c>
      <c r="D236" s="86">
        <f t="shared" si="27"/>
        <v>0.32600000000000001</v>
      </c>
      <c r="E236" s="86">
        <f t="shared" si="27"/>
        <v>6.0999999999999999E-2</v>
      </c>
      <c r="F236" s="86">
        <f t="shared" si="27"/>
        <v>2.5999999999999999E-2</v>
      </c>
      <c r="G236" s="87">
        <v>0.28100000000000003</v>
      </c>
      <c r="H236" s="87">
        <v>0.32600000000000001</v>
      </c>
      <c r="I236" s="87">
        <v>6.0999999999999999E-2</v>
      </c>
      <c r="J236" s="87">
        <v>2.5999999999999999E-2</v>
      </c>
      <c r="K236" s="76">
        <f>((6/3)*L230)+((6/3)*L242)</f>
        <v>10016</v>
      </c>
      <c r="L236" s="94"/>
      <c r="M236" s="353">
        <f t="shared" si="21"/>
        <v>0.6</v>
      </c>
      <c r="N236" s="353">
        <v>0.26</v>
      </c>
      <c r="O236" s="353">
        <f t="shared" si="22"/>
        <v>0.61</v>
      </c>
      <c r="P236" s="353">
        <v>0.34620000000000001</v>
      </c>
      <c r="Q236" s="353">
        <v>0.69640000000000002</v>
      </c>
      <c r="R236" s="353">
        <v>0.6</v>
      </c>
      <c r="S236" s="353">
        <v>0.61</v>
      </c>
    </row>
    <row r="237" spans="1:19" s="78" customFormat="1">
      <c r="A237" s="77">
        <f t="shared" si="24"/>
        <v>44651</v>
      </c>
      <c r="B237" s="77">
        <f t="shared" si="23"/>
        <v>45015</v>
      </c>
      <c r="C237" s="86">
        <f t="shared" si="27"/>
        <v>0.28100000000000003</v>
      </c>
      <c r="D237" s="86">
        <f t="shared" si="27"/>
        <v>0.32600000000000001</v>
      </c>
      <c r="E237" s="86">
        <f t="shared" si="27"/>
        <v>6.0999999999999999E-2</v>
      </c>
      <c r="F237" s="86">
        <f t="shared" si="27"/>
        <v>2.5999999999999999E-2</v>
      </c>
      <c r="G237" s="87">
        <v>0.28100000000000003</v>
      </c>
      <c r="H237" s="87">
        <v>0.32600000000000001</v>
      </c>
      <c r="I237" s="87">
        <v>6.0999999999999999E-2</v>
      </c>
      <c r="J237" s="87">
        <v>2.5999999999999999E-2</v>
      </c>
      <c r="K237" s="76">
        <f>((5/3)*L230)+((7/3)*L242)</f>
        <v>10016</v>
      </c>
      <c r="L237" s="94"/>
      <c r="M237" s="353">
        <f t="shared" si="21"/>
        <v>0.6</v>
      </c>
      <c r="N237" s="353">
        <v>0.26</v>
      </c>
      <c r="O237" s="353">
        <f t="shared" si="22"/>
        <v>0.61</v>
      </c>
      <c r="P237" s="353">
        <v>0.34620000000000001</v>
      </c>
      <c r="Q237" s="353">
        <v>0.69640000000000002</v>
      </c>
      <c r="R237" s="353">
        <v>0.6</v>
      </c>
      <c r="S237" s="353">
        <v>0.61</v>
      </c>
    </row>
    <row r="238" spans="1:19" s="78" customFormat="1">
      <c r="A238" s="77">
        <f t="shared" si="24"/>
        <v>44681</v>
      </c>
      <c r="B238" s="77">
        <f t="shared" si="23"/>
        <v>45045</v>
      </c>
      <c r="C238" s="86">
        <f t="shared" si="27"/>
        <v>0.28100000000000003</v>
      </c>
      <c r="D238" s="86">
        <f t="shared" si="27"/>
        <v>0.32600000000000001</v>
      </c>
      <c r="E238" s="86">
        <f t="shared" si="27"/>
        <v>6.0999999999999999E-2</v>
      </c>
      <c r="F238" s="86">
        <f t="shared" si="27"/>
        <v>2.5999999999999999E-2</v>
      </c>
      <c r="G238" s="87">
        <v>0.28100000000000003</v>
      </c>
      <c r="H238" s="87">
        <v>0.32600000000000001</v>
      </c>
      <c r="I238" s="87">
        <v>6.0999999999999999E-2</v>
      </c>
      <c r="J238" s="87">
        <v>2.5999999999999999E-2</v>
      </c>
      <c r="K238" s="76">
        <f>((4/3)*L230)+((8/3)*L242)</f>
        <v>10016</v>
      </c>
      <c r="L238" s="94"/>
      <c r="M238" s="353">
        <f t="shared" si="21"/>
        <v>0.6</v>
      </c>
      <c r="N238" s="353">
        <v>0.26</v>
      </c>
      <c r="O238" s="353">
        <f t="shared" si="22"/>
        <v>0.61</v>
      </c>
      <c r="P238" s="353">
        <v>0.34620000000000001</v>
      </c>
      <c r="Q238" s="353">
        <v>0.69640000000000002</v>
      </c>
      <c r="R238" s="353">
        <v>0.6</v>
      </c>
      <c r="S238" s="353">
        <v>0.61</v>
      </c>
    </row>
    <row r="239" spans="1:19" s="78" customFormat="1">
      <c r="A239" s="77">
        <f t="shared" si="24"/>
        <v>44712</v>
      </c>
      <c r="B239" s="77">
        <f t="shared" si="23"/>
        <v>45076</v>
      </c>
      <c r="C239" s="86">
        <f t="shared" si="27"/>
        <v>0.28100000000000003</v>
      </c>
      <c r="D239" s="86">
        <f t="shared" si="27"/>
        <v>0.32600000000000001</v>
      </c>
      <c r="E239" s="86">
        <f t="shared" si="27"/>
        <v>6.0999999999999999E-2</v>
      </c>
      <c r="F239" s="86">
        <f t="shared" si="27"/>
        <v>2.5999999999999999E-2</v>
      </c>
      <c r="G239" s="87">
        <v>0.28100000000000003</v>
      </c>
      <c r="H239" s="87">
        <v>0.32600000000000001</v>
      </c>
      <c r="I239" s="87">
        <v>6.0999999999999999E-2</v>
      </c>
      <c r="J239" s="87">
        <v>2.5999999999999999E-2</v>
      </c>
      <c r="K239" s="76">
        <f>((3/3)*L230)+((9/3)*L242)</f>
        <v>10016</v>
      </c>
      <c r="L239" s="94"/>
      <c r="M239" s="353">
        <f t="shared" ref="M239:M302" si="28">AVERAGE(R239:R250)</f>
        <v>0.6</v>
      </c>
      <c r="N239" s="353">
        <v>0.26</v>
      </c>
      <c r="O239" s="353">
        <f t="shared" ref="O239:O302" si="29">AVERAGE(S239:S250)</f>
        <v>0.61</v>
      </c>
      <c r="P239" s="353">
        <v>0.34620000000000001</v>
      </c>
      <c r="Q239" s="353">
        <v>0.69640000000000002</v>
      </c>
      <c r="R239" s="353">
        <v>0.6</v>
      </c>
      <c r="S239" s="353">
        <v>0.61</v>
      </c>
    </row>
    <row r="240" spans="1:19" s="78" customFormat="1">
      <c r="A240" s="77">
        <f t="shared" si="24"/>
        <v>44742</v>
      </c>
      <c r="B240" s="77">
        <f t="shared" si="23"/>
        <v>45106</v>
      </c>
      <c r="C240" s="86">
        <f t="shared" si="27"/>
        <v>0.28100000000000003</v>
      </c>
      <c r="D240" s="86">
        <f t="shared" si="27"/>
        <v>0.32600000000000001</v>
      </c>
      <c r="E240" s="86">
        <f t="shared" si="27"/>
        <v>6.0999999999999999E-2</v>
      </c>
      <c r="F240" s="86">
        <f t="shared" si="27"/>
        <v>2.5999999999999999E-2</v>
      </c>
      <c r="G240" s="87">
        <v>0.28100000000000003</v>
      </c>
      <c r="H240" s="87">
        <v>0.32600000000000001</v>
      </c>
      <c r="I240" s="87">
        <v>6.0999999999999999E-2</v>
      </c>
      <c r="J240" s="87">
        <v>2.5999999999999999E-2</v>
      </c>
      <c r="K240" s="76">
        <f>((2/3)*L230)+((10/3)*L242)</f>
        <v>10016</v>
      </c>
      <c r="L240" s="94"/>
      <c r="M240" s="353">
        <f t="shared" si="28"/>
        <v>0.6</v>
      </c>
      <c r="N240" s="353">
        <v>0.26</v>
      </c>
      <c r="O240" s="353">
        <f t="shared" si="29"/>
        <v>0.61</v>
      </c>
      <c r="P240" s="353">
        <v>0.34620000000000001</v>
      </c>
      <c r="Q240" s="353">
        <v>0.69640000000000002</v>
      </c>
      <c r="R240" s="353">
        <v>0.6</v>
      </c>
      <c r="S240" s="353">
        <v>0.61</v>
      </c>
    </row>
    <row r="241" spans="1:19" s="78" customFormat="1">
      <c r="A241" s="77">
        <f t="shared" si="24"/>
        <v>44773</v>
      </c>
      <c r="B241" s="77">
        <f t="shared" si="23"/>
        <v>45137</v>
      </c>
      <c r="C241" s="86">
        <f t="shared" si="27"/>
        <v>0.28100000000000003</v>
      </c>
      <c r="D241" s="86">
        <f t="shared" si="27"/>
        <v>0.32600000000000001</v>
      </c>
      <c r="E241" s="86">
        <f t="shared" si="27"/>
        <v>6.0999999999999999E-2</v>
      </c>
      <c r="F241" s="86">
        <f t="shared" si="27"/>
        <v>2.5999999999999999E-2</v>
      </c>
      <c r="G241" s="87">
        <v>0.28100000000000003</v>
      </c>
      <c r="H241" s="87">
        <v>0.32600000000000001</v>
      </c>
      <c r="I241" s="87">
        <v>6.0999999999999999E-2</v>
      </c>
      <c r="J241" s="87">
        <v>2.5999999999999999E-2</v>
      </c>
      <c r="K241" s="76">
        <f>((1/3)*L230)+((11/3)*L242)</f>
        <v>10016</v>
      </c>
      <c r="L241" s="94"/>
      <c r="M241" s="353">
        <f t="shared" si="28"/>
        <v>0.6</v>
      </c>
      <c r="N241" s="353">
        <v>0.26</v>
      </c>
      <c r="O241" s="353">
        <f t="shared" si="29"/>
        <v>0.61</v>
      </c>
      <c r="P241" s="353">
        <v>0.34620000000000001</v>
      </c>
      <c r="Q241" s="353">
        <v>0.69640000000000002</v>
      </c>
      <c r="R241" s="353">
        <v>0.6</v>
      </c>
      <c r="S241" s="353">
        <v>0.61</v>
      </c>
    </row>
    <row r="242" spans="1:19">
      <c r="A242" s="19">
        <f t="shared" si="24"/>
        <v>44804</v>
      </c>
      <c r="B242" s="19">
        <f t="shared" si="23"/>
        <v>45168</v>
      </c>
      <c r="C242" s="84">
        <f t="shared" si="27"/>
        <v>0.28100000000000003</v>
      </c>
      <c r="D242" s="84">
        <f t="shared" si="27"/>
        <v>0.32600000000000001</v>
      </c>
      <c r="E242" s="84">
        <f t="shared" si="27"/>
        <v>6.0999999999999999E-2</v>
      </c>
      <c r="F242" s="84">
        <f t="shared" si="27"/>
        <v>2.5999999999999999E-2</v>
      </c>
      <c r="G242" s="85">
        <v>0.28100000000000003</v>
      </c>
      <c r="H242" s="85">
        <v>0.32600000000000001</v>
      </c>
      <c r="I242" s="85">
        <v>6.0999999999999999E-2</v>
      </c>
      <c r="J242" s="85">
        <v>2.5999999999999999E-2</v>
      </c>
      <c r="K242" s="25">
        <f>(L242*4)</f>
        <v>10016</v>
      </c>
      <c r="L242" s="601">
        <v>2504</v>
      </c>
      <c r="M242" s="80">
        <f t="shared" si="28"/>
        <v>0.6</v>
      </c>
      <c r="N242" s="80">
        <v>0.26</v>
      </c>
      <c r="O242" s="80">
        <f t="shared" si="29"/>
        <v>0.61</v>
      </c>
      <c r="P242" s="80">
        <v>0.34620000000000001</v>
      </c>
      <c r="Q242" s="80">
        <v>0.69640000000000002</v>
      </c>
      <c r="R242" s="80">
        <v>0.6</v>
      </c>
      <c r="S242" s="80">
        <v>0.61</v>
      </c>
    </row>
    <row r="243" spans="1:19">
      <c r="A243" s="19">
        <f t="shared" si="24"/>
        <v>44834</v>
      </c>
      <c r="B243" s="19">
        <f t="shared" si="23"/>
        <v>45198</v>
      </c>
      <c r="C243" s="84">
        <f t="shared" ref="C243:F258" si="30">AVERAGE(G243:G254)</f>
        <v>0.28100000000000003</v>
      </c>
      <c r="D243" s="84">
        <f t="shared" si="30"/>
        <v>0.32600000000000001</v>
      </c>
      <c r="E243" s="84">
        <f t="shared" si="30"/>
        <v>6.0999999999999999E-2</v>
      </c>
      <c r="F243" s="84">
        <f t="shared" si="30"/>
        <v>2.5999999999999999E-2</v>
      </c>
      <c r="G243" s="85">
        <v>0.28100000000000003</v>
      </c>
      <c r="H243" s="85">
        <v>0.32600000000000001</v>
      </c>
      <c r="I243" s="85">
        <v>6.0999999999999999E-2</v>
      </c>
      <c r="J243" s="85">
        <v>2.5999999999999999E-2</v>
      </c>
      <c r="K243" s="25">
        <f>((11/3)*L242)+((1/3)*L254)</f>
        <v>10058</v>
      </c>
      <c r="L243" s="93"/>
      <c r="M243" s="80">
        <f t="shared" si="28"/>
        <v>0.6</v>
      </c>
      <c r="N243" s="80">
        <v>0.26</v>
      </c>
      <c r="O243" s="80">
        <f t="shared" si="29"/>
        <v>0.61</v>
      </c>
      <c r="P243" s="80">
        <v>0.34620000000000001</v>
      </c>
      <c r="Q243" s="80">
        <v>0.69640000000000002</v>
      </c>
      <c r="R243" s="80">
        <v>0.6</v>
      </c>
      <c r="S243" s="80">
        <v>0.61</v>
      </c>
    </row>
    <row r="244" spans="1:19">
      <c r="A244" s="19">
        <f t="shared" si="24"/>
        <v>44865</v>
      </c>
      <c r="B244" s="19">
        <f t="shared" si="23"/>
        <v>45229</v>
      </c>
      <c r="C244" s="84">
        <f t="shared" si="30"/>
        <v>0.28100000000000003</v>
      </c>
      <c r="D244" s="84">
        <f t="shared" si="30"/>
        <v>0.32600000000000001</v>
      </c>
      <c r="E244" s="84">
        <f t="shared" si="30"/>
        <v>6.0999999999999999E-2</v>
      </c>
      <c r="F244" s="84">
        <f t="shared" si="30"/>
        <v>2.5999999999999999E-2</v>
      </c>
      <c r="G244" s="85">
        <v>0.28100000000000003</v>
      </c>
      <c r="H244" s="85">
        <v>0.32600000000000001</v>
      </c>
      <c r="I244" s="85">
        <v>6.0999999999999999E-2</v>
      </c>
      <c r="J244" s="85">
        <v>2.5999999999999999E-2</v>
      </c>
      <c r="K244" s="25">
        <f>((10/3)*L242)+((2/3)*L254)</f>
        <v>10099</v>
      </c>
      <c r="L244" s="93"/>
      <c r="M244" s="80">
        <f t="shared" si="28"/>
        <v>0.6</v>
      </c>
      <c r="N244" s="80">
        <v>0.26</v>
      </c>
      <c r="O244" s="80">
        <f t="shared" si="29"/>
        <v>0.61</v>
      </c>
      <c r="P244" s="80">
        <v>0.34620000000000001</v>
      </c>
      <c r="Q244" s="80">
        <v>0.69640000000000002</v>
      </c>
      <c r="R244" s="80">
        <v>0.6</v>
      </c>
      <c r="S244" s="80">
        <v>0.61</v>
      </c>
    </row>
    <row r="245" spans="1:19">
      <c r="A245" s="19">
        <f t="shared" si="24"/>
        <v>44895</v>
      </c>
      <c r="B245" s="19">
        <f t="shared" si="23"/>
        <v>45259</v>
      </c>
      <c r="C245" s="84">
        <f t="shared" si="30"/>
        <v>0.28100000000000003</v>
      </c>
      <c r="D245" s="84">
        <f t="shared" si="30"/>
        <v>0.32600000000000001</v>
      </c>
      <c r="E245" s="84">
        <f t="shared" si="30"/>
        <v>6.0999999999999999E-2</v>
      </c>
      <c r="F245" s="84">
        <f t="shared" si="30"/>
        <v>2.5999999999999999E-2</v>
      </c>
      <c r="G245" s="85">
        <v>0.28100000000000003</v>
      </c>
      <c r="H245" s="85">
        <v>0.32600000000000001</v>
      </c>
      <c r="I245" s="85">
        <v>6.0999999999999999E-2</v>
      </c>
      <c r="J245" s="85">
        <v>2.5999999999999999E-2</v>
      </c>
      <c r="K245" s="25">
        <f>((9/3)*L242)+((3/3)*L254)</f>
        <v>10141</v>
      </c>
      <c r="L245" s="93"/>
      <c r="M245" s="80">
        <f t="shared" si="28"/>
        <v>0.6</v>
      </c>
      <c r="N245" s="80">
        <v>0.26</v>
      </c>
      <c r="O245" s="80">
        <f t="shared" si="29"/>
        <v>0.61</v>
      </c>
      <c r="P245" s="80">
        <v>0.34620000000000001</v>
      </c>
      <c r="Q245" s="80">
        <v>0.69640000000000002</v>
      </c>
      <c r="R245" s="80">
        <v>0.6</v>
      </c>
      <c r="S245" s="80">
        <v>0.61</v>
      </c>
    </row>
    <row r="246" spans="1:19">
      <c r="A246" s="19">
        <f t="shared" si="24"/>
        <v>44926</v>
      </c>
      <c r="B246" s="19">
        <f t="shared" si="23"/>
        <v>45290</v>
      </c>
      <c r="C246" s="84">
        <f t="shared" si="30"/>
        <v>0.28100000000000003</v>
      </c>
      <c r="D246" s="84">
        <f t="shared" si="30"/>
        <v>0.32600000000000001</v>
      </c>
      <c r="E246" s="84">
        <f t="shared" si="30"/>
        <v>6.0999999999999999E-2</v>
      </c>
      <c r="F246" s="84">
        <f t="shared" si="30"/>
        <v>2.5999999999999999E-2</v>
      </c>
      <c r="G246" s="85">
        <v>0.28100000000000003</v>
      </c>
      <c r="H246" s="85">
        <v>0.32600000000000001</v>
      </c>
      <c r="I246" s="85">
        <v>6.0999999999999999E-2</v>
      </c>
      <c r="J246" s="85">
        <v>2.5999999999999999E-2</v>
      </c>
      <c r="K246" s="25">
        <f>((8/3)*L242)+((4/3)*L254)</f>
        <v>10183</v>
      </c>
      <c r="L246" s="93"/>
      <c r="M246" s="80">
        <f t="shared" si="28"/>
        <v>0.6</v>
      </c>
      <c r="N246" s="80">
        <v>0.26</v>
      </c>
      <c r="O246" s="80">
        <f t="shared" si="29"/>
        <v>0.61</v>
      </c>
      <c r="P246" s="80">
        <v>0.34620000000000001</v>
      </c>
      <c r="Q246" s="80">
        <v>0.69640000000000002</v>
      </c>
      <c r="R246" s="80">
        <v>0.6</v>
      </c>
      <c r="S246" s="80">
        <v>0.61</v>
      </c>
    </row>
    <row r="247" spans="1:19">
      <c r="A247" s="19">
        <f t="shared" si="24"/>
        <v>44957</v>
      </c>
      <c r="B247" s="19">
        <f t="shared" si="23"/>
        <v>45321</v>
      </c>
      <c r="C247" s="84">
        <f t="shared" si="30"/>
        <v>0.28100000000000003</v>
      </c>
      <c r="D247" s="84">
        <f t="shared" si="30"/>
        <v>0.32600000000000001</v>
      </c>
      <c r="E247" s="84">
        <f t="shared" si="30"/>
        <v>6.0999999999999999E-2</v>
      </c>
      <c r="F247" s="84">
        <f t="shared" si="30"/>
        <v>2.5999999999999999E-2</v>
      </c>
      <c r="G247" s="85">
        <v>0.28100000000000003</v>
      </c>
      <c r="H247" s="85">
        <v>0.32600000000000001</v>
      </c>
      <c r="I247" s="85">
        <v>6.0999999999999999E-2</v>
      </c>
      <c r="J247" s="85">
        <v>2.5999999999999999E-2</v>
      </c>
      <c r="K247" s="25">
        <f>((7/3)*L242)+((5/3)*L254)</f>
        <v>10225</v>
      </c>
      <c r="L247" s="93"/>
      <c r="M247" s="80">
        <f t="shared" si="28"/>
        <v>0.6</v>
      </c>
      <c r="N247" s="80">
        <v>0.26</v>
      </c>
      <c r="O247" s="80">
        <f t="shared" si="29"/>
        <v>0.61</v>
      </c>
      <c r="P247" s="80">
        <v>0.34620000000000001</v>
      </c>
      <c r="Q247" s="80">
        <v>0.69640000000000002</v>
      </c>
      <c r="R247" s="80">
        <v>0.6</v>
      </c>
      <c r="S247" s="80">
        <v>0.61</v>
      </c>
    </row>
    <row r="248" spans="1:19">
      <c r="A248" s="19">
        <f t="shared" si="24"/>
        <v>44985</v>
      </c>
      <c r="B248" s="19">
        <f t="shared" si="23"/>
        <v>45350</v>
      </c>
      <c r="C248" s="84">
        <f t="shared" si="30"/>
        <v>0.28100000000000003</v>
      </c>
      <c r="D248" s="84">
        <f t="shared" si="30"/>
        <v>0.32600000000000001</v>
      </c>
      <c r="E248" s="84">
        <f t="shared" si="30"/>
        <v>6.0999999999999999E-2</v>
      </c>
      <c r="F248" s="84">
        <f t="shared" si="30"/>
        <v>2.5999999999999999E-2</v>
      </c>
      <c r="G248" s="85">
        <v>0.28100000000000003</v>
      </c>
      <c r="H248" s="85">
        <v>0.32600000000000001</v>
      </c>
      <c r="I248" s="85">
        <v>6.0999999999999999E-2</v>
      </c>
      <c r="J248" s="85">
        <v>2.5999999999999999E-2</v>
      </c>
      <c r="K248" s="25">
        <f>((6/3)*L242)+((6/3)*L254)</f>
        <v>10266</v>
      </c>
      <c r="L248" s="93"/>
      <c r="M248" s="80">
        <f t="shared" si="28"/>
        <v>0.6</v>
      </c>
      <c r="N248" s="80">
        <v>0.26</v>
      </c>
      <c r="O248" s="80">
        <f t="shared" si="29"/>
        <v>0.61</v>
      </c>
      <c r="P248" s="80">
        <v>0.34620000000000001</v>
      </c>
      <c r="Q248" s="80">
        <v>0.69640000000000002</v>
      </c>
      <c r="R248" s="80">
        <v>0.6</v>
      </c>
      <c r="S248" s="80">
        <v>0.61</v>
      </c>
    </row>
    <row r="249" spans="1:19">
      <c r="A249" s="19">
        <f t="shared" si="24"/>
        <v>45016</v>
      </c>
      <c r="B249" s="19">
        <f t="shared" si="23"/>
        <v>45381</v>
      </c>
      <c r="C249" s="84">
        <f t="shared" si="30"/>
        <v>0.28100000000000003</v>
      </c>
      <c r="D249" s="84">
        <f t="shared" si="30"/>
        <v>0.32600000000000001</v>
      </c>
      <c r="E249" s="84">
        <f t="shared" si="30"/>
        <v>6.0999999999999999E-2</v>
      </c>
      <c r="F249" s="84">
        <f t="shared" si="30"/>
        <v>2.5999999999999999E-2</v>
      </c>
      <c r="G249" s="85">
        <v>0.28100000000000003</v>
      </c>
      <c r="H249" s="85">
        <v>0.32600000000000001</v>
      </c>
      <c r="I249" s="85">
        <v>6.0999999999999999E-2</v>
      </c>
      <c r="J249" s="85">
        <v>2.5999999999999999E-2</v>
      </c>
      <c r="K249" s="25">
        <f>((5/3)*L242)+((7/3)*L254)</f>
        <v>10308</v>
      </c>
      <c r="L249" s="93"/>
      <c r="M249" s="80">
        <f t="shared" si="28"/>
        <v>0.6</v>
      </c>
      <c r="N249" s="80">
        <v>0.26</v>
      </c>
      <c r="O249" s="80">
        <f t="shared" si="29"/>
        <v>0.61</v>
      </c>
      <c r="P249" s="80">
        <v>0.34620000000000001</v>
      </c>
      <c r="Q249" s="80">
        <v>0.69640000000000002</v>
      </c>
      <c r="R249" s="80">
        <v>0.6</v>
      </c>
      <c r="S249" s="80">
        <v>0.61</v>
      </c>
    </row>
    <row r="250" spans="1:19">
      <c r="A250" s="19">
        <f t="shared" si="24"/>
        <v>45046</v>
      </c>
      <c r="B250" s="19">
        <f t="shared" si="23"/>
        <v>45411</v>
      </c>
      <c r="C250" s="84">
        <f t="shared" si="30"/>
        <v>0.28100000000000003</v>
      </c>
      <c r="D250" s="84">
        <f t="shared" si="30"/>
        <v>0.32600000000000001</v>
      </c>
      <c r="E250" s="84">
        <f t="shared" si="30"/>
        <v>6.0999999999999999E-2</v>
      </c>
      <c r="F250" s="84">
        <f t="shared" si="30"/>
        <v>2.5999999999999999E-2</v>
      </c>
      <c r="G250" s="85">
        <v>0.28100000000000003</v>
      </c>
      <c r="H250" s="85">
        <v>0.32600000000000001</v>
      </c>
      <c r="I250" s="85">
        <v>6.0999999999999999E-2</v>
      </c>
      <c r="J250" s="85">
        <v>2.5999999999999999E-2</v>
      </c>
      <c r="K250" s="25">
        <f>((4/3)*L242)+((8/3)*L254)</f>
        <v>10350</v>
      </c>
      <c r="L250" s="93"/>
      <c r="M250" s="80">
        <f t="shared" si="28"/>
        <v>0.6</v>
      </c>
      <c r="N250" s="80">
        <v>0.26</v>
      </c>
      <c r="O250" s="80">
        <f t="shared" si="29"/>
        <v>0.61</v>
      </c>
      <c r="P250" s="80">
        <v>0.34620000000000001</v>
      </c>
      <c r="Q250" s="80">
        <v>0.69640000000000002</v>
      </c>
      <c r="R250" s="80">
        <v>0.6</v>
      </c>
      <c r="S250" s="80">
        <v>0.61</v>
      </c>
    </row>
    <row r="251" spans="1:19">
      <c r="A251" s="19">
        <f t="shared" si="24"/>
        <v>45077</v>
      </c>
      <c r="B251" s="19">
        <f t="shared" si="23"/>
        <v>45442</v>
      </c>
      <c r="C251" s="84">
        <f t="shared" si="30"/>
        <v>0.28100000000000003</v>
      </c>
      <c r="D251" s="84">
        <f t="shared" si="30"/>
        <v>0.32600000000000001</v>
      </c>
      <c r="E251" s="84">
        <f t="shared" si="30"/>
        <v>6.0999999999999999E-2</v>
      </c>
      <c r="F251" s="84">
        <f t="shared" si="30"/>
        <v>2.5999999999999999E-2</v>
      </c>
      <c r="G251" s="85">
        <v>0.28100000000000003</v>
      </c>
      <c r="H251" s="85">
        <v>0.32600000000000001</v>
      </c>
      <c r="I251" s="85">
        <v>6.0999999999999999E-2</v>
      </c>
      <c r="J251" s="85">
        <v>2.5999999999999999E-2</v>
      </c>
      <c r="K251" s="25">
        <f>((3/3)*L242)+((9/3)*L254)</f>
        <v>10392</v>
      </c>
      <c r="L251" s="93"/>
      <c r="M251" s="80">
        <f t="shared" si="28"/>
        <v>0.6</v>
      </c>
      <c r="N251" s="80">
        <v>0.26</v>
      </c>
      <c r="O251" s="80">
        <f t="shared" si="29"/>
        <v>0.61</v>
      </c>
      <c r="P251" s="80">
        <v>0.34620000000000001</v>
      </c>
      <c r="Q251" s="80">
        <v>0.69640000000000002</v>
      </c>
      <c r="R251" s="80">
        <v>0.6</v>
      </c>
      <c r="S251" s="80">
        <v>0.61</v>
      </c>
    </row>
    <row r="252" spans="1:19">
      <c r="A252" s="19">
        <f t="shared" si="24"/>
        <v>45107</v>
      </c>
      <c r="B252" s="19">
        <f t="shared" si="23"/>
        <v>45472</v>
      </c>
      <c r="C252" s="84">
        <f t="shared" si="30"/>
        <v>0.28100000000000003</v>
      </c>
      <c r="D252" s="84">
        <f t="shared" si="30"/>
        <v>0.32600000000000001</v>
      </c>
      <c r="E252" s="84">
        <f t="shared" si="30"/>
        <v>6.0999999999999999E-2</v>
      </c>
      <c r="F252" s="84">
        <f t="shared" si="30"/>
        <v>2.5999999999999999E-2</v>
      </c>
      <c r="G252" s="85">
        <v>0.28100000000000003</v>
      </c>
      <c r="H252" s="85">
        <v>0.32600000000000001</v>
      </c>
      <c r="I252" s="85">
        <v>6.0999999999999999E-2</v>
      </c>
      <c r="J252" s="85">
        <v>2.5999999999999999E-2</v>
      </c>
      <c r="K252" s="25">
        <f>((2/3)*L242)+((10/3)*L254)</f>
        <v>10433</v>
      </c>
      <c r="L252" s="93"/>
      <c r="M252" s="80">
        <f t="shared" si="28"/>
        <v>0.6</v>
      </c>
      <c r="N252" s="80">
        <v>0.26</v>
      </c>
      <c r="O252" s="80">
        <f t="shared" si="29"/>
        <v>0.61</v>
      </c>
      <c r="P252" s="80">
        <v>0.34620000000000001</v>
      </c>
      <c r="Q252" s="80">
        <v>0.69640000000000002</v>
      </c>
      <c r="R252" s="80">
        <v>0.6</v>
      </c>
      <c r="S252" s="80">
        <v>0.61</v>
      </c>
    </row>
    <row r="253" spans="1:19">
      <c r="A253" s="19">
        <f t="shared" si="24"/>
        <v>45138</v>
      </c>
      <c r="B253" s="19">
        <f t="shared" si="23"/>
        <v>45503</v>
      </c>
      <c r="C253" s="81">
        <f t="shared" si="30"/>
        <v>0.28100000000000003</v>
      </c>
      <c r="D253" s="81">
        <f t="shared" si="30"/>
        <v>0.32600000000000001</v>
      </c>
      <c r="E253" s="81">
        <f t="shared" si="30"/>
        <v>6.0999999999999999E-2</v>
      </c>
      <c r="F253" s="81">
        <f t="shared" si="30"/>
        <v>2.5999999999999999E-2</v>
      </c>
      <c r="G253" s="85">
        <v>0.28100000000000003</v>
      </c>
      <c r="H253" s="85">
        <v>0.32600000000000001</v>
      </c>
      <c r="I253" s="85">
        <v>6.0999999999999999E-2</v>
      </c>
      <c r="J253" s="85">
        <v>2.5999999999999999E-2</v>
      </c>
      <c r="K253" s="25">
        <f>((1/3)*L242)+((11/3)*L254)</f>
        <v>10475</v>
      </c>
      <c r="L253" s="93"/>
      <c r="M253" s="80">
        <f t="shared" si="28"/>
        <v>0.6</v>
      </c>
      <c r="N253" s="80">
        <v>0.26</v>
      </c>
      <c r="O253" s="80">
        <f t="shared" si="29"/>
        <v>0.61</v>
      </c>
      <c r="P253" s="80">
        <v>0.34620000000000001</v>
      </c>
      <c r="Q253" s="80">
        <v>0.69640000000000002</v>
      </c>
      <c r="R253" s="80">
        <v>0.6</v>
      </c>
      <c r="S253" s="80">
        <v>0.61</v>
      </c>
    </row>
    <row r="254" spans="1:19" s="78" customFormat="1">
      <c r="A254" s="77">
        <f t="shared" si="24"/>
        <v>45169</v>
      </c>
      <c r="B254" s="77">
        <f t="shared" si="23"/>
        <v>45534</v>
      </c>
      <c r="C254" s="86">
        <f t="shared" si="30"/>
        <v>0.28100000000000003</v>
      </c>
      <c r="D254" s="86">
        <f t="shared" si="30"/>
        <v>0.32600000000000001</v>
      </c>
      <c r="E254" s="86">
        <f t="shared" si="30"/>
        <v>6.0999999999999999E-2</v>
      </c>
      <c r="F254" s="86">
        <f t="shared" si="30"/>
        <v>2.5999999999999999E-2</v>
      </c>
      <c r="G254" s="87">
        <v>0.28100000000000003</v>
      </c>
      <c r="H254" s="87">
        <v>0.32600000000000001</v>
      </c>
      <c r="I254" s="87">
        <v>6.0999999999999999E-2</v>
      </c>
      <c r="J254" s="87">
        <v>2.5999999999999999E-2</v>
      </c>
      <c r="K254" s="76">
        <f>(L254*4)</f>
        <v>10517</v>
      </c>
      <c r="L254" s="94">
        <f>L242*1.05</f>
        <v>2629.2</v>
      </c>
      <c r="M254" s="353">
        <f t="shared" si="28"/>
        <v>0.6</v>
      </c>
      <c r="N254" s="353">
        <v>0.26</v>
      </c>
      <c r="O254" s="353">
        <f t="shared" si="29"/>
        <v>0.61</v>
      </c>
      <c r="P254" s="353">
        <v>0.34620000000000001</v>
      </c>
      <c r="Q254" s="353">
        <v>0.69640000000000002</v>
      </c>
      <c r="R254" s="353">
        <v>0.6</v>
      </c>
      <c r="S254" s="353">
        <v>0.61</v>
      </c>
    </row>
    <row r="255" spans="1:19" s="78" customFormat="1">
      <c r="A255" s="77">
        <f t="shared" si="24"/>
        <v>45199</v>
      </c>
      <c r="B255" s="77">
        <f t="shared" si="23"/>
        <v>45564</v>
      </c>
      <c r="C255" s="86">
        <f t="shared" si="30"/>
        <v>0.28100000000000003</v>
      </c>
      <c r="D255" s="86">
        <f t="shared" si="30"/>
        <v>0.32600000000000001</v>
      </c>
      <c r="E255" s="86">
        <f t="shared" si="30"/>
        <v>6.0999999999999999E-2</v>
      </c>
      <c r="F255" s="86">
        <f t="shared" si="30"/>
        <v>2.5999999999999999E-2</v>
      </c>
      <c r="G255" s="87">
        <v>0.28100000000000003</v>
      </c>
      <c r="H255" s="87">
        <v>0.32600000000000001</v>
      </c>
      <c r="I255" s="87">
        <v>6.0999999999999999E-2</v>
      </c>
      <c r="J255" s="87">
        <v>2.5999999999999999E-2</v>
      </c>
      <c r="K255" s="76">
        <f>((11/3)*L254)+((1/3)*L266)</f>
        <v>10561</v>
      </c>
      <c r="L255" s="94"/>
      <c r="M255" s="353">
        <f t="shared" si="28"/>
        <v>0.6</v>
      </c>
      <c r="N255" s="353">
        <v>0.26</v>
      </c>
      <c r="O255" s="353">
        <f t="shared" si="29"/>
        <v>0.61</v>
      </c>
      <c r="P255" s="353">
        <v>0.34620000000000001</v>
      </c>
      <c r="Q255" s="353">
        <v>0.69640000000000002</v>
      </c>
      <c r="R255" s="353">
        <v>0.6</v>
      </c>
      <c r="S255" s="353">
        <v>0.61</v>
      </c>
    </row>
    <row r="256" spans="1:19" s="78" customFormat="1">
      <c r="A256" s="77">
        <f t="shared" si="24"/>
        <v>45230</v>
      </c>
      <c r="B256" s="77">
        <f t="shared" si="23"/>
        <v>45595</v>
      </c>
      <c r="C256" s="86">
        <f t="shared" si="30"/>
        <v>0.28100000000000003</v>
      </c>
      <c r="D256" s="86">
        <f t="shared" si="30"/>
        <v>0.32600000000000001</v>
      </c>
      <c r="E256" s="86">
        <f t="shared" si="30"/>
        <v>6.0999999999999999E-2</v>
      </c>
      <c r="F256" s="86">
        <f t="shared" si="30"/>
        <v>2.5999999999999999E-2</v>
      </c>
      <c r="G256" s="87">
        <v>0.28100000000000003</v>
      </c>
      <c r="H256" s="87">
        <v>0.32600000000000001</v>
      </c>
      <c r="I256" s="87">
        <v>6.0999999999999999E-2</v>
      </c>
      <c r="J256" s="87">
        <v>2.5999999999999999E-2</v>
      </c>
      <c r="K256" s="76">
        <f>((10/3)*L254)+((2/3)*L266)</f>
        <v>10604</v>
      </c>
      <c r="L256" s="94"/>
      <c r="M256" s="353">
        <f t="shared" si="28"/>
        <v>0.6</v>
      </c>
      <c r="N256" s="353">
        <v>0.26</v>
      </c>
      <c r="O256" s="353">
        <f t="shared" si="29"/>
        <v>0.61</v>
      </c>
      <c r="P256" s="353">
        <v>0.34620000000000001</v>
      </c>
      <c r="Q256" s="353">
        <v>0.69640000000000002</v>
      </c>
      <c r="R256" s="353">
        <v>0.6</v>
      </c>
      <c r="S256" s="353">
        <v>0.61</v>
      </c>
    </row>
    <row r="257" spans="1:19" s="78" customFormat="1">
      <c r="A257" s="77">
        <f t="shared" si="24"/>
        <v>45260</v>
      </c>
      <c r="B257" s="77">
        <f t="shared" si="23"/>
        <v>45625</v>
      </c>
      <c r="C257" s="86">
        <f t="shared" si="30"/>
        <v>0.28100000000000003</v>
      </c>
      <c r="D257" s="86">
        <f t="shared" si="30"/>
        <v>0.32600000000000001</v>
      </c>
      <c r="E257" s="86">
        <f t="shared" si="30"/>
        <v>6.0999999999999999E-2</v>
      </c>
      <c r="F257" s="86">
        <f t="shared" si="30"/>
        <v>2.5999999999999999E-2</v>
      </c>
      <c r="G257" s="87">
        <v>0.28100000000000003</v>
      </c>
      <c r="H257" s="87">
        <v>0.32600000000000001</v>
      </c>
      <c r="I257" s="87">
        <v>6.0999999999999999E-2</v>
      </c>
      <c r="J257" s="87">
        <v>2.5999999999999999E-2</v>
      </c>
      <c r="K257" s="76">
        <f>((9/3)*L254)+((3/3)*L266)</f>
        <v>10648</v>
      </c>
      <c r="L257" s="94"/>
      <c r="M257" s="353">
        <f t="shared" si="28"/>
        <v>0.6</v>
      </c>
      <c r="N257" s="353">
        <v>0.26</v>
      </c>
      <c r="O257" s="353">
        <f t="shared" si="29"/>
        <v>0.61</v>
      </c>
      <c r="P257" s="353">
        <v>0.34620000000000001</v>
      </c>
      <c r="Q257" s="353">
        <v>0.69640000000000002</v>
      </c>
      <c r="R257" s="353">
        <v>0.6</v>
      </c>
      <c r="S257" s="353">
        <v>0.61</v>
      </c>
    </row>
    <row r="258" spans="1:19" s="78" customFormat="1">
      <c r="A258" s="77">
        <f t="shared" si="24"/>
        <v>45291</v>
      </c>
      <c r="B258" s="77">
        <f t="shared" ref="B258:B321" si="31">EDATE(A258,12)-1</f>
        <v>45656</v>
      </c>
      <c r="C258" s="86">
        <f t="shared" si="30"/>
        <v>0.28100000000000003</v>
      </c>
      <c r="D258" s="86">
        <f t="shared" si="30"/>
        <v>0.32600000000000001</v>
      </c>
      <c r="E258" s="86">
        <f t="shared" si="30"/>
        <v>6.0999999999999999E-2</v>
      </c>
      <c r="F258" s="86">
        <f t="shared" si="30"/>
        <v>2.5999999999999999E-2</v>
      </c>
      <c r="G258" s="87">
        <v>0.28100000000000003</v>
      </c>
      <c r="H258" s="87">
        <v>0.32600000000000001</v>
      </c>
      <c r="I258" s="87">
        <v>6.0999999999999999E-2</v>
      </c>
      <c r="J258" s="87">
        <v>2.5999999999999999E-2</v>
      </c>
      <c r="K258" s="76">
        <f>((8/3)*L254)+((4/3)*L266)</f>
        <v>10692</v>
      </c>
      <c r="L258" s="94"/>
      <c r="M258" s="353">
        <f t="shared" si="28"/>
        <v>0.6</v>
      </c>
      <c r="N258" s="353">
        <v>0.26</v>
      </c>
      <c r="O258" s="353">
        <f t="shared" si="29"/>
        <v>0.61</v>
      </c>
      <c r="P258" s="353">
        <v>0.34620000000000001</v>
      </c>
      <c r="Q258" s="353">
        <v>0.69640000000000002</v>
      </c>
      <c r="R258" s="353">
        <v>0.6</v>
      </c>
      <c r="S258" s="353">
        <v>0.61</v>
      </c>
    </row>
    <row r="259" spans="1:19" s="78" customFormat="1">
      <c r="A259" s="77">
        <f t="shared" ref="A259:A322" si="32">EDATE(A258,1)</f>
        <v>45322</v>
      </c>
      <c r="B259" s="77">
        <f t="shared" si="31"/>
        <v>45687</v>
      </c>
      <c r="C259" s="86">
        <f t="shared" ref="C259:F274" si="33">AVERAGE(G259:G270)</f>
        <v>0.28100000000000003</v>
      </c>
      <c r="D259" s="86">
        <f t="shared" si="33"/>
        <v>0.32600000000000001</v>
      </c>
      <c r="E259" s="86">
        <f t="shared" si="33"/>
        <v>6.0999999999999999E-2</v>
      </c>
      <c r="F259" s="86">
        <f t="shared" si="33"/>
        <v>2.5999999999999999E-2</v>
      </c>
      <c r="G259" s="87">
        <v>0.28100000000000003</v>
      </c>
      <c r="H259" s="87">
        <v>0.32600000000000001</v>
      </c>
      <c r="I259" s="87">
        <v>6.0999999999999999E-2</v>
      </c>
      <c r="J259" s="87">
        <v>2.5999999999999999E-2</v>
      </c>
      <c r="K259" s="76">
        <f>((7/3)*L254)+((5/3)*L266)</f>
        <v>10736</v>
      </c>
      <c r="L259" s="94"/>
      <c r="M259" s="353">
        <f t="shared" si="28"/>
        <v>0.6</v>
      </c>
      <c r="N259" s="353">
        <v>0.26</v>
      </c>
      <c r="O259" s="353">
        <f t="shared" si="29"/>
        <v>0.61</v>
      </c>
      <c r="P259" s="353">
        <v>0.34620000000000001</v>
      </c>
      <c r="Q259" s="353">
        <v>0.69640000000000002</v>
      </c>
      <c r="R259" s="353">
        <v>0.6</v>
      </c>
      <c r="S259" s="353">
        <v>0.61</v>
      </c>
    </row>
    <row r="260" spans="1:19" s="78" customFormat="1">
      <c r="A260" s="77">
        <f t="shared" si="32"/>
        <v>45351</v>
      </c>
      <c r="B260" s="77">
        <f t="shared" si="31"/>
        <v>45715</v>
      </c>
      <c r="C260" s="86">
        <f t="shared" si="33"/>
        <v>0.28100000000000003</v>
      </c>
      <c r="D260" s="86">
        <f t="shared" si="33"/>
        <v>0.32600000000000001</v>
      </c>
      <c r="E260" s="86">
        <f t="shared" si="33"/>
        <v>6.0999999999999999E-2</v>
      </c>
      <c r="F260" s="86">
        <f t="shared" si="33"/>
        <v>2.5999999999999999E-2</v>
      </c>
      <c r="G260" s="87">
        <v>0.28100000000000003</v>
      </c>
      <c r="H260" s="87">
        <v>0.32600000000000001</v>
      </c>
      <c r="I260" s="87">
        <v>6.0999999999999999E-2</v>
      </c>
      <c r="J260" s="87">
        <v>2.5999999999999999E-2</v>
      </c>
      <c r="K260" s="76">
        <f>((6/3)*L254)+((6/3)*L266)</f>
        <v>10780</v>
      </c>
      <c r="L260" s="94"/>
      <c r="M260" s="353">
        <f t="shared" si="28"/>
        <v>0.6</v>
      </c>
      <c r="N260" s="353">
        <v>0.26</v>
      </c>
      <c r="O260" s="353">
        <f t="shared" si="29"/>
        <v>0.61</v>
      </c>
      <c r="P260" s="353">
        <v>0.34620000000000001</v>
      </c>
      <c r="Q260" s="353">
        <v>0.69640000000000002</v>
      </c>
      <c r="R260" s="353">
        <v>0.6</v>
      </c>
      <c r="S260" s="353">
        <v>0.61</v>
      </c>
    </row>
    <row r="261" spans="1:19" s="78" customFormat="1">
      <c r="A261" s="77">
        <f t="shared" si="32"/>
        <v>45382</v>
      </c>
      <c r="B261" s="77">
        <f t="shared" si="31"/>
        <v>45746</v>
      </c>
      <c r="C261" s="86">
        <f t="shared" si="33"/>
        <v>0.28100000000000003</v>
      </c>
      <c r="D261" s="86">
        <f t="shared" si="33"/>
        <v>0.32600000000000001</v>
      </c>
      <c r="E261" s="86">
        <f t="shared" si="33"/>
        <v>6.0999999999999999E-2</v>
      </c>
      <c r="F261" s="86">
        <f t="shared" si="33"/>
        <v>2.5999999999999999E-2</v>
      </c>
      <c r="G261" s="87">
        <v>0.28100000000000003</v>
      </c>
      <c r="H261" s="87">
        <v>0.32600000000000001</v>
      </c>
      <c r="I261" s="87">
        <v>6.0999999999999999E-2</v>
      </c>
      <c r="J261" s="87">
        <v>2.5999999999999999E-2</v>
      </c>
      <c r="K261" s="76">
        <f>((5/3)*L254)+((7/3)*L266)</f>
        <v>10824</v>
      </c>
      <c r="L261" s="94"/>
      <c r="M261" s="353">
        <f t="shared" si="28"/>
        <v>0.6</v>
      </c>
      <c r="N261" s="353">
        <v>0.26</v>
      </c>
      <c r="O261" s="353">
        <f t="shared" si="29"/>
        <v>0.61</v>
      </c>
      <c r="P261" s="353">
        <v>0.34620000000000001</v>
      </c>
      <c r="Q261" s="353">
        <v>0.69640000000000002</v>
      </c>
      <c r="R261" s="353">
        <v>0.6</v>
      </c>
      <c r="S261" s="353">
        <v>0.61</v>
      </c>
    </row>
    <row r="262" spans="1:19" s="78" customFormat="1">
      <c r="A262" s="77">
        <f t="shared" si="32"/>
        <v>45412</v>
      </c>
      <c r="B262" s="77">
        <f t="shared" si="31"/>
        <v>45776</v>
      </c>
      <c r="C262" s="86">
        <f t="shared" si="33"/>
        <v>0.28100000000000003</v>
      </c>
      <c r="D262" s="86">
        <f t="shared" si="33"/>
        <v>0.32600000000000001</v>
      </c>
      <c r="E262" s="86">
        <f t="shared" si="33"/>
        <v>6.0999999999999999E-2</v>
      </c>
      <c r="F262" s="86">
        <f t="shared" si="33"/>
        <v>2.5999999999999999E-2</v>
      </c>
      <c r="G262" s="87">
        <v>0.28100000000000003</v>
      </c>
      <c r="H262" s="87">
        <v>0.32600000000000001</v>
      </c>
      <c r="I262" s="87">
        <v>6.0999999999999999E-2</v>
      </c>
      <c r="J262" s="87">
        <v>2.5999999999999999E-2</v>
      </c>
      <c r="K262" s="76">
        <f>((4/3)*L254)+((8/3)*L266)</f>
        <v>10867</v>
      </c>
      <c r="L262" s="94"/>
      <c r="M262" s="353">
        <f t="shared" si="28"/>
        <v>0.6</v>
      </c>
      <c r="N262" s="353">
        <v>0.26</v>
      </c>
      <c r="O262" s="353">
        <f t="shared" si="29"/>
        <v>0.61</v>
      </c>
      <c r="P262" s="353">
        <v>0.34620000000000001</v>
      </c>
      <c r="Q262" s="353">
        <v>0.69640000000000002</v>
      </c>
      <c r="R262" s="353">
        <v>0.6</v>
      </c>
      <c r="S262" s="353">
        <v>0.61</v>
      </c>
    </row>
    <row r="263" spans="1:19" s="78" customFormat="1">
      <c r="A263" s="77">
        <f t="shared" si="32"/>
        <v>45443</v>
      </c>
      <c r="B263" s="77">
        <f t="shared" si="31"/>
        <v>45807</v>
      </c>
      <c r="C263" s="86">
        <f t="shared" si="33"/>
        <v>0.28100000000000003</v>
      </c>
      <c r="D263" s="86">
        <f t="shared" si="33"/>
        <v>0.32600000000000001</v>
      </c>
      <c r="E263" s="86">
        <f t="shared" si="33"/>
        <v>6.0999999999999999E-2</v>
      </c>
      <c r="F263" s="86">
        <f t="shared" si="33"/>
        <v>2.5999999999999999E-2</v>
      </c>
      <c r="G263" s="87">
        <v>0.28100000000000003</v>
      </c>
      <c r="H263" s="87">
        <v>0.32600000000000001</v>
      </c>
      <c r="I263" s="87">
        <v>6.0999999999999999E-2</v>
      </c>
      <c r="J263" s="87">
        <v>2.5999999999999999E-2</v>
      </c>
      <c r="K263" s="76">
        <f>((3/3)*L254)+((9/3)*L266)</f>
        <v>10911</v>
      </c>
      <c r="L263" s="94"/>
      <c r="M263" s="353">
        <f t="shared" si="28"/>
        <v>0.6</v>
      </c>
      <c r="N263" s="353">
        <v>0.26</v>
      </c>
      <c r="O263" s="353">
        <f t="shared" si="29"/>
        <v>0.61</v>
      </c>
      <c r="P263" s="353">
        <v>0.34620000000000001</v>
      </c>
      <c r="Q263" s="353">
        <v>0.69640000000000002</v>
      </c>
      <c r="R263" s="353">
        <v>0.6</v>
      </c>
      <c r="S263" s="353">
        <v>0.61</v>
      </c>
    </row>
    <row r="264" spans="1:19" s="78" customFormat="1">
      <c r="A264" s="77">
        <f t="shared" si="32"/>
        <v>45473</v>
      </c>
      <c r="B264" s="77">
        <f t="shared" si="31"/>
        <v>45837</v>
      </c>
      <c r="C264" s="86">
        <f t="shared" si="33"/>
        <v>0.28100000000000003</v>
      </c>
      <c r="D264" s="86">
        <f t="shared" si="33"/>
        <v>0.32600000000000001</v>
      </c>
      <c r="E264" s="86">
        <f t="shared" si="33"/>
        <v>6.0999999999999999E-2</v>
      </c>
      <c r="F264" s="86">
        <f t="shared" si="33"/>
        <v>2.5999999999999999E-2</v>
      </c>
      <c r="G264" s="87">
        <v>0.28100000000000003</v>
      </c>
      <c r="H264" s="87">
        <v>0.32600000000000001</v>
      </c>
      <c r="I264" s="87">
        <v>6.0999999999999999E-2</v>
      </c>
      <c r="J264" s="87">
        <v>2.5999999999999999E-2</v>
      </c>
      <c r="K264" s="76">
        <f>((2/3)*L254)+((10/3)*L266)</f>
        <v>10955</v>
      </c>
      <c r="L264" s="94"/>
      <c r="M264" s="353">
        <f t="shared" si="28"/>
        <v>0.6</v>
      </c>
      <c r="N264" s="353">
        <v>0.26</v>
      </c>
      <c r="O264" s="353">
        <f t="shared" si="29"/>
        <v>0.61</v>
      </c>
      <c r="P264" s="353">
        <v>0.34620000000000001</v>
      </c>
      <c r="Q264" s="353">
        <v>0.69640000000000002</v>
      </c>
      <c r="R264" s="353">
        <v>0.6</v>
      </c>
      <c r="S264" s="353">
        <v>0.61</v>
      </c>
    </row>
    <row r="265" spans="1:19" s="78" customFormat="1">
      <c r="A265" s="77">
        <f t="shared" si="32"/>
        <v>45504</v>
      </c>
      <c r="B265" s="77">
        <f t="shared" si="31"/>
        <v>45868</v>
      </c>
      <c r="C265" s="86">
        <f t="shared" si="33"/>
        <v>0.28100000000000003</v>
      </c>
      <c r="D265" s="86">
        <f t="shared" si="33"/>
        <v>0.32600000000000001</v>
      </c>
      <c r="E265" s="86">
        <f t="shared" si="33"/>
        <v>6.0999999999999999E-2</v>
      </c>
      <c r="F265" s="86">
        <f t="shared" si="33"/>
        <v>2.5999999999999999E-2</v>
      </c>
      <c r="G265" s="87">
        <v>0.28100000000000003</v>
      </c>
      <c r="H265" s="87">
        <v>0.32600000000000001</v>
      </c>
      <c r="I265" s="87">
        <v>6.0999999999999999E-2</v>
      </c>
      <c r="J265" s="87">
        <v>2.5999999999999999E-2</v>
      </c>
      <c r="K265" s="76">
        <f>((1/3)*L254)+((11/3)*L266)</f>
        <v>10999</v>
      </c>
      <c r="L265" s="94"/>
      <c r="M265" s="353">
        <f t="shared" si="28"/>
        <v>0.6</v>
      </c>
      <c r="N265" s="353">
        <v>0.26</v>
      </c>
      <c r="O265" s="353">
        <f t="shared" si="29"/>
        <v>0.61</v>
      </c>
      <c r="P265" s="353">
        <v>0.34620000000000001</v>
      </c>
      <c r="Q265" s="353">
        <v>0.69640000000000002</v>
      </c>
      <c r="R265" s="353">
        <v>0.6</v>
      </c>
      <c r="S265" s="353">
        <v>0.61</v>
      </c>
    </row>
    <row r="266" spans="1:19">
      <c r="A266" s="19">
        <f t="shared" si="32"/>
        <v>45535</v>
      </c>
      <c r="B266" s="19">
        <f t="shared" si="31"/>
        <v>45899</v>
      </c>
      <c r="C266" s="84">
        <f t="shared" si="33"/>
        <v>0.28100000000000003</v>
      </c>
      <c r="D266" s="84">
        <f t="shared" si="33"/>
        <v>0.32600000000000001</v>
      </c>
      <c r="E266" s="84">
        <f t="shared" si="33"/>
        <v>6.0999999999999999E-2</v>
      </c>
      <c r="F266" s="84">
        <f t="shared" si="33"/>
        <v>2.5999999999999999E-2</v>
      </c>
      <c r="G266" s="85">
        <v>0.28100000000000003</v>
      </c>
      <c r="H266" s="85">
        <v>0.32600000000000001</v>
      </c>
      <c r="I266" s="85">
        <v>6.0999999999999999E-2</v>
      </c>
      <c r="J266" s="85">
        <v>2.5999999999999999E-2</v>
      </c>
      <c r="K266" s="25">
        <f>(L266*4)</f>
        <v>11043</v>
      </c>
      <c r="L266" s="93">
        <f>L254*1.05</f>
        <v>2760.66</v>
      </c>
      <c r="M266" s="80">
        <f t="shared" si="28"/>
        <v>0.6</v>
      </c>
      <c r="N266" s="80">
        <v>0.26</v>
      </c>
      <c r="O266" s="80">
        <f t="shared" si="29"/>
        <v>0.61</v>
      </c>
      <c r="P266" s="80">
        <v>0.34620000000000001</v>
      </c>
      <c r="Q266" s="80">
        <v>0.69640000000000002</v>
      </c>
      <c r="R266" s="80">
        <v>0.6</v>
      </c>
      <c r="S266" s="80">
        <v>0.61</v>
      </c>
    </row>
    <row r="267" spans="1:19">
      <c r="A267" s="19">
        <f t="shared" si="32"/>
        <v>45565</v>
      </c>
      <c r="B267" s="19">
        <f t="shared" si="31"/>
        <v>45929</v>
      </c>
      <c r="C267" s="84">
        <f t="shared" si="33"/>
        <v>0.28100000000000003</v>
      </c>
      <c r="D267" s="84">
        <f t="shared" si="33"/>
        <v>0.32600000000000001</v>
      </c>
      <c r="E267" s="84">
        <f t="shared" si="33"/>
        <v>6.0999999999999999E-2</v>
      </c>
      <c r="F267" s="84">
        <f t="shared" si="33"/>
        <v>2.5999999999999999E-2</v>
      </c>
      <c r="G267" s="85">
        <v>0.28100000000000003</v>
      </c>
      <c r="H267" s="85">
        <v>0.32600000000000001</v>
      </c>
      <c r="I267" s="85">
        <v>6.0999999999999999E-2</v>
      </c>
      <c r="J267" s="85">
        <v>2.5999999999999999E-2</v>
      </c>
      <c r="K267" s="25">
        <f>((11/3)*L266)+((1/3)*L278)</f>
        <v>11089</v>
      </c>
      <c r="L267" s="93"/>
      <c r="M267" s="80">
        <f t="shared" si="28"/>
        <v>0.6</v>
      </c>
      <c r="N267" s="80">
        <v>0.26</v>
      </c>
      <c r="O267" s="80">
        <f t="shared" si="29"/>
        <v>0.61</v>
      </c>
      <c r="P267" s="80">
        <v>0.34620000000000001</v>
      </c>
      <c r="Q267" s="80">
        <v>0.69640000000000002</v>
      </c>
      <c r="R267" s="80">
        <v>0.6</v>
      </c>
      <c r="S267" s="80">
        <v>0.61</v>
      </c>
    </row>
    <row r="268" spans="1:19">
      <c r="A268" s="19">
        <f t="shared" si="32"/>
        <v>45596</v>
      </c>
      <c r="B268" s="19">
        <f t="shared" si="31"/>
        <v>45960</v>
      </c>
      <c r="C268" s="84">
        <f t="shared" si="33"/>
        <v>0.28100000000000003</v>
      </c>
      <c r="D268" s="84">
        <f t="shared" si="33"/>
        <v>0.32600000000000001</v>
      </c>
      <c r="E268" s="84">
        <f t="shared" si="33"/>
        <v>6.0999999999999999E-2</v>
      </c>
      <c r="F268" s="84">
        <f t="shared" si="33"/>
        <v>2.5999999999999999E-2</v>
      </c>
      <c r="G268" s="85">
        <v>0.28100000000000003</v>
      </c>
      <c r="H268" s="85">
        <v>0.32600000000000001</v>
      </c>
      <c r="I268" s="85">
        <v>6.0999999999999999E-2</v>
      </c>
      <c r="J268" s="85">
        <v>2.5999999999999999E-2</v>
      </c>
      <c r="K268" s="25">
        <f>((10/3)*L266)+((2/3)*L278)</f>
        <v>11135</v>
      </c>
      <c r="L268" s="93"/>
      <c r="M268" s="80">
        <f t="shared" si="28"/>
        <v>0.6</v>
      </c>
      <c r="N268" s="80">
        <v>0.26</v>
      </c>
      <c r="O268" s="80">
        <f t="shared" si="29"/>
        <v>0.61</v>
      </c>
      <c r="P268" s="80">
        <v>0.34620000000000001</v>
      </c>
      <c r="Q268" s="80">
        <v>0.69640000000000002</v>
      </c>
      <c r="R268" s="80">
        <v>0.6</v>
      </c>
      <c r="S268" s="80">
        <v>0.61</v>
      </c>
    </row>
    <row r="269" spans="1:19">
      <c r="A269" s="19">
        <f t="shared" si="32"/>
        <v>45626</v>
      </c>
      <c r="B269" s="19">
        <f t="shared" si="31"/>
        <v>45990</v>
      </c>
      <c r="C269" s="84">
        <f t="shared" si="33"/>
        <v>0.28100000000000003</v>
      </c>
      <c r="D269" s="84">
        <f t="shared" si="33"/>
        <v>0.32600000000000001</v>
      </c>
      <c r="E269" s="84">
        <f t="shared" si="33"/>
        <v>6.0999999999999999E-2</v>
      </c>
      <c r="F269" s="84">
        <f t="shared" si="33"/>
        <v>2.5999999999999999E-2</v>
      </c>
      <c r="G269" s="85">
        <v>0.28100000000000003</v>
      </c>
      <c r="H269" s="85">
        <v>0.32600000000000001</v>
      </c>
      <c r="I269" s="85">
        <v>6.0999999999999999E-2</v>
      </c>
      <c r="J269" s="85">
        <v>2.5999999999999999E-2</v>
      </c>
      <c r="K269" s="25">
        <f>((9/3)*L266)+((3/3)*L278)</f>
        <v>11181</v>
      </c>
      <c r="L269" s="93"/>
      <c r="M269" s="80">
        <f t="shared" si="28"/>
        <v>0.6</v>
      </c>
      <c r="N269" s="80">
        <v>0.26</v>
      </c>
      <c r="O269" s="80">
        <f t="shared" si="29"/>
        <v>0.61</v>
      </c>
      <c r="P269" s="80">
        <v>0.34620000000000001</v>
      </c>
      <c r="Q269" s="80">
        <v>0.69640000000000002</v>
      </c>
      <c r="R269" s="80">
        <v>0.6</v>
      </c>
      <c r="S269" s="80">
        <v>0.61</v>
      </c>
    </row>
    <row r="270" spans="1:19">
      <c r="A270" s="19">
        <f t="shared" si="32"/>
        <v>45657</v>
      </c>
      <c r="B270" s="19">
        <f t="shared" si="31"/>
        <v>46021</v>
      </c>
      <c r="C270" s="84">
        <f t="shared" si="33"/>
        <v>0.28100000000000003</v>
      </c>
      <c r="D270" s="84">
        <f t="shared" si="33"/>
        <v>0.32600000000000001</v>
      </c>
      <c r="E270" s="84">
        <f t="shared" si="33"/>
        <v>6.0999999999999999E-2</v>
      </c>
      <c r="F270" s="84">
        <f t="shared" si="33"/>
        <v>2.5999999999999999E-2</v>
      </c>
      <c r="G270" s="85">
        <v>0.28100000000000003</v>
      </c>
      <c r="H270" s="85">
        <v>0.32600000000000001</v>
      </c>
      <c r="I270" s="85">
        <v>6.0999999999999999E-2</v>
      </c>
      <c r="J270" s="85">
        <v>2.5999999999999999E-2</v>
      </c>
      <c r="K270" s="25">
        <f>((8/3)*L266)+((4/3)*L278)</f>
        <v>11227</v>
      </c>
      <c r="L270" s="93"/>
      <c r="M270" s="80">
        <f t="shared" si="28"/>
        <v>0.6</v>
      </c>
      <c r="N270" s="80">
        <v>0.26</v>
      </c>
      <c r="O270" s="80">
        <f t="shared" si="29"/>
        <v>0.61</v>
      </c>
      <c r="P270" s="80">
        <v>0.34620000000000001</v>
      </c>
      <c r="Q270" s="80">
        <v>0.69640000000000002</v>
      </c>
      <c r="R270" s="80">
        <v>0.6</v>
      </c>
      <c r="S270" s="80">
        <v>0.61</v>
      </c>
    </row>
    <row r="271" spans="1:19">
      <c r="A271" s="19">
        <f t="shared" si="32"/>
        <v>45688</v>
      </c>
      <c r="B271" s="19">
        <f t="shared" si="31"/>
        <v>46052</v>
      </c>
      <c r="C271" s="84">
        <f t="shared" si="33"/>
        <v>0.28100000000000003</v>
      </c>
      <c r="D271" s="84">
        <f t="shared" si="33"/>
        <v>0.32600000000000001</v>
      </c>
      <c r="E271" s="84">
        <f t="shared" si="33"/>
        <v>6.0999999999999999E-2</v>
      </c>
      <c r="F271" s="84">
        <f t="shared" si="33"/>
        <v>2.5999999999999999E-2</v>
      </c>
      <c r="G271" s="85">
        <v>0.28100000000000003</v>
      </c>
      <c r="H271" s="85">
        <v>0.32600000000000001</v>
      </c>
      <c r="I271" s="85">
        <v>6.0999999999999999E-2</v>
      </c>
      <c r="J271" s="85">
        <v>2.5999999999999999E-2</v>
      </c>
      <c r="K271" s="25">
        <f>((7/3)*L266)+((5/3)*L278)</f>
        <v>11273</v>
      </c>
      <c r="L271" s="93"/>
      <c r="M271" s="80">
        <f t="shared" si="28"/>
        <v>0.6</v>
      </c>
      <c r="N271" s="80">
        <v>0.26</v>
      </c>
      <c r="O271" s="80">
        <f t="shared" si="29"/>
        <v>0.61</v>
      </c>
      <c r="P271" s="80">
        <v>0.34620000000000001</v>
      </c>
      <c r="Q271" s="80">
        <v>0.69640000000000002</v>
      </c>
      <c r="R271" s="80">
        <v>0.6</v>
      </c>
      <c r="S271" s="80">
        <v>0.61</v>
      </c>
    </row>
    <row r="272" spans="1:19">
      <c r="A272" s="19">
        <f t="shared" si="32"/>
        <v>45716</v>
      </c>
      <c r="B272" s="19">
        <f t="shared" si="31"/>
        <v>46080</v>
      </c>
      <c r="C272" s="84">
        <f t="shared" si="33"/>
        <v>0.28100000000000003</v>
      </c>
      <c r="D272" s="84">
        <f t="shared" si="33"/>
        <v>0.32600000000000001</v>
      </c>
      <c r="E272" s="84">
        <f t="shared" si="33"/>
        <v>6.0999999999999999E-2</v>
      </c>
      <c r="F272" s="84">
        <f t="shared" si="33"/>
        <v>2.5999999999999999E-2</v>
      </c>
      <c r="G272" s="85">
        <v>0.28100000000000003</v>
      </c>
      <c r="H272" s="85">
        <v>0.32600000000000001</v>
      </c>
      <c r="I272" s="85">
        <v>6.0999999999999999E-2</v>
      </c>
      <c r="J272" s="85">
        <v>2.5999999999999999E-2</v>
      </c>
      <c r="K272" s="25">
        <f>((6/3)*L266)+((6/3)*L278)</f>
        <v>11319</v>
      </c>
      <c r="L272" s="93"/>
      <c r="M272" s="80">
        <f t="shared" si="28"/>
        <v>0.6</v>
      </c>
      <c r="N272" s="80">
        <v>0.26</v>
      </c>
      <c r="O272" s="80">
        <f t="shared" si="29"/>
        <v>0.61</v>
      </c>
      <c r="P272" s="80">
        <v>0.34620000000000001</v>
      </c>
      <c r="Q272" s="80">
        <v>0.69640000000000002</v>
      </c>
      <c r="R272" s="80">
        <v>0.6</v>
      </c>
      <c r="S272" s="80">
        <v>0.61</v>
      </c>
    </row>
    <row r="273" spans="1:19">
      <c r="A273" s="19">
        <f t="shared" si="32"/>
        <v>45747</v>
      </c>
      <c r="B273" s="19">
        <f t="shared" si="31"/>
        <v>46111</v>
      </c>
      <c r="C273" s="84">
        <f t="shared" si="33"/>
        <v>0.28100000000000003</v>
      </c>
      <c r="D273" s="84">
        <f t="shared" si="33"/>
        <v>0.32600000000000001</v>
      </c>
      <c r="E273" s="84">
        <f t="shared" si="33"/>
        <v>6.0999999999999999E-2</v>
      </c>
      <c r="F273" s="84">
        <f t="shared" si="33"/>
        <v>2.5999999999999999E-2</v>
      </c>
      <c r="G273" s="85">
        <v>0.28100000000000003</v>
      </c>
      <c r="H273" s="85">
        <v>0.32600000000000001</v>
      </c>
      <c r="I273" s="85">
        <v>6.0999999999999999E-2</v>
      </c>
      <c r="J273" s="85">
        <v>2.5999999999999999E-2</v>
      </c>
      <c r="K273" s="25">
        <f>((5/3)*L266)+((7/3)*L278)</f>
        <v>11365</v>
      </c>
      <c r="L273" s="93"/>
      <c r="M273" s="80">
        <f t="shared" si="28"/>
        <v>0.6</v>
      </c>
      <c r="N273" s="80">
        <v>0.26</v>
      </c>
      <c r="O273" s="80">
        <f t="shared" si="29"/>
        <v>0.61</v>
      </c>
      <c r="P273" s="80">
        <v>0.34620000000000001</v>
      </c>
      <c r="Q273" s="80">
        <v>0.69640000000000002</v>
      </c>
      <c r="R273" s="80">
        <v>0.6</v>
      </c>
      <c r="S273" s="80">
        <v>0.61</v>
      </c>
    </row>
    <row r="274" spans="1:19">
      <c r="A274" s="19">
        <f t="shared" si="32"/>
        <v>45777</v>
      </c>
      <c r="B274" s="19">
        <f t="shared" si="31"/>
        <v>46141</v>
      </c>
      <c r="C274" s="84">
        <f t="shared" si="33"/>
        <v>0.28100000000000003</v>
      </c>
      <c r="D274" s="84">
        <f t="shared" si="33"/>
        <v>0.32600000000000001</v>
      </c>
      <c r="E274" s="84">
        <f t="shared" si="33"/>
        <v>6.0999999999999999E-2</v>
      </c>
      <c r="F274" s="84">
        <f t="shared" si="33"/>
        <v>2.5999999999999999E-2</v>
      </c>
      <c r="G274" s="85">
        <v>0.28100000000000003</v>
      </c>
      <c r="H274" s="85">
        <v>0.32600000000000001</v>
      </c>
      <c r="I274" s="85">
        <v>6.0999999999999999E-2</v>
      </c>
      <c r="J274" s="85">
        <v>2.5999999999999999E-2</v>
      </c>
      <c r="K274" s="25">
        <f>((4/3)*L266)+((8/3)*L278)</f>
        <v>11411</v>
      </c>
      <c r="L274" s="93"/>
      <c r="M274" s="80">
        <f t="shared" si="28"/>
        <v>0.6</v>
      </c>
      <c r="N274" s="80">
        <v>0.26</v>
      </c>
      <c r="O274" s="80">
        <f t="shared" si="29"/>
        <v>0.61</v>
      </c>
      <c r="P274" s="80">
        <v>0.34620000000000001</v>
      </c>
      <c r="Q274" s="80">
        <v>0.69640000000000002</v>
      </c>
      <c r="R274" s="80">
        <v>0.6</v>
      </c>
      <c r="S274" s="80">
        <v>0.61</v>
      </c>
    </row>
    <row r="275" spans="1:19">
      <c r="A275" s="19">
        <f t="shared" si="32"/>
        <v>45808</v>
      </c>
      <c r="B275" s="19">
        <f t="shared" si="31"/>
        <v>46172</v>
      </c>
      <c r="C275" s="84">
        <f t="shared" ref="C275:F290" si="34">AVERAGE(G275:G286)</f>
        <v>0.28100000000000003</v>
      </c>
      <c r="D275" s="84">
        <f t="shared" si="34"/>
        <v>0.32600000000000001</v>
      </c>
      <c r="E275" s="84">
        <f t="shared" si="34"/>
        <v>6.0999999999999999E-2</v>
      </c>
      <c r="F275" s="84">
        <f t="shared" si="34"/>
        <v>2.5999999999999999E-2</v>
      </c>
      <c r="G275" s="85">
        <v>0.28100000000000003</v>
      </c>
      <c r="H275" s="85">
        <v>0.32600000000000001</v>
      </c>
      <c r="I275" s="85">
        <v>6.0999999999999999E-2</v>
      </c>
      <c r="J275" s="85">
        <v>2.5999999999999999E-2</v>
      </c>
      <c r="K275" s="25">
        <f>((3/3)*L266)+((9/3)*L278)</f>
        <v>11457</v>
      </c>
      <c r="L275" s="93"/>
      <c r="M275" s="80">
        <f t="shared" si="28"/>
        <v>0.6</v>
      </c>
      <c r="N275" s="80">
        <v>0.26</v>
      </c>
      <c r="O275" s="80">
        <f t="shared" si="29"/>
        <v>0.61</v>
      </c>
      <c r="P275" s="80">
        <v>0.34620000000000001</v>
      </c>
      <c r="Q275" s="80">
        <v>0.69640000000000002</v>
      </c>
      <c r="R275" s="80">
        <v>0.6</v>
      </c>
      <c r="S275" s="80">
        <v>0.61</v>
      </c>
    </row>
    <row r="276" spans="1:19">
      <c r="A276" s="19">
        <f t="shared" si="32"/>
        <v>45838</v>
      </c>
      <c r="B276" s="19">
        <f t="shared" si="31"/>
        <v>46202</v>
      </c>
      <c r="C276" s="84">
        <f t="shared" si="34"/>
        <v>0.28100000000000003</v>
      </c>
      <c r="D276" s="84">
        <f t="shared" si="34"/>
        <v>0.32600000000000001</v>
      </c>
      <c r="E276" s="84">
        <f t="shared" si="34"/>
        <v>6.0999999999999999E-2</v>
      </c>
      <c r="F276" s="84">
        <f t="shared" si="34"/>
        <v>2.5999999999999999E-2</v>
      </c>
      <c r="G276" s="85">
        <v>0.28100000000000003</v>
      </c>
      <c r="H276" s="85">
        <v>0.32600000000000001</v>
      </c>
      <c r="I276" s="85">
        <v>6.0999999999999999E-2</v>
      </c>
      <c r="J276" s="85">
        <v>2.5999999999999999E-2</v>
      </c>
      <c r="K276" s="25">
        <f>((2/3)*L266)+((10/3)*L278)</f>
        <v>11503</v>
      </c>
      <c r="L276" s="93"/>
      <c r="M276" s="80">
        <f t="shared" si="28"/>
        <v>0.6</v>
      </c>
      <c r="N276" s="80">
        <v>0.26</v>
      </c>
      <c r="O276" s="80">
        <f t="shared" si="29"/>
        <v>0.61</v>
      </c>
      <c r="P276" s="80">
        <v>0.34620000000000001</v>
      </c>
      <c r="Q276" s="80">
        <v>0.69640000000000002</v>
      </c>
      <c r="R276" s="80">
        <v>0.6</v>
      </c>
      <c r="S276" s="80">
        <v>0.61</v>
      </c>
    </row>
    <row r="277" spans="1:19">
      <c r="A277" s="19">
        <f t="shared" si="32"/>
        <v>45869</v>
      </c>
      <c r="B277" s="19">
        <f t="shared" si="31"/>
        <v>46233</v>
      </c>
      <c r="C277" s="81">
        <f t="shared" si="34"/>
        <v>0.28100000000000003</v>
      </c>
      <c r="D277" s="81">
        <f t="shared" si="34"/>
        <v>0.32600000000000001</v>
      </c>
      <c r="E277" s="81">
        <f t="shared" si="34"/>
        <v>6.0999999999999999E-2</v>
      </c>
      <c r="F277" s="81">
        <f t="shared" si="34"/>
        <v>2.5999999999999999E-2</v>
      </c>
      <c r="G277" s="85">
        <v>0.28100000000000003</v>
      </c>
      <c r="H277" s="85">
        <v>0.32600000000000001</v>
      </c>
      <c r="I277" s="85">
        <v>6.0999999999999999E-2</v>
      </c>
      <c r="J277" s="85">
        <v>2.5999999999999999E-2</v>
      </c>
      <c r="K277" s="25">
        <f>((1/3)*L266)+((11/3)*L278)</f>
        <v>11549</v>
      </c>
      <c r="L277" s="93"/>
      <c r="M277" s="80">
        <f t="shared" si="28"/>
        <v>0.6</v>
      </c>
      <c r="N277" s="80">
        <v>0.26</v>
      </c>
      <c r="O277" s="80">
        <f t="shared" si="29"/>
        <v>0.61</v>
      </c>
      <c r="P277" s="80">
        <v>0.34620000000000001</v>
      </c>
      <c r="Q277" s="80">
        <v>0.69640000000000002</v>
      </c>
      <c r="R277" s="80">
        <v>0.6</v>
      </c>
      <c r="S277" s="80">
        <v>0.61</v>
      </c>
    </row>
    <row r="278" spans="1:19" s="78" customFormat="1">
      <c r="A278" s="77">
        <f t="shared" si="32"/>
        <v>45900</v>
      </c>
      <c r="B278" s="77">
        <f t="shared" si="31"/>
        <v>46264</v>
      </c>
      <c r="C278" s="86">
        <f t="shared" si="34"/>
        <v>0.28100000000000003</v>
      </c>
      <c r="D278" s="86">
        <f t="shared" si="34"/>
        <v>0.32600000000000001</v>
      </c>
      <c r="E278" s="86">
        <f t="shared" si="34"/>
        <v>6.0999999999999999E-2</v>
      </c>
      <c r="F278" s="86">
        <f t="shared" si="34"/>
        <v>2.5999999999999999E-2</v>
      </c>
      <c r="G278" s="87">
        <v>0.28100000000000003</v>
      </c>
      <c r="H278" s="87">
        <v>0.32600000000000001</v>
      </c>
      <c r="I278" s="87">
        <v>6.0999999999999999E-2</v>
      </c>
      <c r="J278" s="87">
        <v>2.5999999999999999E-2</v>
      </c>
      <c r="K278" s="76">
        <f>(L278*4)</f>
        <v>11595</v>
      </c>
      <c r="L278" s="94">
        <f>L266*1.05</f>
        <v>2898.69</v>
      </c>
      <c r="M278" s="353">
        <f t="shared" si="28"/>
        <v>0.6</v>
      </c>
      <c r="N278" s="353">
        <v>0.26</v>
      </c>
      <c r="O278" s="353">
        <f t="shared" si="29"/>
        <v>0.61</v>
      </c>
      <c r="P278" s="353">
        <v>0.34620000000000001</v>
      </c>
      <c r="Q278" s="353">
        <v>0.69640000000000002</v>
      </c>
      <c r="R278" s="353">
        <v>0.6</v>
      </c>
      <c r="S278" s="353">
        <v>0.61</v>
      </c>
    </row>
    <row r="279" spans="1:19" s="78" customFormat="1">
      <c r="A279" s="77">
        <f t="shared" si="32"/>
        <v>45930</v>
      </c>
      <c r="B279" s="77">
        <f t="shared" si="31"/>
        <v>46294</v>
      </c>
      <c r="C279" s="86">
        <f t="shared" si="34"/>
        <v>0.28100000000000003</v>
      </c>
      <c r="D279" s="86">
        <f t="shared" si="34"/>
        <v>0.32600000000000001</v>
      </c>
      <c r="E279" s="86">
        <f t="shared" si="34"/>
        <v>6.0999999999999999E-2</v>
      </c>
      <c r="F279" s="86">
        <f t="shared" si="34"/>
        <v>2.5999999999999999E-2</v>
      </c>
      <c r="G279" s="87">
        <v>0.28100000000000003</v>
      </c>
      <c r="H279" s="87">
        <v>0.32600000000000001</v>
      </c>
      <c r="I279" s="87">
        <v>6.0999999999999999E-2</v>
      </c>
      <c r="J279" s="87">
        <v>2.5999999999999999E-2</v>
      </c>
      <c r="K279" s="76">
        <f>((11/3)*L278)+((1/3)*L290)</f>
        <v>11643</v>
      </c>
      <c r="L279" s="94"/>
      <c r="M279" s="353">
        <f t="shared" si="28"/>
        <v>0.6</v>
      </c>
      <c r="N279" s="353">
        <v>0.26</v>
      </c>
      <c r="O279" s="353">
        <f t="shared" si="29"/>
        <v>0.61</v>
      </c>
      <c r="P279" s="353">
        <v>0.34620000000000001</v>
      </c>
      <c r="Q279" s="353">
        <v>0.69640000000000002</v>
      </c>
      <c r="R279" s="353">
        <v>0.6</v>
      </c>
      <c r="S279" s="353">
        <v>0.61</v>
      </c>
    </row>
    <row r="280" spans="1:19" s="78" customFormat="1">
      <c r="A280" s="77">
        <f t="shared" si="32"/>
        <v>45961</v>
      </c>
      <c r="B280" s="77">
        <f t="shared" si="31"/>
        <v>46325</v>
      </c>
      <c r="C280" s="86">
        <f t="shared" si="34"/>
        <v>0.28100000000000003</v>
      </c>
      <c r="D280" s="86">
        <f t="shared" si="34"/>
        <v>0.32600000000000001</v>
      </c>
      <c r="E280" s="86">
        <f t="shared" si="34"/>
        <v>6.0999999999999999E-2</v>
      </c>
      <c r="F280" s="86">
        <f t="shared" si="34"/>
        <v>2.5999999999999999E-2</v>
      </c>
      <c r="G280" s="87">
        <v>0.28100000000000003</v>
      </c>
      <c r="H280" s="87">
        <v>0.32600000000000001</v>
      </c>
      <c r="I280" s="87">
        <v>6.0999999999999999E-2</v>
      </c>
      <c r="J280" s="87">
        <v>2.5999999999999999E-2</v>
      </c>
      <c r="K280" s="76">
        <f>((10/3)*L278)+((2/3)*L290)</f>
        <v>11691</v>
      </c>
      <c r="L280" s="94"/>
      <c r="M280" s="353">
        <f t="shared" si="28"/>
        <v>0.6</v>
      </c>
      <c r="N280" s="353">
        <v>0.26</v>
      </c>
      <c r="O280" s="353">
        <f t="shared" si="29"/>
        <v>0.61</v>
      </c>
      <c r="P280" s="353">
        <v>0.34620000000000001</v>
      </c>
      <c r="Q280" s="353">
        <v>0.69640000000000002</v>
      </c>
      <c r="R280" s="353">
        <v>0.6</v>
      </c>
      <c r="S280" s="353">
        <v>0.61</v>
      </c>
    </row>
    <row r="281" spans="1:19" s="78" customFormat="1">
      <c r="A281" s="77">
        <f t="shared" si="32"/>
        <v>45991</v>
      </c>
      <c r="B281" s="77">
        <f t="shared" si="31"/>
        <v>46355</v>
      </c>
      <c r="C281" s="86">
        <f t="shared" si="34"/>
        <v>0.28100000000000003</v>
      </c>
      <c r="D281" s="86">
        <f t="shared" si="34"/>
        <v>0.32600000000000001</v>
      </c>
      <c r="E281" s="86">
        <f t="shared" si="34"/>
        <v>6.0999999999999999E-2</v>
      </c>
      <c r="F281" s="86">
        <f t="shared" si="34"/>
        <v>2.5999999999999999E-2</v>
      </c>
      <c r="G281" s="87">
        <v>0.28100000000000003</v>
      </c>
      <c r="H281" s="87">
        <v>0.32600000000000001</v>
      </c>
      <c r="I281" s="87">
        <v>6.0999999999999999E-2</v>
      </c>
      <c r="J281" s="87">
        <v>2.5999999999999999E-2</v>
      </c>
      <c r="K281" s="76">
        <f>((9/3)*L278)+((3/3)*L290)</f>
        <v>11740</v>
      </c>
      <c r="L281" s="94"/>
      <c r="M281" s="353">
        <f t="shared" si="28"/>
        <v>0.6</v>
      </c>
      <c r="N281" s="353">
        <v>0.26</v>
      </c>
      <c r="O281" s="353">
        <f t="shared" si="29"/>
        <v>0.61</v>
      </c>
      <c r="P281" s="353">
        <v>0.34620000000000001</v>
      </c>
      <c r="Q281" s="353">
        <v>0.69640000000000002</v>
      </c>
      <c r="R281" s="353">
        <v>0.6</v>
      </c>
      <c r="S281" s="353">
        <v>0.61</v>
      </c>
    </row>
    <row r="282" spans="1:19" s="78" customFormat="1">
      <c r="A282" s="77">
        <f t="shared" si="32"/>
        <v>46022</v>
      </c>
      <c r="B282" s="77">
        <f t="shared" si="31"/>
        <v>46386</v>
      </c>
      <c r="C282" s="86">
        <f t="shared" si="34"/>
        <v>0.28100000000000003</v>
      </c>
      <c r="D282" s="86">
        <f t="shared" si="34"/>
        <v>0.32600000000000001</v>
      </c>
      <c r="E282" s="86">
        <f t="shared" si="34"/>
        <v>6.0999999999999999E-2</v>
      </c>
      <c r="F282" s="86">
        <f t="shared" si="34"/>
        <v>2.5999999999999999E-2</v>
      </c>
      <c r="G282" s="87">
        <v>0.28100000000000003</v>
      </c>
      <c r="H282" s="87">
        <v>0.32600000000000001</v>
      </c>
      <c r="I282" s="87">
        <v>6.0999999999999999E-2</v>
      </c>
      <c r="J282" s="87">
        <v>2.5999999999999999E-2</v>
      </c>
      <c r="K282" s="76">
        <f>((8/3)*L278)+((4/3)*L290)</f>
        <v>11788</v>
      </c>
      <c r="L282" s="94"/>
      <c r="M282" s="353">
        <f t="shared" si="28"/>
        <v>0.6</v>
      </c>
      <c r="N282" s="353">
        <v>0.26</v>
      </c>
      <c r="O282" s="353">
        <f t="shared" si="29"/>
        <v>0.61</v>
      </c>
      <c r="P282" s="353">
        <v>0.34620000000000001</v>
      </c>
      <c r="Q282" s="353">
        <v>0.69640000000000002</v>
      </c>
      <c r="R282" s="353">
        <v>0.6</v>
      </c>
      <c r="S282" s="353">
        <v>0.61</v>
      </c>
    </row>
    <row r="283" spans="1:19" s="78" customFormat="1">
      <c r="A283" s="77">
        <f t="shared" si="32"/>
        <v>46053</v>
      </c>
      <c r="B283" s="77">
        <f t="shared" si="31"/>
        <v>46417</v>
      </c>
      <c r="C283" s="86">
        <f t="shared" si="34"/>
        <v>0.28100000000000003</v>
      </c>
      <c r="D283" s="86">
        <f t="shared" si="34"/>
        <v>0.32600000000000001</v>
      </c>
      <c r="E283" s="86">
        <f t="shared" si="34"/>
        <v>6.0999999999999999E-2</v>
      </c>
      <c r="F283" s="86">
        <f t="shared" si="34"/>
        <v>2.5999999999999999E-2</v>
      </c>
      <c r="G283" s="87">
        <v>0.28100000000000003</v>
      </c>
      <c r="H283" s="87">
        <v>0.32600000000000001</v>
      </c>
      <c r="I283" s="87">
        <v>6.0999999999999999E-2</v>
      </c>
      <c r="J283" s="87">
        <v>2.5999999999999999E-2</v>
      </c>
      <c r="K283" s="76">
        <f>((7/3)*L278)+((5/3)*L290)</f>
        <v>11836</v>
      </c>
      <c r="L283" s="94"/>
      <c r="M283" s="353">
        <f t="shared" si="28"/>
        <v>0.6</v>
      </c>
      <c r="N283" s="353">
        <v>0.26</v>
      </c>
      <c r="O283" s="353">
        <f t="shared" si="29"/>
        <v>0.61</v>
      </c>
      <c r="P283" s="353">
        <v>0.34620000000000001</v>
      </c>
      <c r="Q283" s="353">
        <v>0.69640000000000002</v>
      </c>
      <c r="R283" s="353">
        <v>0.6</v>
      </c>
      <c r="S283" s="353">
        <v>0.61</v>
      </c>
    </row>
    <row r="284" spans="1:19" s="78" customFormat="1">
      <c r="A284" s="77">
        <f t="shared" si="32"/>
        <v>46081</v>
      </c>
      <c r="B284" s="77">
        <f t="shared" si="31"/>
        <v>46445</v>
      </c>
      <c r="C284" s="86">
        <f t="shared" si="34"/>
        <v>0.28100000000000003</v>
      </c>
      <c r="D284" s="86">
        <f t="shared" si="34"/>
        <v>0.32600000000000001</v>
      </c>
      <c r="E284" s="86">
        <f t="shared" si="34"/>
        <v>6.0999999999999999E-2</v>
      </c>
      <c r="F284" s="86">
        <f t="shared" si="34"/>
        <v>2.5999999999999999E-2</v>
      </c>
      <c r="G284" s="87">
        <v>0.28100000000000003</v>
      </c>
      <c r="H284" s="87">
        <v>0.32600000000000001</v>
      </c>
      <c r="I284" s="87">
        <v>6.0999999999999999E-2</v>
      </c>
      <c r="J284" s="87">
        <v>2.5999999999999999E-2</v>
      </c>
      <c r="K284" s="76">
        <f>((6/3)*L278)+((6/3)*L290)</f>
        <v>11885</v>
      </c>
      <c r="L284" s="94"/>
      <c r="M284" s="353">
        <f t="shared" si="28"/>
        <v>0.6</v>
      </c>
      <c r="N284" s="353">
        <v>0.26</v>
      </c>
      <c r="O284" s="353">
        <f t="shared" si="29"/>
        <v>0.61</v>
      </c>
      <c r="P284" s="353">
        <v>0.34620000000000001</v>
      </c>
      <c r="Q284" s="353">
        <v>0.69640000000000002</v>
      </c>
      <c r="R284" s="353">
        <v>0.6</v>
      </c>
      <c r="S284" s="353">
        <v>0.61</v>
      </c>
    </row>
    <row r="285" spans="1:19" s="78" customFormat="1">
      <c r="A285" s="77">
        <f t="shared" si="32"/>
        <v>46112</v>
      </c>
      <c r="B285" s="77">
        <f t="shared" si="31"/>
        <v>46476</v>
      </c>
      <c r="C285" s="86">
        <f t="shared" si="34"/>
        <v>0.28100000000000003</v>
      </c>
      <c r="D285" s="86">
        <f t="shared" si="34"/>
        <v>0.32600000000000001</v>
      </c>
      <c r="E285" s="86">
        <f t="shared" si="34"/>
        <v>6.0999999999999999E-2</v>
      </c>
      <c r="F285" s="86">
        <f t="shared" si="34"/>
        <v>2.5999999999999999E-2</v>
      </c>
      <c r="G285" s="87">
        <v>0.28100000000000003</v>
      </c>
      <c r="H285" s="87">
        <v>0.32600000000000001</v>
      </c>
      <c r="I285" s="87">
        <v>6.0999999999999999E-2</v>
      </c>
      <c r="J285" s="87">
        <v>2.5999999999999999E-2</v>
      </c>
      <c r="K285" s="76">
        <f>((5/3)*L278)+((7/3)*L290)</f>
        <v>11933</v>
      </c>
      <c r="L285" s="94"/>
      <c r="M285" s="353">
        <f t="shared" si="28"/>
        <v>0.6</v>
      </c>
      <c r="N285" s="353">
        <v>0.26</v>
      </c>
      <c r="O285" s="353">
        <f t="shared" si="29"/>
        <v>0.61</v>
      </c>
      <c r="P285" s="353">
        <v>0.34620000000000001</v>
      </c>
      <c r="Q285" s="353">
        <v>0.69640000000000002</v>
      </c>
      <c r="R285" s="353">
        <v>0.6</v>
      </c>
      <c r="S285" s="353">
        <v>0.61</v>
      </c>
    </row>
    <row r="286" spans="1:19" s="78" customFormat="1">
      <c r="A286" s="77">
        <f t="shared" si="32"/>
        <v>46142</v>
      </c>
      <c r="B286" s="77">
        <f t="shared" si="31"/>
        <v>46506</v>
      </c>
      <c r="C286" s="86">
        <f t="shared" si="34"/>
        <v>0.28100000000000003</v>
      </c>
      <c r="D286" s="86">
        <f t="shared" si="34"/>
        <v>0.32600000000000001</v>
      </c>
      <c r="E286" s="86">
        <f t="shared" si="34"/>
        <v>6.0999999999999999E-2</v>
      </c>
      <c r="F286" s="86">
        <f t="shared" si="34"/>
        <v>2.5999999999999999E-2</v>
      </c>
      <c r="G286" s="87">
        <v>0.28100000000000003</v>
      </c>
      <c r="H286" s="87">
        <v>0.32600000000000001</v>
      </c>
      <c r="I286" s="87">
        <v>6.0999999999999999E-2</v>
      </c>
      <c r="J286" s="87">
        <v>2.5999999999999999E-2</v>
      </c>
      <c r="K286" s="76">
        <f>((4/3)*L278)+((8/3)*L290)</f>
        <v>11981</v>
      </c>
      <c r="L286" s="94"/>
      <c r="M286" s="353">
        <f t="shared" si="28"/>
        <v>0.6</v>
      </c>
      <c r="N286" s="353">
        <v>0.26</v>
      </c>
      <c r="O286" s="353">
        <f t="shared" si="29"/>
        <v>0.61</v>
      </c>
      <c r="P286" s="353">
        <v>0.34620000000000001</v>
      </c>
      <c r="Q286" s="353">
        <v>0.69640000000000002</v>
      </c>
      <c r="R286" s="353">
        <v>0.6</v>
      </c>
      <c r="S286" s="353">
        <v>0.61</v>
      </c>
    </row>
    <row r="287" spans="1:19" s="78" customFormat="1">
      <c r="A287" s="77">
        <f t="shared" si="32"/>
        <v>46173</v>
      </c>
      <c r="B287" s="77">
        <f t="shared" si="31"/>
        <v>46537</v>
      </c>
      <c r="C287" s="86">
        <f t="shared" si="34"/>
        <v>0.28100000000000003</v>
      </c>
      <c r="D287" s="86">
        <f t="shared" si="34"/>
        <v>0.32600000000000001</v>
      </c>
      <c r="E287" s="86">
        <f t="shared" si="34"/>
        <v>6.0999999999999999E-2</v>
      </c>
      <c r="F287" s="86">
        <f t="shared" si="34"/>
        <v>2.5999999999999999E-2</v>
      </c>
      <c r="G287" s="87">
        <v>0.28100000000000003</v>
      </c>
      <c r="H287" s="87">
        <v>0.32600000000000001</v>
      </c>
      <c r="I287" s="87">
        <v>6.0999999999999999E-2</v>
      </c>
      <c r="J287" s="87">
        <v>2.5999999999999999E-2</v>
      </c>
      <c r="K287" s="76">
        <f>((3/3)*L278)+((9/3)*L290)</f>
        <v>12030</v>
      </c>
      <c r="L287" s="94"/>
      <c r="M287" s="353">
        <f t="shared" si="28"/>
        <v>0.6</v>
      </c>
      <c r="N287" s="353">
        <v>0.26</v>
      </c>
      <c r="O287" s="353">
        <f t="shared" si="29"/>
        <v>0.61</v>
      </c>
      <c r="P287" s="353">
        <v>0.34620000000000001</v>
      </c>
      <c r="Q287" s="353">
        <v>0.69640000000000002</v>
      </c>
      <c r="R287" s="353">
        <v>0.6</v>
      </c>
      <c r="S287" s="353">
        <v>0.61</v>
      </c>
    </row>
    <row r="288" spans="1:19" s="78" customFormat="1">
      <c r="A288" s="77">
        <f t="shared" si="32"/>
        <v>46203</v>
      </c>
      <c r="B288" s="77">
        <f t="shared" si="31"/>
        <v>46567</v>
      </c>
      <c r="C288" s="86">
        <f t="shared" si="34"/>
        <v>0.28100000000000003</v>
      </c>
      <c r="D288" s="86">
        <f t="shared" si="34"/>
        <v>0.32600000000000001</v>
      </c>
      <c r="E288" s="86">
        <f t="shared" si="34"/>
        <v>6.0999999999999999E-2</v>
      </c>
      <c r="F288" s="86">
        <f t="shared" si="34"/>
        <v>2.5999999999999999E-2</v>
      </c>
      <c r="G288" s="87">
        <v>0.28100000000000003</v>
      </c>
      <c r="H288" s="87">
        <v>0.32600000000000001</v>
      </c>
      <c r="I288" s="87">
        <v>6.0999999999999999E-2</v>
      </c>
      <c r="J288" s="87">
        <v>2.5999999999999999E-2</v>
      </c>
      <c r="K288" s="76">
        <f>((2/3)*L278)+((10/3)*L290)</f>
        <v>12078</v>
      </c>
      <c r="L288" s="94"/>
      <c r="M288" s="353">
        <f t="shared" si="28"/>
        <v>0.6</v>
      </c>
      <c r="N288" s="353">
        <v>0.26</v>
      </c>
      <c r="O288" s="353">
        <f t="shared" si="29"/>
        <v>0.61</v>
      </c>
      <c r="P288" s="353">
        <v>0.34620000000000001</v>
      </c>
      <c r="Q288" s="353">
        <v>0.69640000000000002</v>
      </c>
      <c r="R288" s="353">
        <v>0.6</v>
      </c>
      <c r="S288" s="353">
        <v>0.61</v>
      </c>
    </row>
    <row r="289" spans="1:19" s="78" customFormat="1">
      <c r="A289" s="77">
        <f t="shared" si="32"/>
        <v>46234</v>
      </c>
      <c r="B289" s="77">
        <f t="shared" si="31"/>
        <v>46598</v>
      </c>
      <c r="C289" s="86">
        <f t="shared" si="34"/>
        <v>0.28100000000000003</v>
      </c>
      <c r="D289" s="86">
        <f t="shared" si="34"/>
        <v>0.32600000000000001</v>
      </c>
      <c r="E289" s="86">
        <f t="shared" si="34"/>
        <v>6.0999999999999999E-2</v>
      </c>
      <c r="F289" s="86">
        <f t="shared" si="34"/>
        <v>2.5999999999999999E-2</v>
      </c>
      <c r="G289" s="87">
        <v>0.28100000000000003</v>
      </c>
      <c r="H289" s="87">
        <v>0.32600000000000001</v>
      </c>
      <c r="I289" s="87">
        <v>6.0999999999999999E-2</v>
      </c>
      <c r="J289" s="87">
        <v>2.5999999999999999E-2</v>
      </c>
      <c r="K289" s="76">
        <f>((1/3)*L278)+((11/3)*L290)</f>
        <v>12126</v>
      </c>
      <c r="L289" s="94"/>
      <c r="M289" s="353">
        <f t="shared" si="28"/>
        <v>0.6</v>
      </c>
      <c r="N289" s="353">
        <v>0.26</v>
      </c>
      <c r="O289" s="353">
        <f t="shared" si="29"/>
        <v>0.61</v>
      </c>
      <c r="P289" s="353">
        <v>0.34620000000000001</v>
      </c>
      <c r="Q289" s="353">
        <v>0.69640000000000002</v>
      </c>
      <c r="R289" s="353">
        <v>0.6</v>
      </c>
      <c r="S289" s="353">
        <v>0.61</v>
      </c>
    </row>
    <row r="290" spans="1:19">
      <c r="A290" s="19">
        <f t="shared" si="32"/>
        <v>46265</v>
      </c>
      <c r="B290" s="19">
        <f t="shared" si="31"/>
        <v>46629</v>
      </c>
      <c r="C290" s="84">
        <f t="shared" si="34"/>
        <v>0.28100000000000003</v>
      </c>
      <c r="D290" s="84">
        <f t="shared" si="34"/>
        <v>0.32600000000000001</v>
      </c>
      <c r="E290" s="84">
        <f t="shared" si="34"/>
        <v>6.0999999999999999E-2</v>
      </c>
      <c r="F290" s="84">
        <f t="shared" si="34"/>
        <v>2.5999999999999999E-2</v>
      </c>
      <c r="G290" s="85">
        <v>0.28100000000000003</v>
      </c>
      <c r="H290" s="85">
        <v>0.32600000000000001</v>
      </c>
      <c r="I290" s="85">
        <v>6.0999999999999999E-2</v>
      </c>
      <c r="J290" s="85">
        <v>2.5999999999999999E-2</v>
      </c>
      <c r="K290" s="25">
        <f>(L290*4)</f>
        <v>12174</v>
      </c>
      <c r="L290" s="93">
        <f>L278*1.05</f>
        <v>3043.62</v>
      </c>
      <c r="M290" s="80">
        <f t="shared" si="28"/>
        <v>0.6</v>
      </c>
      <c r="N290" s="80">
        <v>0.26</v>
      </c>
      <c r="O290" s="80">
        <f t="shared" si="29"/>
        <v>0.61</v>
      </c>
      <c r="P290" s="80">
        <v>0.34620000000000001</v>
      </c>
      <c r="Q290" s="80">
        <v>0.69640000000000002</v>
      </c>
      <c r="R290" s="80">
        <v>0.6</v>
      </c>
      <c r="S290" s="80">
        <v>0.61</v>
      </c>
    </row>
    <row r="291" spans="1:19">
      <c r="A291" s="19">
        <f t="shared" si="32"/>
        <v>46295</v>
      </c>
      <c r="B291" s="19">
        <f t="shared" si="31"/>
        <v>46659</v>
      </c>
      <c r="C291" s="84">
        <f t="shared" ref="C291:F306" si="35">AVERAGE(G291:G302)</f>
        <v>0.28100000000000003</v>
      </c>
      <c r="D291" s="84">
        <f t="shared" si="35"/>
        <v>0.32600000000000001</v>
      </c>
      <c r="E291" s="84">
        <f t="shared" si="35"/>
        <v>6.0999999999999999E-2</v>
      </c>
      <c r="F291" s="84">
        <f t="shared" si="35"/>
        <v>2.5999999999999999E-2</v>
      </c>
      <c r="G291" s="85">
        <v>0.28100000000000003</v>
      </c>
      <c r="H291" s="85">
        <v>0.32600000000000001</v>
      </c>
      <c r="I291" s="85">
        <v>6.0999999999999999E-2</v>
      </c>
      <c r="J291" s="85">
        <v>2.5999999999999999E-2</v>
      </c>
      <c r="K291" s="25">
        <f>((11/3)*L290)+((1/3)*L302)</f>
        <v>12225</v>
      </c>
      <c r="L291" s="93"/>
      <c r="M291" s="80">
        <f t="shared" si="28"/>
        <v>0.6</v>
      </c>
      <c r="N291" s="80">
        <v>0.26</v>
      </c>
      <c r="O291" s="80">
        <f t="shared" si="29"/>
        <v>0.61</v>
      </c>
      <c r="P291" s="80">
        <v>0.34620000000000001</v>
      </c>
      <c r="Q291" s="80">
        <v>0.69640000000000002</v>
      </c>
      <c r="R291" s="80">
        <v>0.6</v>
      </c>
      <c r="S291" s="80">
        <v>0.61</v>
      </c>
    </row>
    <row r="292" spans="1:19">
      <c r="A292" s="19">
        <f t="shared" si="32"/>
        <v>46326</v>
      </c>
      <c r="B292" s="19">
        <f t="shared" si="31"/>
        <v>46690</v>
      </c>
      <c r="C292" s="84">
        <f t="shared" si="35"/>
        <v>0.28100000000000003</v>
      </c>
      <c r="D292" s="84">
        <f t="shared" si="35"/>
        <v>0.32600000000000001</v>
      </c>
      <c r="E292" s="84">
        <f t="shared" si="35"/>
        <v>6.0999999999999999E-2</v>
      </c>
      <c r="F292" s="84">
        <f t="shared" si="35"/>
        <v>2.5999999999999999E-2</v>
      </c>
      <c r="G292" s="85">
        <v>0.28100000000000003</v>
      </c>
      <c r="H292" s="85">
        <v>0.32600000000000001</v>
      </c>
      <c r="I292" s="85">
        <v>6.0999999999999999E-2</v>
      </c>
      <c r="J292" s="85">
        <v>2.5999999999999999E-2</v>
      </c>
      <c r="K292" s="25">
        <f>((10/3)*L290)+((2/3)*L302)</f>
        <v>12276</v>
      </c>
      <c r="L292" s="93"/>
      <c r="M292" s="80">
        <f t="shared" si="28"/>
        <v>0.6</v>
      </c>
      <c r="N292" s="80">
        <v>0.26</v>
      </c>
      <c r="O292" s="80">
        <f t="shared" si="29"/>
        <v>0.61</v>
      </c>
      <c r="P292" s="80">
        <v>0.34620000000000001</v>
      </c>
      <c r="Q292" s="80">
        <v>0.69640000000000002</v>
      </c>
      <c r="R292" s="80">
        <v>0.6</v>
      </c>
      <c r="S292" s="80">
        <v>0.61</v>
      </c>
    </row>
    <row r="293" spans="1:19">
      <c r="A293" s="19">
        <f t="shared" si="32"/>
        <v>46356</v>
      </c>
      <c r="B293" s="19">
        <f t="shared" si="31"/>
        <v>46720</v>
      </c>
      <c r="C293" s="84">
        <f t="shared" si="35"/>
        <v>0.28100000000000003</v>
      </c>
      <c r="D293" s="84">
        <f t="shared" si="35"/>
        <v>0.32600000000000001</v>
      </c>
      <c r="E293" s="84">
        <f t="shared" si="35"/>
        <v>6.0999999999999999E-2</v>
      </c>
      <c r="F293" s="84">
        <f t="shared" si="35"/>
        <v>2.5999999999999999E-2</v>
      </c>
      <c r="G293" s="85">
        <v>0.28100000000000003</v>
      </c>
      <c r="H293" s="85">
        <v>0.32600000000000001</v>
      </c>
      <c r="I293" s="85">
        <v>6.0999999999999999E-2</v>
      </c>
      <c r="J293" s="85">
        <v>2.5999999999999999E-2</v>
      </c>
      <c r="K293" s="25">
        <f>((9/3)*L290)+((3/3)*L302)</f>
        <v>12327</v>
      </c>
      <c r="L293" s="93"/>
      <c r="M293" s="80">
        <f t="shared" si="28"/>
        <v>0.6</v>
      </c>
      <c r="N293" s="80">
        <v>0.26</v>
      </c>
      <c r="O293" s="80">
        <f t="shared" si="29"/>
        <v>0.61</v>
      </c>
      <c r="P293" s="80">
        <v>0.34620000000000001</v>
      </c>
      <c r="Q293" s="80">
        <v>0.69640000000000002</v>
      </c>
      <c r="R293" s="80">
        <v>0.6</v>
      </c>
      <c r="S293" s="80">
        <v>0.61</v>
      </c>
    </row>
    <row r="294" spans="1:19">
      <c r="A294" s="19">
        <f t="shared" si="32"/>
        <v>46387</v>
      </c>
      <c r="B294" s="19">
        <f t="shared" si="31"/>
        <v>46751</v>
      </c>
      <c r="C294" s="84">
        <f t="shared" si="35"/>
        <v>0.28100000000000003</v>
      </c>
      <c r="D294" s="84">
        <f t="shared" si="35"/>
        <v>0.32600000000000001</v>
      </c>
      <c r="E294" s="84">
        <f t="shared" si="35"/>
        <v>6.0999999999999999E-2</v>
      </c>
      <c r="F294" s="84">
        <f t="shared" si="35"/>
        <v>2.5999999999999999E-2</v>
      </c>
      <c r="G294" s="85">
        <v>0.28100000000000003</v>
      </c>
      <c r="H294" s="85">
        <v>0.32600000000000001</v>
      </c>
      <c r="I294" s="85">
        <v>6.0999999999999999E-2</v>
      </c>
      <c r="J294" s="85">
        <v>2.5999999999999999E-2</v>
      </c>
      <c r="K294" s="25">
        <f>((8/3)*L290)+((4/3)*L302)</f>
        <v>12377</v>
      </c>
      <c r="L294" s="93"/>
      <c r="M294" s="80">
        <f t="shared" si="28"/>
        <v>0.6</v>
      </c>
      <c r="N294" s="80">
        <v>0.26</v>
      </c>
      <c r="O294" s="80">
        <f t="shared" si="29"/>
        <v>0.61</v>
      </c>
      <c r="P294" s="80">
        <v>0.34620000000000001</v>
      </c>
      <c r="Q294" s="80">
        <v>0.69640000000000002</v>
      </c>
      <c r="R294" s="80">
        <v>0.6</v>
      </c>
      <c r="S294" s="80">
        <v>0.61</v>
      </c>
    </row>
    <row r="295" spans="1:19">
      <c r="A295" s="19">
        <f t="shared" si="32"/>
        <v>46418</v>
      </c>
      <c r="B295" s="19">
        <f t="shared" si="31"/>
        <v>46782</v>
      </c>
      <c r="C295" s="84">
        <f t="shared" si="35"/>
        <v>0.28100000000000003</v>
      </c>
      <c r="D295" s="84">
        <f t="shared" si="35"/>
        <v>0.32600000000000001</v>
      </c>
      <c r="E295" s="84">
        <f t="shared" si="35"/>
        <v>6.0999999999999999E-2</v>
      </c>
      <c r="F295" s="84">
        <f t="shared" si="35"/>
        <v>2.5999999999999999E-2</v>
      </c>
      <c r="G295" s="85">
        <v>0.28100000000000003</v>
      </c>
      <c r="H295" s="85">
        <v>0.32600000000000001</v>
      </c>
      <c r="I295" s="85">
        <v>6.0999999999999999E-2</v>
      </c>
      <c r="J295" s="85">
        <v>2.5999999999999999E-2</v>
      </c>
      <c r="K295" s="25">
        <f>((7/3)*L290)+((5/3)*L302)</f>
        <v>12428</v>
      </c>
      <c r="L295" s="93"/>
      <c r="M295" s="80">
        <f t="shared" si="28"/>
        <v>0.6</v>
      </c>
      <c r="N295" s="80">
        <v>0.26</v>
      </c>
      <c r="O295" s="80">
        <f t="shared" si="29"/>
        <v>0.61</v>
      </c>
      <c r="P295" s="80">
        <v>0.34620000000000001</v>
      </c>
      <c r="Q295" s="80">
        <v>0.69640000000000002</v>
      </c>
      <c r="R295" s="80">
        <v>0.6</v>
      </c>
      <c r="S295" s="80">
        <v>0.61</v>
      </c>
    </row>
    <row r="296" spans="1:19">
      <c r="A296" s="19">
        <f t="shared" si="32"/>
        <v>46446</v>
      </c>
      <c r="B296" s="19">
        <f t="shared" si="31"/>
        <v>46811</v>
      </c>
      <c r="C296" s="84">
        <f t="shared" si="35"/>
        <v>0.28100000000000003</v>
      </c>
      <c r="D296" s="84">
        <f t="shared" si="35"/>
        <v>0.32600000000000001</v>
      </c>
      <c r="E296" s="84">
        <f t="shared" si="35"/>
        <v>6.0999999999999999E-2</v>
      </c>
      <c r="F296" s="84">
        <f t="shared" si="35"/>
        <v>2.5999999999999999E-2</v>
      </c>
      <c r="G296" s="85">
        <v>0.28100000000000003</v>
      </c>
      <c r="H296" s="85">
        <v>0.32600000000000001</v>
      </c>
      <c r="I296" s="85">
        <v>6.0999999999999999E-2</v>
      </c>
      <c r="J296" s="85">
        <v>2.5999999999999999E-2</v>
      </c>
      <c r="K296" s="25">
        <f>((6/3)*L290)+((6/3)*L302)</f>
        <v>12479</v>
      </c>
      <c r="L296" s="93"/>
      <c r="M296" s="80">
        <f t="shared" si="28"/>
        <v>0.6</v>
      </c>
      <c r="N296" s="80">
        <v>0.26</v>
      </c>
      <c r="O296" s="80">
        <f t="shared" si="29"/>
        <v>0.61</v>
      </c>
      <c r="P296" s="80">
        <v>0.34620000000000001</v>
      </c>
      <c r="Q296" s="80">
        <v>0.69640000000000002</v>
      </c>
      <c r="R296" s="80">
        <v>0.6</v>
      </c>
      <c r="S296" s="80">
        <v>0.61</v>
      </c>
    </row>
    <row r="297" spans="1:19">
      <c r="A297" s="19">
        <f t="shared" si="32"/>
        <v>46477</v>
      </c>
      <c r="B297" s="19">
        <f t="shared" si="31"/>
        <v>46842</v>
      </c>
      <c r="C297" s="84">
        <f t="shared" si="35"/>
        <v>0.28100000000000003</v>
      </c>
      <c r="D297" s="84">
        <f t="shared" si="35"/>
        <v>0.32600000000000001</v>
      </c>
      <c r="E297" s="84">
        <f t="shared" si="35"/>
        <v>6.0999999999999999E-2</v>
      </c>
      <c r="F297" s="84">
        <f t="shared" si="35"/>
        <v>2.5999999999999999E-2</v>
      </c>
      <c r="G297" s="85">
        <v>0.28100000000000003</v>
      </c>
      <c r="H297" s="85">
        <v>0.32600000000000001</v>
      </c>
      <c r="I297" s="85">
        <v>6.0999999999999999E-2</v>
      </c>
      <c r="J297" s="85">
        <v>2.5999999999999999E-2</v>
      </c>
      <c r="K297" s="25">
        <f>((5/3)*L290)+((7/3)*L302)</f>
        <v>12530</v>
      </c>
      <c r="L297" s="93"/>
      <c r="M297" s="80">
        <f t="shared" si="28"/>
        <v>0.6</v>
      </c>
      <c r="N297" s="80">
        <v>0.26</v>
      </c>
      <c r="O297" s="80">
        <f t="shared" si="29"/>
        <v>0.61</v>
      </c>
      <c r="P297" s="80">
        <v>0.34620000000000001</v>
      </c>
      <c r="Q297" s="80">
        <v>0.69640000000000002</v>
      </c>
      <c r="R297" s="80">
        <v>0.6</v>
      </c>
      <c r="S297" s="80">
        <v>0.61</v>
      </c>
    </row>
    <row r="298" spans="1:19">
      <c r="A298" s="19">
        <f t="shared" si="32"/>
        <v>46507</v>
      </c>
      <c r="B298" s="19">
        <f t="shared" si="31"/>
        <v>46872</v>
      </c>
      <c r="C298" s="84">
        <f t="shared" si="35"/>
        <v>0.28100000000000003</v>
      </c>
      <c r="D298" s="84">
        <f t="shared" si="35"/>
        <v>0.32600000000000001</v>
      </c>
      <c r="E298" s="84">
        <f t="shared" si="35"/>
        <v>6.0999999999999999E-2</v>
      </c>
      <c r="F298" s="84">
        <f t="shared" si="35"/>
        <v>2.5999999999999999E-2</v>
      </c>
      <c r="G298" s="85">
        <v>0.28100000000000003</v>
      </c>
      <c r="H298" s="85">
        <v>0.32600000000000001</v>
      </c>
      <c r="I298" s="85">
        <v>6.0999999999999999E-2</v>
      </c>
      <c r="J298" s="85">
        <v>2.5999999999999999E-2</v>
      </c>
      <c r="K298" s="25">
        <f>((4/3)*L290)+((8/3)*L302)</f>
        <v>12580</v>
      </c>
      <c r="L298" s="93"/>
      <c r="M298" s="80">
        <f t="shared" si="28"/>
        <v>0.6</v>
      </c>
      <c r="N298" s="80">
        <v>0.26</v>
      </c>
      <c r="O298" s="80">
        <f t="shared" si="29"/>
        <v>0.61</v>
      </c>
      <c r="P298" s="80">
        <v>0.34620000000000001</v>
      </c>
      <c r="Q298" s="80">
        <v>0.69640000000000002</v>
      </c>
      <c r="R298" s="80">
        <v>0.6</v>
      </c>
      <c r="S298" s="80">
        <v>0.61</v>
      </c>
    </row>
    <row r="299" spans="1:19">
      <c r="A299" s="19">
        <f t="shared" si="32"/>
        <v>46538</v>
      </c>
      <c r="B299" s="19">
        <f t="shared" si="31"/>
        <v>46903</v>
      </c>
      <c r="C299" s="84">
        <f t="shared" si="35"/>
        <v>0.28100000000000003</v>
      </c>
      <c r="D299" s="84">
        <f t="shared" si="35"/>
        <v>0.32600000000000001</v>
      </c>
      <c r="E299" s="84">
        <f t="shared" si="35"/>
        <v>6.0999999999999999E-2</v>
      </c>
      <c r="F299" s="84">
        <f t="shared" si="35"/>
        <v>2.5999999999999999E-2</v>
      </c>
      <c r="G299" s="85">
        <v>0.28100000000000003</v>
      </c>
      <c r="H299" s="85">
        <v>0.32600000000000001</v>
      </c>
      <c r="I299" s="85">
        <v>6.0999999999999999E-2</v>
      </c>
      <c r="J299" s="85">
        <v>2.5999999999999999E-2</v>
      </c>
      <c r="K299" s="25">
        <f>((3/3)*L290)+((9/3)*L302)</f>
        <v>12631</v>
      </c>
      <c r="L299" s="93"/>
      <c r="M299" s="80">
        <f t="shared" si="28"/>
        <v>0.6</v>
      </c>
      <c r="N299" s="80">
        <v>0.26</v>
      </c>
      <c r="O299" s="80">
        <f t="shared" si="29"/>
        <v>0.61</v>
      </c>
      <c r="P299" s="80">
        <v>0.34620000000000001</v>
      </c>
      <c r="Q299" s="80">
        <v>0.69640000000000002</v>
      </c>
      <c r="R299" s="80">
        <v>0.6</v>
      </c>
      <c r="S299" s="80">
        <v>0.61</v>
      </c>
    </row>
    <row r="300" spans="1:19">
      <c r="A300" s="19">
        <f t="shared" si="32"/>
        <v>46568</v>
      </c>
      <c r="B300" s="19">
        <f t="shared" si="31"/>
        <v>46933</v>
      </c>
      <c r="C300" s="84">
        <f t="shared" si="35"/>
        <v>0.28100000000000003</v>
      </c>
      <c r="D300" s="84">
        <f t="shared" si="35"/>
        <v>0.32600000000000001</v>
      </c>
      <c r="E300" s="84">
        <f t="shared" si="35"/>
        <v>6.0999999999999999E-2</v>
      </c>
      <c r="F300" s="84">
        <f t="shared" si="35"/>
        <v>2.5999999999999999E-2</v>
      </c>
      <c r="G300" s="85">
        <v>0.28100000000000003</v>
      </c>
      <c r="H300" s="85">
        <v>0.32600000000000001</v>
      </c>
      <c r="I300" s="85">
        <v>6.0999999999999999E-2</v>
      </c>
      <c r="J300" s="85">
        <v>2.5999999999999999E-2</v>
      </c>
      <c r="K300" s="25">
        <f>((2/3)*L290)+((10/3)*L302)</f>
        <v>12682</v>
      </c>
      <c r="L300" s="93"/>
      <c r="M300" s="80">
        <f t="shared" si="28"/>
        <v>0.6</v>
      </c>
      <c r="N300" s="80">
        <v>0.26</v>
      </c>
      <c r="O300" s="80">
        <f t="shared" si="29"/>
        <v>0.61</v>
      </c>
      <c r="P300" s="80">
        <v>0.34620000000000001</v>
      </c>
      <c r="Q300" s="80">
        <v>0.69640000000000002</v>
      </c>
      <c r="R300" s="80">
        <v>0.6</v>
      </c>
      <c r="S300" s="80">
        <v>0.61</v>
      </c>
    </row>
    <row r="301" spans="1:19">
      <c r="A301" s="19">
        <f t="shared" si="32"/>
        <v>46599</v>
      </c>
      <c r="B301" s="19">
        <f t="shared" si="31"/>
        <v>46964</v>
      </c>
      <c r="C301" s="81">
        <f t="shared" si="35"/>
        <v>0.28100000000000003</v>
      </c>
      <c r="D301" s="81">
        <f t="shared" si="35"/>
        <v>0.32600000000000001</v>
      </c>
      <c r="E301" s="81">
        <f t="shared" si="35"/>
        <v>6.0999999999999999E-2</v>
      </c>
      <c r="F301" s="81">
        <f t="shared" si="35"/>
        <v>2.5999999999999999E-2</v>
      </c>
      <c r="G301" s="85">
        <v>0.28100000000000003</v>
      </c>
      <c r="H301" s="85">
        <v>0.32600000000000001</v>
      </c>
      <c r="I301" s="85">
        <v>6.0999999999999999E-2</v>
      </c>
      <c r="J301" s="85">
        <v>2.5999999999999999E-2</v>
      </c>
      <c r="K301" s="25">
        <f>((1/3)*L290)+((11/3)*L302)</f>
        <v>12732</v>
      </c>
      <c r="L301" s="93"/>
      <c r="M301" s="80">
        <f t="shared" si="28"/>
        <v>0.6</v>
      </c>
      <c r="N301" s="80">
        <v>0.26</v>
      </c>
      <c r="O301" s="80">
        <f t="shared" si="29"/>
        <v>0.61</v>
      </c>
      <c r="P301" s="80">
        <v>0.34620000000000001</v>
      </c>
      <c r="Q301" s="80">
        <v>0.69640000000000002</v>
      </c>
      <c r="R301" s="80">
        <v>0.6</v>
      </c>
      <c r="S301" s="80">
        <v>0.61</v>
      </c>
    </row>
    <row r="302" spans="1:19" s="78" customFormat="1">
      <c r="A302" s="77">
        <f t="shared" si="32"/>
        <v>46630</v>
      </c>
      <c r="B302" s="77">
        <f t="shared" si="31"/>
        <v>46995</v>
      </c>
      <c r="C302" s="86">
        <f t="shared" si="35"/>
        <v>0.28100000000000003</v>
      </c>
      <c r="D302" s="86">
        <f t="shared" si="35"/>
        <v>0.32600000000000001</v>
      </c>
      <c r="E302" s="86">
        <f t="shared" si="35"/>
        <v>6.0999999999999999E-2</v>
      </c>
      <c r="F302" s="86">
        <f t="shared" si="35"/>
        <v>2.5999999999999999E-2</v>
      </c>
      <c r="G302" s="87">
        <v>0.28100000000000003</v>
      </c>
      <c r="H302" s="87">
        <v>0.32600000000000001</v>
      </c>
      <c r="I302" s="87">
        <v>6.0999999999999999E-2</v>
      </c>
      <c r="J302" s="87">
        <v>2.5999999999999999E-2</v>
      </c>
      <c r="K302" s="76">
        <f>(L302*4)</f>
        <v>12783</v>
      </c>
      <c r="L302" s="94">
        <f>L290*1.05</f>
        <v>3195.8</v>
      </c>
      <c r="M302" s="353">
        <f t="shared" si="28"/>
        <v>0.6</v>
      </c>
      <c r="N302" s="353">
        <v>0.26</v>
      </c>
      <c r="O302" s="353">
        <f t="shared" si="29"/>
        <v>0.61</v>
      </c>
      <c r="P302" s="353">
        <v>0.34620000000000001</v>
      </c>
      <c r="Q302" s="353">
        <v>0.69640000000000002</v>
      </c>
      <c r="R302" s="353">
        <v>0.6</v>
      </c>
      <c r="S302" s="353">
        <v>0.61</v>
      </c>
    </row>
    <row r="303" spans="1:19" s="78" customFormat="1">
      <c r="A303" s="77">
        <f t="shared" si="32"/>
        <v>46660</v>
      </c>
      <c r="B303" s="77">
        <f t="shared" si="31"/>
        <v>47025</v>
      </c>
      <c r="C303" s="86">
        <f t="shared" si="35"/>
        <v>0.28100000000000003</v>
      </c>
      <c r="D303" s="86">
        <f t="shared" si="35"/>
        <v>0.32600000000000001</v>
      </c>
      <c r="E303" s="86">
        <f t="shared" si="35"/>
        <v>6.0999999999999999E-2</v>
      </c>
      <c r="F303" s="86">
        <f t="shared" si="35"/>
        <v>2.5999999999999999E-2</v>
      </c>
      <c r="G303" s="87">
        <v>0.28100000000000003</v>
      </c>
      <c r="H303" s="87">
        <v>0.32600000000000001</v>
      </c>
      <c r="I303" s="87">
        <v>6.0999999999999999E-2</v>
      </c>
      <c r="J303" s="87">
        <v>2.5999999999999999E-2</v>
      </c>
      <c r="K303" s="76">
        <f>((11/3)*L302)+((1/3)*L314)</f>
        <v>12836</v>
      </c>
      <c r="L303" s="94"/>
      <c r="M303" s="353">
        <f t="shared" ref="M303:M366" si="36">AVERAGE(R303:R314)</f>
        <v>0.6</v>
      </c>
      <c r="N303" s="353">
        <v>0.26</v>
      </c>
      <c r="O303" s="353">
        <f t="shared" ref="O303:O366" si="37">AVERAGE(S303:S314)</f>
        <v>0.61</v>
      </c>
      <c r="P303" s="353">
        <v>0.34620000000000001</v>
      </c>
      <c r="Q303" s="353">
        <v>0.69640000000000002</v>
      </c>
      <c r="R303" s="353">
        <v>0.6</v>
      </c>
      <c r="S303" s="353">
        <v>0.61</v>
      </c>
    </row>
    <row r="304" spans="1:19" s="78" customFormat="1">
      <c r="A304" s="77">
        <f t="shared" si="32"/>
        <v>46691</v>
      </c>
      <c r="B304" s="77">
        <f t="shared" si="31"/>
        <v>47056</v>
      </c>
      <c r="C304" s="86">
        <f t="shared" si="35"/>
        <v>0.28100000000000003</v>
      </c>
      <c r="D304" s="86">
        <f t="shared" si="35"/>
        <v>0.32600000000000001</v>
      </c>
      <c r="E304" s="86">
        <f t="shared" si="35"/>
        <v>6.0999999999999999E-2</v>
      </c>
      <c r="F304" s="86">
        <f t="shared" si="35"/>
        <v>2.5999999999999999E-2</v>
      </c>
      <c r="G304" s="87">
        <v>0.28100000000000003</v>
      </c>
      <c r="H304" s="87">
        <v>0.32600000000000001</v>
      </c>
      <c r="I304" s="87">
        <v>6.0999999999999999E-2</v>
      </c>
      <c r="J304" s="87">
        <v>2.5999999999999999E-2</v>
      </c>
      <c r="K304" s="76">
        <f>((10/3)*L302)+((2/3)*L314)</f>
        <v>12890</v>
      </c>
      <c r="L304" s="94"/>
      <c r="M304" s="353">
        <f t="shared" si="36"/>
        <v>0.6</v>
      </c>
      <c r="N304" s="353">
        <v>0.26</v>
      </c>
      <c r="O304" s="353">
        <f t="shared" si="37"/>
        <v>0.61</v>
      </c>
      <c r="P304" s="353">
        <v>0.34620000000000001</v>
      </c>
      <c r="Q304" s="353">
        <v>0.69640000000000002</v>
      </c>
      <c r="R304" s="353">
        <v>0.6</v>
      </c>
      <c r="S304" s="353">
        <v>0.61</v>
      </c>
    </row>
    <row r="305" spans="1:19" s="78" customFormat="1">
      <c r="A305" s="77">
        <f t="shared" si="32"/>
        <v>46721</v>
      </c>
      <c r="B305" s="77">
        <f t="shared" si="31"/>
        <v>47086</v>
      </c>
      <c r="C305" s="86">
        <f t="shared" si="35"/>
        <v>0.28100000000000003</v>
      </c>
      <c r="D305" s="86">
        <f t="shared" si="35"/>
        <v>0.32600000000000001</v>
      </c>
      <c r="E305" s="86">
        <f t="shared" si="35"/>
        <v>6.0999999999999999E-2</v>
      </c>
      <c r="F305" s="86">
        <f t="shared" si="35"/>
        <v>2.5999999999999999E-2</v>
      </c>
      <c r="G305" s="87">
        <v>0.28100000000000003</v>
      </c>
      <c r="H305" s="87">
        <v>0.32600000000000001</v>
      </c>
      <c r="I305" s="87">
        <v>6.0999999999999999E-2</v>
      </c>
      <c r="J305" s="87">
        <v>2.5999999999999999E-2</v>
      </c>
      <c r="K305" s="76">
        <f>((9/3)*L302)+((3/3)*L314)</f>
        <v>12943</v>
      </c>
      <c r="L305" s="94"/>
      <c r="M305" s="353">
        <f t="shared" si="36"/>
        <v>0.6</v>
      </c>
      <c r="N305" s="353">
        <v>0.26</v>
      </c>
      <c r="O305" s="353">
        <f t="shared" si="37"/>
        <v>0.61</v>
      </c>
      <c r="P305" s="353">
        <v>0.34620000000000001</v>
      </c>
      <c r="Q305" s="353">
        <v>0.69640000000000002</v>
      </c>
      <c r="R305" s="353">
        <v>0.6</v>
      </c>
      <c r="S305" s="353">
        <v>0.61</v>
      </c>
    </row>
    <row r="306" spans="1:19" s="78" customFormat="1">
      <c r="A306" s="77">
        <f t="shared" si="32"/>
        <v>46752</v>
      </c>
      <c r="B306" s="77">
        <f t="shared" si="31"/>
        <v>47117</v>
      </c>
      <c r="C306" s="86">
        <f t="shared" si="35"/>
        <v>0.28100000000000003</v>
      </c>
      <c r="D306" s="86">
        <f t="shared" si="35"/>
        <v>0.32600000000000001</v>
      </c>
      <c r="E306" s="86">
        <f t="shared" si="35"/>
        <v>6.0999999999999999E-2</v>
      </c>
      <c r="F306" s="86">
        <f t="shared" si="35"/>
        <v>2.5999999999999999E-2</v>
      </c>
      <c r="G306" s="87">
        <v>0.28100000000000003</v>
      </c>
      <c r="H306" s="87">
        <v>0.32600000000000001</v>
      </c>
      <c r="I306" s="87">
        <v>6.0999999999999999E-2</v>
      </c>
      <c r="J306" s="87">
        <v>2.5999999999999999E-2</v>
      </c>
      <c r="K306" s="76">
        <f>((8/3)*L302)+((4/3)*L314)</f>
        <v>12996</v>
      </c>
      <c r="L306" s="94"/>
      <c r="M306" s="353">
        <f t="shared" si="36"/>
        <v>0.6</v>
      </c>
      <c r="N306" s="353">
        <v>0.26</v>
      </c>
      <c r="O306" s="353">
        <f t="shared" si="37"/>
        <v>0.61</v>
      </c>
      <c r="P306" s="353">
        <v>0.34620000000000001</v>
      </c>
      <c r="Q306" s="353">
        <v>0.69640000000000002</v>
      </c>
      <c r="R306" s="353">
        <v>0.6</v>
      </c>
      <c r="S306" s="353">
        <v>0.61</v>
      </c>
    </row>
    <row r="307" spans="1:19" s="78" customFormat="1">
      <c r="A307" s="77">
        <f t="shared" si="32"/>
        <v>46783</v>
      </c>
      <c r="B307" s="77">
        <f t="shared" si="31"/>
        <v>47148</v>
      </c>
      <c r="C307" s="86">
        <f t="shared" ref="C307:F322" si="38">AVERAGE(G307:G318)</f>
        <v>0.28100000000000003</v>
      </c>
      <c r="D307" s="86">
        <f t="shared" si="38"/>
        <v>0.32600000000000001</v>
      </c>
      <c r="E307" s="86">
        <f t="shared" si="38"/>
        <v>6.0999999999999999E-2</v>
      </c>
      <c r="F307" s="86">
        <f t="shared" si="38"/>
        <v>2.5999999999999999E-2</v>
      </c>
      <c r="G307" s="87">
        <v>0.28100000000000003</v>
      </c>
      <c r="H307" s="87">
        <v>0.32600000000000001</v>
      </c>
      <c r="I307" s="87">
        <v>6.0999999999999999E-2</v>
      </c>
      <c r="J307" s="87">
        <v>2.5999999999999999E-2</v>
      </c>
      <c r="K307" s="76">
        <f>((7/3)*L302)+((5/3)*L314)</f>
        <v>13050</v>
      </c>
      <c r="L307" s="94"/>
      <c r="M307" s="353">
        <f t="shared" si="36"/>
        <v>0.6</v>
      </c>
      <c r="N307" s="353">
        <v>0.26</v>
      </c>
      <c r="O307" s="353">
        <f t="shared" si="37"/>
        <v>0.61</v>
      </c>
      <c r="P307" s="353">
        <v>0.34620000000000001</v>
      </c>
      <c r="Q307" s="353">
        <v>0.69640000000000002</v>
      </c>
      <c r="R307" s="353">
        <v>0.6</v>
      </c>
      <c r="S307" s="353">
        <v>0.61</v>
      </c>
    </row>
    <row r="308" spans="1:19" s="78" customFormat="1">
      <c r="A308" s="77">
        <f t="shared" si="32"/>
        <v>46812</v>
      </c>
      <c r="B308" s="77">
        <f t="shared" si="31"/>
        <v>47176</v>
      </c>
      <c r="C308" s="86">
        <f t="shared" si="38"/>
        <v>0.28100000000000003</v>
      </c>
      <c r="D308" s="86">
        <f t="shared" si="38"/>
        <v>0.32600000000000001</v>
      </c>
      <c r="E308" s="86">
        <f t="shared" si="38"/>
        <v>6.0999999999999999E-2</v>
      </c>
      <c r="F308" s="86">
        <f t="shared" si="38"/>
        <v>2.5999999999999999E-2</v>
      </c>
      <c r="G308" s="87">
        <v>0.28100000000000003</v>
      </c>
      <c r="H308" s="87">
        <v>0.32600000000000001</v>
      </c>
      <c r="I308" s="87">
        <v>6.0999999999999999E-2</v>
      </c>
      <c r="J308" s="87">
        <v>2.5999999999999999E-2</v>
      </c>
      <c r="K308" s="76">
        <f>((6/3)*L302)+((6/3)*L314)</f>
        <v>13103</v>
      </c>
      <c r="L308" s="94"/>
      <c r="M308" s="353">
        <f t="shared" si="36"/>
        <v>0.6</v>
      </c>
      <c r="N308" s="353">
        <v>0.26</v>
      </c>
      <c r="O308" s="353">
        <f t="shared" si="37"/>
        <v>0.61</v>
      </c>
      <c r="P308" s="353">
        <v>0.34620000000000001</v>
      </c>
      <c r="Q308" s="353">
        <v>0.69640000000000002</v>
      </c>
      <c r="R308" s="353">
        <v>0.6</v>
      </c>
      <c r="S308" s="353">
        <v>0.61</v>
      </c>
    </row>
    <row r="309" spans="1:19" s="78" customFormat="1">
      <c r="A309" s="77">
        <f t="shared" si="32"/>
        <v>46843</v>
      </c>
      <c r="B309" s="77">
        <f t="shared" si="31"/>
        <v>47207</v>
      </c>
      <c r="C309" s="86">
        <f t="shared" si="38"/>
        <v>0.28100000000000003</v>
      </c>
      <c r="D309" s="86">
        <f t="shared" si="38"/>
        <v>0.32600000000000001</v>
      </c>
      <c r="E309" s="86">
        <f t="shared" si="38"/>
        <v>6.0999999999999999E-2</v>
      </c>
      <c r="F309" s="86">
        <f t="shared" si="38"/>
        <v>2.5999999999999999E-2</v>
      </c>
      <c r="G309" s="87">
        <v>0.28100000000000003</v>
      </c>
      <c r="H309" s="87">
        <v>0.32600000000000001</v>
      </c>
      <c r="I309" s="87">
        <v>6.0999999999999999E-2</v>
      </c>
      <c r="J309" s="87">
        <v>2.5999999999999999E-2</v>
      </c>
      <c r="K309" s="76">
        <f>((5/3)*L302)+((7/3)*L314)</f>
        <v>13156</v>
      </c>
      <c r="L309" s="94"/>
      <c r="M309" s="353">
        <f t="shared" si="36"/>
        <v>0.6</v>
      </c>
      <c r="N309" s="353">
        <v>0.26</v>
      </c>
      <c r="O309" s="353">
        <f t="shared" si="37"/>
        <v>0.61</v>
      </c>
      <c r="P309" s="353">
        <v>0.34620000000000001</v>
      </c>
      <c r="Q309" s="353">
        <v>0.69640000000000002</v>
      </c>
      <c r="R309" s="353">
        <v>0.6</v>
      </c>
      <c r="S309" s="353">
        <v>0.61</v>
      </c>
    </row>
    <row r="310" spans="1:19" s="78" customFormat="1">
      <c r="A310" s="77">
        <f t="shared" si="32"/>
        <v>46873</v>
      </c>
      <c r="B310" s="77">
        <f t="shared" si="31"/>
        <v>47237</v>
      </c>
      <c r="C310" s="86">
        <f t="shared" si="38"/>
        <v>0.28100000000000003</v>
      </c>
      <c r="D310" s="86">
        <f t="shared" si="38"/>
        <v>0.32600000000000001</v>
      </c>
      <c r="E310" s="86">
        <f t="shared" si="38"/>
        <v>6.0999999999999999E-2</v>
      </c>
      <c r="F310" s="86">
        <f t="shared" si="38"/>
        <v>2.5999999999999999E-2</v>
      </c>
      <c r="G310" s="87">
        <v>0.28100000000000003</v>
      </c>
      <c r="H310" s="87">
        <v>0.32600000000000001</v>
      </c>
      <c r="I310" s="87">
        <v>6.0999999999999999E-2</v>
      </c>
      <c r="J310" s="87">
        <v>2.5999999999999999E-2</v>
      </c>
      <c r="K310" s="76">
        <f>((4/3)*L302)+((8/3)*L314)</f>
        <v>13209</v>
      </c>
      <c r="L310" s="94"/>
      <c r="M310" s="353">
        <f t="shared" si="36"/>
        <v>0.6</v>
      </c>
      <c r="N310" s="353">
        <v>0.26</v>
      </c>
      <c r="O310" s="353">
        <f t="shared" si="37"/>
        <v>0.61</v>
      </c>
      <c r="P310" s="353">
        <v>0.34620000000000001</v>
      </c>
      <c r="Q310" s="353">
        <v>0.69640000000000002</v>
      </c>
      <c r="R310" s="353">
        <v>0.6</v>
      </c>
      <c r="S310" s="353">
        <v>0.61</v>
      </c>
    </row>
    <row r="311" spans="1:19" s="78" customFormat="1">
      <c r="A311" s="77">
        <f t="shared" si="32"/>
        <v>46904</v>
      </c>
      <c r="B311" s="77">
        <f t="shared" si="31"/>
        <v>47268</v>
      </c>
      <c r="C311" s="86">
        <f t="shared" si="38"/>
        <v>0.28100000000000003</v>
      </c>
      <c r="D311" s="86">
        <f t="shared" si="38"/>
        <v>0.32600000000000001</v>
      </c>
      <c r="E311" s="86">
        <f t="shared" si="38"/>
        <v>6.0999999999999999E-2</v>
      </c>
      <c r="F311" s="86">
        <f t="shared" si="38"/>
        <v>2.5999999999999999E-2</v>
      </c>
      <c r="G311" s="87">
        <v>0.28100000000000003</v>
      </c>
      <c r="H311" s="87">
        <v>0.32600000000000001</v>
      </c>
      <c r="I311" s="87">
        <v>6.0999999999999999E-2</v>
      </c>
      <c r="J311" s="87">
        <v>2.5999999999999999E-2</v>
      </c>
      <c r="K311" s="76">
        <f>((3/3)*L302)+((9/3)*L314)</f>
        <v>13263</v>
      </c>
      <c r="L311" s="94"/>
      <c r="M311" s="353">
        <f t="shared" si="36"/>
        <v>0.6</v>
      </c>
      <c r="N311" s="353">
        <v>0.26</v>
      </c>
      <c r="O311" s="353">
        <f t="shared" si="37"/>
        <v>0.61</v>
      </c>
      <c r="P311" s="353">
        <v>0.34620000000000001</v>
      </c>
      <c r="Q311" s="353">
        <v>0.69640000000000002</v>
      </c>
      <c r="R311" s="353">
        <v>0.6</v>
      </c>
      <c r="S311" s="353">
        <v>0.61</v>
      </c>
    </row>
    <row r="312" spans="1:19" s="78" customFormat="1">
      <c r="A312" s="77">
        <f t="shared" si="32"/>
        <v>46934</v>
      </c>
      <c r="B312" s="77">
        <f t="shared" si="31"/>
        <v>47298</v>
      </c>
      <c r="C312" s="86">
        <f t="shared" si="38"/>
        <v>0.28100000000000003</v>
      </c>
      <c r="D312" s="86">
        <f t="shared" si="38"/>
        <v>0.32600000000000001</v>
      </c>
      <c r="E312" s="86">
        <f t="shared" si="38"/>
        <v>6.0999999999999999E-2</v>
      </c>
      <c r="F312" s="86">
        <f t="shared" si="38"/>
        <v>2.5999999999999999E-2</v>
      </c>
      <c r="G312" s="87">
        <v>0.28100000000000003</v>
      </c>
      <c r="H312" s="87">
        <v>0.32600000000000001</v>
      </c>
      <c r="I312" s="87">
        <v>6.0999999999999999E-2</v>
      </c>
      <c r="J312" s="87">
        <v>2.5999999999999999E-2</v>
      </c>
      <c r="K312" s="76">
        <f>((2/3)*L302)+((10/3)*L314)</f>
        <v>13316</v>
      </c>
      <c r="L312" s="94"/>
      <c r="M312" s="353">
        <f t="shared" si="36"/>
        <v>0.6</v>
      </c>
      <c r="N312" s="353">
        <v>0.26</v>
      </c>
      <c r="O312" s="353">
        <f t="shared" si="37"/>
        <v>0.61</v>
      </c>
      <c r="P312" s="353">
        <v>0.34620000000000001</v>
      </c>
      <c r="Q312" s="353">
        <v>0.69640000000000002</v>
      </c>
      <c r="R312" s="353">
        <v>0.6</v>
      </c>
      <c r="S312" s="353">
        <v>0.61</v>
      </c>
    </row>
    <row r="313" spans="1:19" s="78" customFormat="1">
      <c r="A313" s="77">
        <f t="shared" si="32"/>
        <v>46965</v>
      </c>
      <c r="B313" s="77">
        <f t="shared" si="31"/>
        <v>47329</v>
      </c>
      <c r="C313" s="86">
        <f t="shared" si="38"/>
        <v>0.28100000000000003</v>
      </c>
      <c r="D313" s="86">
        <f t="shared" si="38"/>
        <v>0.32600000000000001</v>
      </c>
      <c r="E313" s="86">
        <f t="shared" si="38"/>
        <v>6.0999999999999999E-2</v>
      </c>
      <c r="F313" s="86">
        <f t="shared" si="38"/>
        <v>2.5999999999999999E-2</v>
      </c>
      <c r="G313" s="87">
        <v>0.28100000000000003</v>
      </c>
      <c r="H313" s="87">
        <v>0.32600000000000001</v>
      </c>
      <c r="I313" s="87">
        <v>6.0999999999999999E-2</v>
      </c>
      <c r="J313" s="87">
        <v>2.5999999999999999E-2</v>
      </c>
      <c r="K313" s="76">
        <f>((1/3)*L302)+((11/3)*L314)</f>
        <v>13369</v>
      </c>
      <c r="L313" s="94"/>
      <c r="M313" s="353">
        <f t="shared" si="36"/>
        <v>0.6</v>
      </c>
      <c r="N313" s="353">
        <v>0.26</v>
      </c>
      <c r="O313" s="353">
        <f t="shared" si="37"/>
        <v>0.61</v>
      </c>
      <c r="P313" s="353">
        <v>0.34620000000000001</v>
      </c>
      <c r="Q313" s="353">
        <v>0.69640000000000002</v>
      </c>
      <c r="R313" s="353">
        <v>0.6</v>
      </c>
      <c r="S313" s="353">
        <v>0.61</v>
      </c>
    </row>
    <row r="314" spans="1:19">
      <c r="A314" s="19">
        <f t="shared" si="32"/>
        <v>46996</v>
      </c>
      <c r="B314" s="19">
        <f t="shared" si="31"/>
        <v>47360</v>
      </c>
      <c r="C314" s="84">
        <f t="shared" si="38"/>
        <v>0.28100000000000003</v>
      </c>
      <c r="D314" s="84">
        <f t="shared" si="38"/>
        <v>0.32600000000000001</v>
      </c>
      <c r="E314" s="84">
        <f t="shared" si="38"/>
        <v>6.0999999999999999E-2</v>
      </c>
      <c r="F314" s="84">
        <f t="shared" si="38"/>
        <v>2.5999999999999999E-2</v>
      </c>
      <c r="G314" s="85">
        <v>0.28100000000000003</v>
      </c>
      <c r="H314" s="85">
        <v>0.32600000000000001</v>
      </c>
      <c r="I314" s="85">
        <v>6.0999999999999999E-2</v>
      </c>
      <c r="J314" s="85">
        <v>2.5999999999999999E-2</v>
      </c>
      <c r="K314" s="25">
        <f>(L314*4)</f>
        <v>13422</v>
      </c>
      <c r="L314" s="93">
        <f>L302*1.05</f>
        <v>3355.59</v>
      </c>
      <c r="M314" s="80">
        <f t="shared" si="36"/>
        <v>0.6</v>
      </c>
      <c r="N314" s="80">
        <v>0.26</v>
      </c>
      <c r="O314" s="80">
        <f t="shared" si="37"/>
        <v>0.61</v>
      </c>
      <c r="P314" s="80">
        <v>0.34620000000000001</v>
      </c>
      <c r="Q314" s="80">
        <v>0.69640000000000002</v>
      </c>
      <c r="R314" s="80">
        <v>0.6</v>
      </c>
      <c r="S314" s="80">
        <v>0.61</v>
      </c>
    </row>
    <row r="315" spans="1:19">
      <c r="A315" s="19">
        <f t="shared" si="32"/>
        <v>47026</v>
      </c>
      <c r="B315" s="19">
        <f t="shared" si="31"/>
        <v>47390</v>
      </c>
      <c r="C315" s="84">
        <f t="shared" si="38"/>
        <v>0.28100000000000003</v>
      </c>
      <c r="D315" s="84">
        <f t="shared" si="38"/>
        <v>0.32600000000000001</v>
      </c>
      <c r="E315" s="84">
        <f t="shared" si="38"/>
        <v>6.0999999999999999E-2</v>
      </c>
      <c r="F315" s="84">
        <f t="shared" si="38"/>
        <v>2.5999999999999999E-2</v>
      </c>
      <c r="G315" s="85">
        <v>0.28100000000000003</v>
      </c>
      <c r="H315" s="85">
        <v>0.32600000000000001</v>
      </c>
      <c r="I315" s="85">
        <v>6.0999999999999999E-2</v>
      </c>
      <c r="J315" s="85">
        <v>2.5999999999999999E-2</v>
      </c>
      <c r="K315" s="25">
        <f>((11/3)*L314)+((1/3)*L326)</f>
        <v>13478</v>
      </c>
      <c r="L315" s="93"/>
      <c r="M315" s="80">
        <f t="shared" si="36"/>
        <v>0.6</v>
      </c>
      <c r="N315" s="80">
        <v>0.26</v>
      </c>
      <c r="O315" s="80">
        <f t="shared" si="37"/>
        <v>0.61</v>
      </c>
      <c r="P315" s="80">
        <v>0.34620000000000001</v>
      </c>
      <c r="Q315" s="80">
        <v>0.69640000000000002</v>
      </c>
      <c r="R315" s="80">
        <v>0.6</v>
      </c>
      <c r="S315" s="80">
        <v>0.61</v>
      </c>
    </row>
    <row r="316" spans="1:19">
      <c r="A316" s="19">
        <f t="shared" si="32"/>
        <v>47057</v>
      </c>
      <c r="B316" s="19">
        <f t="shared" si="31"/>
        <v>47421</v>
      </c>
      <c r="C316" s="84">
        <f t="shared" si="38"/>
        <v>0.28100000000000003</v>
      </c>
      <c r="D316" s="84">
        <f t="shared" si="38"/>
        <v>0.32600000000000001</v>
      </c>
      <c r="E316" s="84">
        <f t="shared" si="38"/>
        <v>6.0999999999999999E-2</v>
      </c>
      <c r="F316" s="84">
        <f t="shared" si="38"/>
        <v>2.5999999999999999E-2</v>
      </c>
      <c r="G316" s="85">
        <v>0.28100000000000003</v>
      </c>
      <c r="H316" s="85">
        <v>0.32600000000000001</v>
      </c>
      <c r="I316" s="85">
        <v>6.0999999999999999E-2</v>
      </c>
      <c r="J316" s="85">
        <v>2.5999999999999999E-2</v>
      </c>
      <c r="K316" s="25">
        <f>((10/3)*L314)+((2/3)*L326)</f>
        <v>13534</v>
      </c>
      <c r="L316" s="93"/>
      <c r="M316" s="80">
        <f t="shared" si="36"/>
        <v>0.6</v>
      </c>
      <c r="N316" s="80">
        <v>0.26</v>
      </c>
      <c r="O316" s="80">
        <f t="shared" si="37"/>
        <v>0.61</v>
      </c>
      <c r="P316" s="80">
        <v>0.34620000000000001</v>
      </c>
      <c r="Q316" s="80">
        <v>0.69640000000000002</v>
      </c>
      <c r="R316" s="80">
        <v>0.6</v>
      </c>
      <c r="S316" s="80">
        <v>0.61</v>
      </c>
    </row>
    <row r="317" spans="1:19">
      <c r="A317" s="19">
        <f t="shared" si="32"/>
        <v>47087</v>
      </c>
      <c r="B317" s="19">
        <f t="shared" si="31"/>
        <v>47451</v>
      </c>
      <c r="C317" s="84">
        <f t="shared" si="38"/>
        <v>0.28100000000000003</v>
      </c>
      <c r="D317" s="84">
        <f t="shared" si="38"/>
        <v>0.32600000000000001</v>
      </c>
      <c r="E317" s="84">
        <f t="shared" si="38"/>
        <v>6.0999999999999999E-2</v>
      </c>
      <c r="F317" s="84">
        <f t="shared" si="38"/>
        <v>2.5999999999999999E-2</v>
      </c>
      <c r="G317" s="85">
        <v>0.28100000000000003</v>
      </c>
      <c r="H317" s="85">
        <v>0.32600000000000001</v>
      </c>
      <c r="I317" s="85">
        <v>6.0999999999999999E-2</v>
      </c>
      <c r="J317" s="85">
        <v>2.5999999999999999E-2</v>
      </c>
      <c r="K317" s="25">
        <f>((9/3)*L314)+((3/3)*L326)</f>
        <v>13590</v>
      </c>
      <c r="L317" s="93"/>
      <c r="M317" s="80">
        <f t="shared" si="36"/>
        <v>0.6</v>
      </c>
      <c r="N317" s="80">
        <v>0.26</v>
      </c>
      <c r="O317" s="80">
        <f t="shared" si="37"/>
        <v>0.61</v>
      </c>
      <c r="P317" s="80">
        <v>0.34620000000000001</v>
      </c>
      <c r="Q317" s="80">
        <v>0.69640000000000002</v>
      </c>
      <c r="R317" s="80">
        <v>0.6</v>
      </c>
      <c r="S317" s="80">
        <v>0.61</v>
      </c>
    </row>
    <row r="318" spans="1:19">
      <c r="A318" s="19">
        <f t="shared" si="32"/>
        <v>47118</v>
      </c>
      <c r="B318" s="19">
        <f t="shared" si="31"/>
        <v>47482</v>
      </c>
      <c r="C318" s="84">
        <f t="shared" si="38"/>
        <v>0.28100000000000003</v>
      </c>
      <c r="D318" s="84">
        <f t="shared" si="38"/>
        <v>0.32600000000000001</v>
      </c>
      <c r="E318" s="84">
        <f t="shared" si="38"/>
        <v>6.0999999999999999E-2</v>
      </c>
      <c r="F318" s="84">
        <f t="shared" si="38"/>
        <v>2.5999999999999999E-2</v>
      </c>
      <c r="G318" s="85">
        <v>0.28100000000000003</v>
      </c>
      <c r="H318" s="85">
        <v>0.32600000000000001</v>
      </c>
      <c r="I318" s="85">
        <v>6.0999999999999999E-2</v>
      </c>
      <c r="J318" s="85">
        <v>2.5999999999999999E-2</v>
      </c>
      <c r="K318" s="25">
        <f>((8/3)*L314)+((4/3)*L326)</f>
        <v>13646</v>
      </c>
      <c r="L318" s="93"/>
      <c r="M318" s="80">
        <f t="shared" si="36"/>
        <v>0.6</v>
      </c>
      <c r="N318" s="80">
        <v>0.26</v>
      </c>
      <c r="O318" s="80">
        <f t="shared" si="37"/>
        <v>0.61</v>
      </c>
      <c r="P318" s="80">
        <v>0.34620000000000001</v>
      </c>
      <c r="Q318" s="80">
        <v>0.69640000000000002</v>
      </c>
      <c r="R318" s="80">
        <v>0.6</v>
      </c>
      <c r="S318" s="80">
        <v>0.61</v>
      </c>
    </row>
    <row r="319" spans="1:19">
      <c r="A319" s="19">
        <f t="shared" si="32"/>
        <v>47149</v>
      </c>
      <c r="B319" s="19">
        <f t="shared" si="31"/>
        <v>47513</v>
      </c>
      <c r="C319" s="84">
        <f t="shared" si="38"/>
        <v>0.28100000000000003</v>
      </c>
      <c r="D319" s="84">
        <f t="shared" si="38"/>
        <v>0.32600000000000001</v>
      </c>
      <c r="E319" s="84">
        <f t="shared" si="38"/>
        <v>6.0999999999999999E-2</v>
      </c>
      <c r="F319" s="84">
        <f t="shared" si="38"/>
        <v>2.5999999999999999E-2</v>
      </c>
      <c r="G319" s="85">
        <v>0.28100000000000003</v>
      </c>
      <c r="H319" s="85">
        <v>0.32600000000000001</v>
      </c>
      <c r="I319" s="85">
        <v>6.0999999999999999E-2</v>
      </c>
      <c r="J319" s="85">
        <v>2.5999999999999999E-2</v>
      </c>
      <c r="K319" s="25">
        <f>((7/3)*L314)+((5/3)*L326)</f>
        <v>13702</v>
      </c>
      <c r="L319" s="93"/>
      <c r="M319" s="80">
        <f t="shared" si="36"/>
        <v>0.6</v>
      </c>
      <c r="N319" s="80">
        <v>0.26</v>
      </c>
      <c r="O319" s="80">
        <f t="shared" si="37"/>
        <v>0.61</v>
      </c>
      <c r="P319" s="80">
        <v>0.34620000000000001</v>
      </c>
      <c r="Q319" s="80">
        <v>0.69640000000000002</v>
      </c>
      <c r="R319" s="80">
        <v>0.6</v>
      </c>
      <c r="S319" s="80">
        <v>0.61</v>
      </c>
    </row>
    <row r="320" spans="1:19">
      <c r="A320" s="19">
        <f t="shared" si="32"/>
        <v>47177</v>
      </c>
      <c r="B320" s="19">
        <f t="shared" si="31"/>
        <v>47541</v>
      </c>
      <c r="C320" s="84">
        <f t="shared" si="38"/>
        <v>0.28100000000000003</v>
      </c>
      <c r="D320" s="84">
        <f t="shared" si="38"/>
        <v>0.32600000000000001</v>
      </c>
      <c r="E320" s="84">
        <f t="shared" si="38"/>
        <v>6.0999999999999999E-2</v>
      </c>
      <c r="F320" s="84">
        <f t="shared" si="38"/>
        <v>2.5999999999999999E-2</v>
      </c>
      <c r="G320" s="85">
        <v>0.28100000000000003</v>
      </c>
      <c r="H320" s="85">
        <v>0.32600000000000001</v>
      </c>
      <c r="I320" s="85">
        <v>6.0999999999999999E-2</v>
      </c>
      <c r="J320" s="85">
        <v>2.5999999999999999E-2</v>
      </c>
      <c r="K320" s="25">
        <f>((6/3)*L314)+((6/3)*L326)</f>
        <v>13758</v>
      </c>
      <c r="L320" s="93"/>
      <c r="M320" s="80">
        <f t="shared" si="36"/>
        <v>0.6</v>
      </c>
      <c r="N320" s="80">
        <v>0.26</v>
      </c>
      <c r="O320" s="80">
        <f t="shared" si="37"/>
        <v>0.61</v>
      </c>
      <c r="P320" s="80">
        <v>0.34620000000000001</v>
      </c>
      <c r="Q320" s="80">
        <v>0.69640000000000002</v>
      </c>
      <c r="R320" s="80">
        <v>0.6</v>
      </c>
      <c r="S320" s="80">
        <v>0.61</v>
      </c>
    </row>
    <row r="321" spans="1:19">
      <c r="A321" s="19">
        <f t="shared" si="32"/>
        <v>47208</v>
      </c>
      <c r="B321" s="19">
        <f t="shared" si="31"/>
        <v>47572</v>
      </c>
      <c r="C321" s="84">
        <f t="shared" si="38"/>
        <v>0.28100000000000003</v>
      </c>
      <c r="D321" s="84">
        <f t="shared" si="38"/>
        <v>0.32600000000000001</v>
      </c>
      <c r="E321" s="84">
        <f t="shared" si="38"/>
        <v>6.0999999999999999E-2</v>
      </c>
      <c r="F321" s="84">
        <f t="shared" si="38"/>
        <v>2.5999999999999999E-2</v>
      </c>
      <c r="G321" s="85">
        <v>0.28100000000000003</v>
      </c>
      <c r="H321" s="85">
        <v>0.32600000000000001</v>
      </c>
      <c r="I321" s="85">
        <v>6.0999999999999999E-2</v>
      </c>
      <c r="J321" s="85">
        <v>2.5999999999999999E-2</v>
      </c>
      <c r="K321" s="25">
        <f>((5/3)*L314)+((7/3)*L326)</f>
        <v>13814</v>
      </c>
      <c r="L321" s="93"/>
      <c r="M321" s="80">
        <f t="shared" si="36"/>
        <v>0.6</v>
      </c>
      <c r="N321" s="80">
        <v>0.26</v>
      </c>
      <c r="O321" s="80">
        <f t="shared" si="37"/>
        <v>0.61</v>
      </c>
      <c r="P321" s="80">
        <v>0.34620000000000001</v>
      </c>
      <c r="Q321" s="80">
        <v>0.69640000000000002</v>
      </c>
      <c r="R321" s="80">
        <v>0.6</v>
      </c>
      <c r="S321" s="80">
        <v>0.61</v>
      </c>
    </row>
    <row r="322" spans="1:19">
      <c r="A322" s="19">
        <f t="shared" si="32"/>
        <v>47238</v>
      </c>
      <c r="B322" s="19">
        <f t="shared" ref="B322:B385" si="39">EDATE(A322,12)-1</f>
        <v>47602</v>
      </c>
      <c r="C322" s="84">
        <f t="shared" si="38"/>
        <v>0.28100000000000003</v>
      </c>
      <c r="D322" s="84">
        <f t="shared" si="38"/>
        <v>0.32600000000000001</v>
      </c>
      <c r="E322" s="84">
        <f t="shared" si="38"/>
        <v>6.0999999999999999E-2</v>
      </c>
      <c r="F322" s="84">
        <f t="shared" si="38"/>
        <v>2.5999999999999999E-2</v>
      </c>
      <c r="G322" s="85">
        <v>0.28100000000000003</v>
      </c>
      <c r="H322" s="85">
        <v>0.32600000000000001</v>
      </c>
      <c r="I322" s="85">
        <v>6.0999999999999999E-2</v>
      </c>
      <c r="J322" s="85">
        <v>2.5999999999999999E-2</v>
      </c>
      <c r="K322" s="25">
        <f>((4/3)*L314)+((8/3)*L326)</f>
        <v>13870</v>
      </c>
      <c r="L322" s="93"/>
      <c r="M322" s="80">
        <f t="shared" si="36"/>
        <v>0.6</v>
      </c>
      <c r="N322" s="80">
        <v>0.26</v>
      </c>
      <c r="O322" s="80">
        <f t="shared" si="37"/>
        <v>0.61</v>
      </c>
      <c r="P322" s="80">
        <v>0.34620000000000001</v>
      </c>
      <c r="Q322" s="80">
        <v>0.69640000000000002</v>
      </c>
      <c r="R322" s="80">
        <v>0.6</v>
      </c>
      <c r="S322" s="80">
        <v>0.61</v>
      </c>
    </row>
    <row r="323" spans="1:19">
      <c r="A323" s="19">
        <f t="shared" ref="A323:A386" si="40">EDATE(A322,1)</f>
        <v>47269</v>
      </c>
      <c r="B323" s="19">
        <f t="shared" si="39"/>
        <v>47633</v>
      </c>
      <c r="C323" s="84">
        <f t="shared" ref="C323:F338" si="41">AVERAGE(G323:G334)</f>
        <v>0.28100000000000003</v>
      </c>
      <c r="D323" s="84">
        <f t="shared" si="41"/>
        <v>0.32600000000000001</v>
      </c>
      <c r="E323" s="84">
        <f t="shared" si="41"/>
        <v>6.0999999999999999E-2</v>
      </c>
      <c r="F323" s="84">
        <f t="shared" si="41"/>
        <v>2.5999999999999999E-2</v>
      </c>
      <c r="G323" s="85">
        <v>0.28100000000000003</v>
      </c>
      <c r="H323" s="85">
        <v>0.32600000000000001</v>
      </c>
      <c r="I323" s="85">
        <v>6.0999999999999999E-2</v>
      </c>
      <c r="J323" s="85">
        <v>2.5999999999999999E-2</v>
      </c>
      <c r="K323" s="25">
        <f>((3/3)*L314)+((9/3)*L326)</f>
        <v>13926</v>
      </c>
      <c r="L323" s="93"/>
      <c r="M323" s="80">
        <f t="shared" si="36"/>
        <v>0.6</v>
      </c>
      <c r="N323" s="80">
        <v>0.26</v>
      </c>
      <c r="O323" s="80">
        <f t="shared" si="37"/>
        <v>0.61</v>
      </c>
      <c r="P323" s="80">
        <v>0.34620000000000001</v>
      </c>
      <c r="Q323" s="80">
        <v>0.69640000000000002</v>
      </c>
      <c r="R323" s="80">
        <v>0.6</v>
      </c>
      <c r="S323" s="80">
        <v>0.61</v>
      </c>
    </row>
    <row r="324" spans="1:19">
      <c r="A324" s="19">
        <f t="shared" si="40"/>
        <v>47299</v>
      </c>
      <c r="B324" s="19">
        <f t="shared" si="39"/>
        <v>47663</v>
      </c>
      <c r="C324" s="84">
        <f t="shared" si="41"/>
        <v>0.28100000000000003</v>
      </c>
      <c r="D324" s="84">
        <f t="shared" si="41"/>
        <v>0.32600000000000001</v>
      </c>
      <c r="E324" s="84">
        <f t="shared" si="41"/>
        <v>6.0999999999999999E-2</v>
      </c>
      <c r="F324" s="84">
        <f t="shared" si="41"/>
        <v>2.5999999999999999E-2</v>
      </c>
      <c r="G324" s="85">
        <v>0.28100000000000003</v>
      </c>
      <c r="H324" s="85">
        <v>0.32600000000000001</v>
      </c>
      <c r="I324" s="85">
        <v>6.0999999999999999E-2</v>
      </c>
      <c r="J324" s="85">
        <v>2.5999999999999999E-2</v>
      </c>
      <c r="K324" s="25">
        <f>((2/3)*L314)+((10/3)*L326)</f>
        <v>13982</v>
      </c>
      <c r="L324" s="93"/>
      <c r="M324" s="80">
        <f t="shared" si="36"/>
        <v>0.6</v>
      </c>
      <c r="N324" s="80">
        <v>0.26</v>
      </c>
      <c r="O324" s="80">
        <f t="shared" si="37"/>
        <v>0.61</v>
      </c>
      <c r="P324" s="80">
        <v>0.34620000000000001</v>
      </c>
      <c r="Q324" s="80">
        <v>0.69640000000000002</v>
      </c>
      <c r="R324" s="80">
        <v>0.6</v>
      </c>
      <c r="S324" s="80">
        <v>0.61</v>
      </c>
    </row>
    <row r="325" spans="1:19">
      <c r="A325" s="19">
        <f t="shared" si="40"/>
        <v>47330</v>
      </c>
      <c r="B325" s="19">
        <f t="shared" si="39"/>
        <v>47694</v>
      </c>
      <c r="C325" s="81">
        <f t="shared" si="41"/>
        <v>0.28100000000000003</v>
      </c>
      <c r="D325" s="81">
        <f t="shared" si="41"/>
        <v>0.32600000000000001</v>
      </c>
      <c r="E325" s="81">
        <f t="shared" si="41"/>
        <v>6.0999999999999999E-2</v>
      </c>
      <c r="F325" s="81">
        <f t="shared" si="41"/>
        <v>2.5999999999999999E-2</v>
      </c>
      <c r="G325" s="85">
        <v>0.28100000000000003</v>
      </c>
      <c r="H325" s="85">
        <v>0.32600000000000001</v>
      </c>
      <c r="I325" s="85">
        <v>6.0999999999999999E-2</v>
      </c>
      <c r="J325" s="85">
        <v>2.5999999999999999E-2</v>
      </c>
      <c r="K325" s="25">
        <f>((1/3)*L314)+((11/3)*L326)</f>
        <v>14038</v>
      </c>
      <c r="L325" s="93"/>
      <c r="M325" s="80">
        <f t="shared" si="36"/>
        <v>0.6</v>
      </c>
      <c r="N325" s="80">
        <v>0.26</v>
      </c>
      <c r="O325" s="80">
        <f t="shared" si="37"/>
        <v>0.61</v>
      </c>
      <c r="P325" s="80">
        <v>0.34620000000000001</v>
      </c>
      <c r="Q325" s="80">
        <v>0.69640000000000002</v>
      </c>
      <c r="R325" s="80">
        <v>0.6</v>
      </c>
      <c r="S325" s="80">
        <v>0.61</v>
      </c>
    </row>
    <row r="326" spans="1:19" s="78" customFormat="1">
      <c r="A326" s="77">
        <f t="shared" si="40"/>
        <v>47361</v>
      </c>
      <c r="B326" s="77">
        <f t="shared" si="39"/>
        <v>47725</v>
      </c>
      <c r="C326" s="86">
        <f t="shared" si="41"/>
        <v>0.28100000000000003</v>
      </c>
      <c r="D326" s="86">
        <f t="shared" si="41"/>
        <v>0.32600000000000001</v>
      </c>
      <c r="E326" s="86">
        <f t="shared" si="41"/>
        <v>6.0999999999999999E-2</v>
      </c>
      <c r="F326" s="86">
        <f t="shared" si="41"/>
        <v>2.5999999999999999E-2</v>
      </c>
      <c r="G326" s="87">
        <v>0.28100000000000003</v>
      </c>
      <c r="H326" s="87">
        <v>0.32600000000000001</v>
      </c>
      <c r="I326" s="87">
        <v>6.0999999999999999E-2</v>
      </c>
      <c r="J326" s="87">
        <v>2.5999999999999999E-2</v>
      </c>
      <c r="K326" s="76">
        <f>(L326*4)</f>
        <v>14093</v>
      </c>
      <c r="L326" s="94">
        <f>L314*1.05</f>
        <v>3523.37</v>
      </c>
      <c r="M326" s="353">
        <f t="shared" si="36"/>
        <v>0.6</v>
      </c>
      <c r="N326" s="353">
        <v>0.26</v>
      </c>
      <c r="O326" s="353">
        <f t="shared" si="37"/>
        <v>0.61</v>
      </c>
      <c r="P326" s="353">
        <v>0.34620000000000001</v>
      </c>
      <c r="Q326" s="353">
        <v>0.69640000000000002</v>
      </c>
      <c r="R326" s="353">
        <v>0.6</v>
      </c>
      <c r="S326" s="353">
        <v>0.61</v>
      </c>
    </row>
    <row r="327" spans="1:19" s="78" customFormat="1">
      <c r="A327" s="77">
        <f t="shared" si="40"/>
        <v>47391</v>
      </c>
      <c r="B327" s="77">
        <f t="shared" si="39"/>
        <v>47755</v>
      </c>
      <c r="C327" s="86">
        <f t="shared" si="41"/>
        <v>0.28100000000000003</v>
      </c>
      <c r="D327" s="86">
        <f t="shared" si="41"/>
        <v>0.32600000000000001</v>
      </c>
      <c r="E327" s="86">
        <f t="shared" si="41"/>
        <v>6.0999999999999999E-2</v>
      </c>
      <c r="F327" s="86">
        <f t="shared" si="41"/>
        <v>2.5999999999999999E-2</v>
      </c>
      <c r="G327" s="87">
        <v>0.28100000000000003</v>
      </c>
      <c r="H327" s="87">
        <v>0.32600000000000001</v>
      </c>
      <c r="I327" s="87">
        <v>6.0999999999999999E-2</v>
      </c>
      <c r="J327" s="87">
        <v>2.5999999999999999E-2</v>
      </c>
      <c r="K327" s="76">
        <f>((11/3)*L326)+((1/3)*L338)</f>
        <v>14152</v>
      </c>
      <c r="L327" s="94"/>
      <c r="M327" s="353">
        <f t="shared" si="36"/>
        <v>0.6</v>
      </c>
      <c r="N327" s="353">
        <v>0.26</v>
      </c>
      <c r="O327" s="353">
        <f t="shared" si="37"/>
        <v>0.61</v>
      </c>
      <c r="P327" s="353">
        <v>0.34620000000000001</v>
      </c>
      <c r="Q327" s="353">
        <v>0.69640000000000002</v>
      </c>
      <c r="R327" s="353">
        <v>0.6</v>
      </c>
      <c r="S327" s="353">
        <v>0.61</v>
      </c>
    </row>
    <row r="328" spans="1:19" s="78" customFormat="1">
      <c r="A328" s="77">
        <f t="shared" si="40"/>
        <v>47422</v>
      </c>
      <c r="B328" s="77">
        <f t="shared" si="39"/>
        <v>47786</v>
      </c>
      <c r="C328" s="86">
        <f t="shared" si="41"/>
        <v>0.28100000000000003</v>
      </c>
      <c r="D328" s="86">
        <f t="shared" si="41"/>
        <v>0.32600000000000001</v>
      </c>
      <c r="E328" s="86">
        <f t="shared" si="41"/>
        <v>6.0999999999999999E-2</v>
      </c>
      <c r="F328" s="86">
        <f t="shared" si="41"/>
        <v>2.5999999999999999E-2</v>
      </c>
      <c r="G328" s="87">
        <v>0.28100000000000003</v>
      </c>
      <c r="H328" s="87">
        <v>0.32600000000000001</v>
      </c>
      <c r="I328" s="87">
        <v>6.0999999999999999E-2</v>
      </c>
      <c r="J328" s="87">
        <v>2.5999999999999999E-2</v>
      </c>
      <c r="K328" s="76">
        <f>((10/3)*L326)+((2/3)*L338)</f>
        <v>14211</v>
      </c>
      <c r="L328" s="94"/>
      <c r="M328" s="353">
        <f t="shared" si="36"/>
        <v>0.6</v>
      </c>
      <c r="N328" s="353">
        <v>0.26</v>
      </c>
      <c r="O328" s="353">
        <f t="shared" si="37"/>
        <v>0.61</v>
      </c>
      <c r="P328" s="353">
        <v>0.34620000000000001</v>
      </c>
      <c r="Q328" s="353">
        <v>0.69640000000000002</v>
      </c>
      <c r="R328" s="353">
        <v>0.6</v>
      </c>
      <c r="S328" s="353">
        <v>0.61</v>
      </c>
    </row>
    <row r="329" spans="1:19" s="78" customFormat="1">
      <c r="A329" s="77">
        <f t="shared" si="40"/>
        <v>47452</v>
      </c>
      <c r="B329" s="77">
        <f t="shared" si="39"/>
        <v>47816</v>
      </c>
      <c r="C329" s="86">
        <f t="shared" si="41"/>
        <v>0.28100000000000003</v>
      </c>
      <c r="D329" s="86">
        <f t="shared" si="41"/>
        <v>0.32600000000000001</v>
      </c>
      <c r="E329" s="86">
        <f t="shared" si="41"/>
        <v>6.0999999999999999E-2</v>
      </c>
      <c r="F329" s="86">
        <f t="shared" si="41"/>
        <v>2.5999999999999999E-2</v>
      </c>
      <c r="G329" s="87">
        <v>0.28100000000000003</v>
      </c>
      <c r="H329" s="87">
        <v>0.32600000000000001</v>
      </c>
      <c r="I329" s="87">
        <v>6.0999999999999999E-2</v>
      </c>
      <c r="J329" s="87">
        <v>2.5999999999999999E-2</v>
      </c>
      <c r="K329" s="76">
        <f>((9/3)*L326)+((3/3)*L338)</f>
        <v>14270</v>
      </c>
      <c r="L329" s="94"/>
      <c r="M329" s="353">
        <f t="shared" si="36"/>
        <v>0.6</v>
      </c>
      <c r="N329" s="353">
        <v>0.26</v>
      </c>
      <c r="O329" s="353">
        <f t="shared" si="37"/>
        <v>0.61</v>
      </c>
      <c r="P329" s="353">
        <v>0.34620000000000001</v>
      </c>
      <c r="Q329" s="353">
        <v>0.69640000000000002</v>
      </c>
      <c r="R329" s="353">
        <v>0.6</v>
      </c>
      <c r="S329" s="353">
        <v>0.61</v>
      </c>
    </row>
    <row r="330" spans="1:19" s="78" customFormat="1">
      <c r="A330" s="77">
        <f t="shared" si="40"/>
        <v>47483</v>
      </c>
      <c r="B330" s="77">
        <f t="shared" si="39"/>
        <v>47847</v>
      </c>
      <c r="C330" s="86">
        <f t="shared" si="41"/>
        <v>0.28100000000000003</v>
      </c>
      <c r="D330" s="86">
        <f t="shared" si="41"/>
        <v>0.32600000000000001</v>
      </c>
      <c r="E330" s="86">
        <f t="shared" si="41"/>
        <v>6.0999999999999999E-2</v>
      </c>
      <c r="F330" s="86">
        <f t="shared" si="41"/>
        <v>2.5999999999999999E-2</v>
      </c>
      <c r="G330" s="87">
        <v>0.28100000000000003</v>
      </c>
      <c r="H330" s="87">
        <v>0.32600000000000001</v>
      </c>
      <c r="I330" s="87">
        <v>6.0999999999999999E-2</v>
      </c>
      <c r="J330" s="87">
        <v>2.5999999999999999E-2</v>
      </c>
      <c r="K330" s="76">
        <f>((8/3)*L326)+((4/3)*L338)</f>
        <v>14328</v>
      </c>
      <c r="L330" s="94"/>
      <c r="M330" s="353">
        <f t="shared" si="36"/>
        <v>0.6</v>
      </c>
      <c r="N330" s="353">
        <v>0.26</v>
      </c>
      <c r="O330" s="353">
        <f t="shared" si="37"/>
        <v>0.61</v>
      </c>
      <c r="P330" s="353">
        <v>0.34620000000000001</v>
      </c>
      <c r="Q330" s="353">
        <v>0.69640000000000002</v>
      </c>
      <c r="R330" s="353">
        <v>0.6</v>
      </c>
      <c r="S330" s="353">
        <v>0.61</v>
      </c>
    </row>
    <row r="331" spans="1:19" s="78" customFormat="1">
      <c r="A331" s="77">
        <f t="shared" si="40"/>
        <v>47514</v>
      </c>
      <c r="B331" s="77">
        <f t="shared" si="39"/>
        <v>47878</v>
      </c>
      <c r="C331" s="86">
        <f t="shared" si="41"/>
        <v>0.28100000000000003</v>
      </c>
      <c r="D331" s="86">
        <f t="shared" si="41"/>
        <v>0.32600000000000001</v>
      </c>
      <c r="E331" s="86">
        <f t="shared" si="41"/>
        <v>6.0999999999999999E-2</v>
      </c>
      <c r="F331" s="86">
        <f t="shared" si="41"/>
        <v>2.5999999999999999E-2</v>
      </c>
      <c r="G331" s="87">
        <v>0.28100000000000003</v>
      </c>
      <c r="H331" s="87">
        <v>0.32600000000000001</v>
      </c>
      <c r="I331" s="87">
        <v>6.0999999999999999E-2</v>
      </c>
      <c r="J331" s="87">
        <v>2.5999999999999999E-2</v>
      </c>
      <c r="K331" s="76">
        <f>((7/3)*L326)+((5/3)*L338)</f>
        <v>14387</v>
      </c>
      <c r="L331" s="94"/>
      <c r="M331" s="353">
        <f t="shared" si="36"/>
        <v>0.6</v>
      </c>
      <c r="N331" s="353">
        <v>0.26</v>
      </c>
      <c r="O331" s="353">
        <f t="shared" si="37"/>
        <v>0.61</v>
      </c>
      <c r="P331" s="353">
        <v>0.34620000000000001</v>
      </c>
      <c r="Q331" s="353">
        <v>0.69640000000000002</v>
      </c>
      <c r="R331" s="353">
        <v>0.6</v>
      </c>
      <c r="S331" s="353">
        <v>0.61</v>
      </c>
    </row>
    <row r="332" spans="1:19" s="78" customFormat="1">
      <c r="A332" s="77">
        <f t="shared" si="40"/>
        <v>47542</v>
      </c>
      <c r="B332" s="77">
        <f t="shared" si="39"/>
        <v>47906</v>
      </c>
      <c r="C332" s="86">
        <f t="shared" si="41"/>
        <v>0.28100000000000003</v>
      </c>
      <c r="D332" s="86">
        <f t="shared" si="41"/>
        <v>0.32600000000000001</v>
      </c>
      <c r="E332" s="86">
        <f t="shared" si="41"/>
        <v>6.0999999999999999E-2</v>
      </c>
      <c r="F332" s="86">
        <f t="shared" si="41"/>
        <v>2.5999999999999999E-2</v>
      </c>
      <c r="G332" s="87">
        <v>0.28100000000000003</v>
      </c>
      <c r="H332" s="87">
        <v>0.32600000000000001</v>
      </c>
      <c r="I332" s="87">
        <v>6.0999999999999999E-2</v>
      </c>
      <c r="J332" s="87">
        <v>2.5999999999999999E-2</v>
      </c>
      <c r="K332" s="76">
        <f>((6/3)*L326)+((6/3)*L338)</f>
        <v>14446</v>
      </c>
      <c r="L332" s="94"/>
      <c r="M332" s="353">
        <f t="shared" si="36"/>
        <v>0.6</v>
      </c>
      <c r="N332" s="353">
        <v>0.26</v>
      </c>
      <c r="O332" s="353">
        <f t="shared" si="37"/>
        <v>0.61</v>
      </c>
      <c r="P332" s="353">
        <v>0.34620000000000001</v>
      </c>
      <c r="Q332" s="353">
        <v>0.69640000000000002</v>
      </c>
      <c r="R332" s="353">
        <v>0.6</v>
      </c>
      <c r="S332" s="353">
        <v>0.61</v>
      </c>
    </row>
    <row r="333" spans="1:19" s="78" customFormat="1">
      <c r="A333" s="77">
        <f t="shared" si="40"/>
        <v>47573</v>
      </c>
      <c r="B333" s="77">
        <f t="shared" si="39"/>
        <v>47937</v>
      </c>
      <c r="C333" s="86">
        <f t="shared" si="41"/>
        <v>0.28100000000000003</v>
      </c>
      <c r="D333" s="86">
        <f t="shared" si="41"/>
        <v>0.32600000000000001</v>
      </c>
      <c r="E333" s="86">
        <f t="shared" si="41"/>
        <v>6.0999999999999999E-2</v>
      </c>
      <c r="F333" s="86">
        <f t="shared" si="41"/>
        <v>2.5999999999999999E-2</v>
      </c>
      <c r="G333" s="87">
        <v>0.28100000000000003</v>
      </c>
      <c r="H333" s="87">
        <v>0.32600000000000001</v>
      </c>
      <c r="I333" s="87">
        <v>6.0999999999999999E-2</v>
      </c>
      <c r="J333" s="87">
        <v>2.5999999999999999E-2</v>
      </c>
      <c r="K333" s="76">
        <f>((5/3)*L326)+((7/3)*L338)</f>
        <v>14505</v>
      </c>
      <c r="L333" s="94"/>
      <c r="M333" s="353">
        <f t="shared" si="36"/>
        <v>0.6</v>
      </c>
      <c r="N333" s="353">
        <v>0.26</v>
      </c>
      <c r="O333" s="353">
        <f t="shared" si="37"/>
        <v>0.61</v>
      </c>
      <c r="P333" s="353">
        <v>0.34620000000000001</v>
      </c>
      <c r="Q333" s="353">
        <v>0.69640000000000002</v>
      </c>
      <c r="R333" s="353">
        <v>0.6</v>
      </c>
      <c r="S333" s="353">
        <v>0.61</v>
      </c>
    </row>
    <row r="334" spans="1:19" s="78" customFormat="1">
      <c r="A334" s="77">
        <f t="shared" si="40"/>
        <v>47603</v>
      </c>
      <c r="B334" s="77">
        <f t="shared" si="39"/>
        <v>47967</v>
      </c>
      <c r="C334" s="86">
        <f t="shared" si="41"/>
        <v>0.28100000000000003</v>
      </c>
      <c r="D334" s="86">
        <f t="shared" si="41"/>
        <v>0.32600000000000001</v>
      </c>
      <c r="E334" s="86">
        <f t="shared" si="41"/>
        <v>6.0999999999999999E-2</v>
      </c>
      <c r="F334" s="86">
        <f t="shared" si="41"/>
        <v>2.5999999999999999E-2</v>
      </c>
      <c r="G334" s="87">
        <v>0.28100000000000003</v>
      </c>
      <c r="H334" s="87">
        <v>0.32600000000000001</v>
      </c>
      <c r="I334" s="87">
        <v>6.0999999999999999E-2</v>
      </c>
      <c r="J334" s="87">
        <v>2.5999999999999999E-2</v>
      </c>
      <c r="K334" s="76">
        <f>((4/3)*L326)+((8/3)*L338)</f>
        <v>14563</v>
      </c>
      <c r="L334" s="94"/>
      <c r="M334" s="353">
        <f t="shared" si="36"/>
        <v>0.6</v>
      </c>
      <c r="N334" s="353">
        <v>0.26</v>
      </c>
      <c r="O334" s="353">
        <f t="shared" si="37"/>
        <v>0.61</v>
      </c>
      <c r="P334" s="353">
        <v>0.34620000000000001</v>
      </c>
      <c r="Q334" s="353">
        <v>0.69640000000000002</v>
      </c>
      <c r="R334" s="353">
        <v>0.6</v>
      </c>
      <c r="S334" s="353">
        <v>0.61</v>
      </c>
    </row>
    <row r="335" spans="1:19" s="78" customFormat="1">
      <c r="A335" s="77">
        <f t="shared" si="40"/>
        <v>47634</v>
      </c>
      <c r="B335" s="77">
        <f t="shared" si="39"/>
        <v>47998</v>
      </c>
      <c r="C335" s="86">
        <f t="shared" si="41"/>
        <v>0.28100000000000003</v>
      </c>
      <c r="D335" s="86">
        <f t="shared" si="41"/>
        <v>0.32600000000000001</v>
      </c>
      <c r="E335" s="86">
        <f t="shared" si="41"/>
        <v>6.0999999999999999E-2</v>
      </c>
      <c r="F335" s="86">
        <f t="shared" si="41"/>
        <v>2.5999999999999999E-2</v>
      </c>
      <c r="G335" s="87">
        <v>0.28100000000000003</v>
      </c>
      <c r="H335" s="87">
        <v>0.32600000000000001</v>
      </c>
      <c r="I335" s="87">
        <v>6.0999999999999999E-2</v>
      </c>
      <c r="J335" s="87">
        <v>2.5999999999999999E-2</v>
      </c>
      <c r="K335" s="76">
        <f>((3/3)*L326)+((9/3)*L338)</f>
        <v>14622</v>
      </c>
      <c r="L335" s="94"/>
      <c r="M335" s="353">
        <f t="shared" si="36"/>
        <v>0.6</v>
      </c>
      <c r="N335" s="353">
        <v>0.26</v>
      </c>
      <c r="O335" s="353">
        <f t="shared" si="37"/>
        <v>0.61</v>
      </c>
      <c r="P335" s="353">
        <v>0.34620000000000001</v>
      </c>
      <c r="Q335" s="353">
        <v>0.69640000000000002</v>
      </c>
      <c r="R335" s="353">
        <v>0.6</v>
      </c>
      <c r="S335" s="353">
        <v>0.61</v>
      </c>
    </row>
    <row r="336" spans="1:19" s="78" customFormat="1">
      <c r="A336" s="77">
        <f t="shared" si="40"/>
        <v>47664</v>
      </c>
      <c r="B336" s="77">
        <f t="shared" si="39"/>
        <v>48028</v>
      </c>
      <c r="C336" s="86">
        <f t="shared" si="41"/>
        <v>0.28100000000000003</v>
      </c>
      <c r="D336" s="86">
        <f t="shared" si="41"/>
        <v>0.32600000000000001</v>
      </c>
      <c r="E336" s="86">
        <f t="shared" si="41"/>
        <v>6.0999999999999999E-2</v>
      </c>
      <c r="F336" s="86">
        <f t="shared" si="41"/>
        <v>2.5999999999999999E-2</v>
      </c>
      <c r="G336" s="87">
        <v>0.28100000000000003</v>
      </c>
      <c r="H336" s="87">
        <v>0.32600000000000001</v>
      </c>
      <c r="I336" s="87">
        <v>6.0999999999999999E-2</v>
      </c>
      <c r="J336" s="87">
        <v>2.5999999999999999E-2</v>
      </c>
      <c r="K336" s="76">
        <f>((2/3)*L326)+((10/3)*L338)</f>
        <v>14681</v>
      </c>
      <c r="L336" s="94"/>
      <c r="M336" s="353">
        <f t="shared" si="36"/>
        <v>0.6</v>
      </c>
      <c r="N336" s="353">
        <v>0.26</v>
      </c>
      <c r="O336" s="353">
        <f t="shared" si="37"/>
        <v>0.61</v>
      </c>
      <c r="P336" s="353">
        <v>0.34620000000000001</v>
      </c>
      <c r="Q336" s="353">
        <v>0.69640000000000002</v>
      </c>
      <c r="R336" s="353">
        <v>0.6</v>
      </c>
      <c r="S336" s="353">
        <v>0.61</v>
      </c>
    </row>
    <row r="337" spans="1:19" s="78" customFormat="1">
      <c r="A337" s="77">
        <f t="shared" si="40"/>
        <v>47695</v>
      </c>
      <c r="B337" s="77">
        <f t="shared" si="39"/>
        <v>48059</v>
      </c>
      <c r="C337" s="86">
        <f t="shared" si="41"/>
        <v>0.28100000000000003</v>
      </c>
      <c r="D337" s="86">
        <f t="shared" si="41"/>
        <v>0.32600000000000001</v>
      </c>
      <c r="E337" s="86">
        <f t="shared" si="41"/>
        <v>6.0999999999999999E-2</v>
      </c>
      <c r="F337" s="86">
        <f t="shared" si="41"/>
        <v>2.5999999999999999E-2</v>
      </c>
      <c r="G337" s="87">
        <v>0.28100000000000003</v>
      </c>
      <c r="H337" s="87">
        <v>0.32600000000000001</v>
      </c>
      <c r="I337" s="87">
        <v>6.0999999999999999E-2</v>
      </c>
      <c r="J337" s="87">
        <v>2.5999999999999999E-2</v>
      </c>
      <c r="K337" s="76">
        <f>((1/3)*L326)+((11/3)*L338)</f>
        <v>14739</v>
      </c>
      <c r="L337" s="94"/>
      <c r="M337" s="353">
        <f t="shared" si="36"/>
        <v>0.6</v>
      </c>
      <c r="N337" s="353">
        <v>0.26</v>
      </c>
      <c r="O337" s="353">
        <f t="shared" si="37"/>
        <v>0.61</v>
      </c>
      <c r="P337" s="353">
        <v>0.34620000000000001</v>
      </c>
      <c r="Q337" s="353">
        <v>0.69640000000000002</v>
      </c>
      <c r="R337" s="353">
        <v>0.6</v>
      </c>
      <c r="S337" s="353">
        <v>0.61</v>
      </c>
    </row>
    <row r="338" spans="1:19">
      <c r="A338" s="19">
        <f t="shared" si="40"/>
        <v>47726</v>
      </c>
      <c r="B338" s="19">
        <f t="shared" si="39"/>
        <v>48090</v>
      </c>
      <c r="C338" s="84">
        <f t="shared" si="41"/>
        <v>0.28100000000000003</v>
      </c>
      <c r="D338" s="84">
        <f t="shared" si="41"/>
        <v>0.32600000000000001</v>
      </c>
      <c r="E338" s="84">
        <f t="shared" si="41"/>
        <v>6.0999999999999999E-2</v>
      </c>
      <c r="F338" s="84">
        <f t="shared" si="41"/>
        <v>2.5999999999999999E-2</v>
      </c>
      <c r="G338" s="85">
        <v>0.28100000000000003</v>
      </c>
      <c r="H338" s="85">
        <v>0.32600000000000001</v>
      </c>
      <c r="I338" s="85">
        <v>6.0999999999999999E-2</v>
      </c>
      <c r="J338" s="85">
        <v>2.5999999999999999E-2</v>
      </c>
      <c r="K338" s="25">
        <f>(L338*4)</f>
        <v>14798</v>
      </c>
      <c r="L338" s="93">
        <f>L326*1.05</f>
        <v>3699.54</v>
      </c>
      <c r="M338" s="80">
        <f t="shared" si="36"/>
        <v>0.6</v>
      </c>
      <c r="N338" s="80">
        <v>0.26</v>
      </c>
      <c r="O338" s="80">
        <f t="shared" si="37"/>
        <v>0.61</v>
      </c>
      <c r="P338" s="80">
        <v>0.34620000000000001</v>
      </c>
      <c r="Q338" s="80">
        <v>0.69640000000000002</v>
      </c>
      <c r="R338" s="80">
        <v>0.6</v>
      </c>
      <c r="S338" s="80">
        <v>0.61</v>
      </c>
    </row>
    <row r="339" spans="1:19">
      <c r="A339" s="19">
        <f t="shared" si="40"/>
        <v>47756</v>
      </c>
      <c r="B339" s="19">
        <f t="shared" si="39"/>
        <v>48120</v>
      </c>
      <c r="C339" s="84">
        <f t="shared" ref="C339:F354" si="42">AVERAGE(G339:G350)</f>
        <v>0.28100000000000003</v>
      </c>
      <c r="D339" s="84">
        <f t="shared" si="42"/>
        <v>0.32600000000000001</v>
      </c>
      <c r="E339" s="84">
        <f t="shared" si="42"/>
        <v>6.0999999999999999E-2</v>
      </c>
      <c r="F339" s="84">
        <f t="shared" si="42"/>
        <v>2.5999999999999999E-2</v>
      </c>
      <c r="G339" s="85">
        <v>0.28100000000000003</v>
      </c>
      <c r="H339" s="85">
        <v>0.32600000000000001</v>
      </c>
      <c r="I339" s="85">
        <v>6.0999999999999999E-2</v>
      </c>
      <c r="J339" s="85">
        <v>2.5999999999999999E-2</v>
      </c>
      <c r="K339" s="25">
        <f>((11/3)*L338)+((1/3)*L350)</f>
        <v>14860</v>
      </c>
      <c r="L339" s="93"/>
      <c r="M339" s="80">
        <f t="shared" si="36"/>
        <v>0.6</v>
      </c>
      <c r="N339" s="80">
        <v>0.26</v>
      </c>
      <c r="O339" s="80">
        <f t="shared" si="37"/>
        <v>0.61</v>
      </c>
      <c r="P339" s="80">
        <v>0.34620000000000001</v>
      </c>
      <c r="Q339" s="80">
        <v>0.69640000000000002</v>
      </c>
      <c r="R339" s="80">
        <v>0.6</v>
      </c>
      <c r="S339" s="80">
        <v>0.61</v>
      </c>
    </row>
    <row r="340" spans="1:19">
      <c r="A340" s="19">
        <f t="shared" si="40"/>
        <v>47787</v>
      </c>
      <c r="B340" s="19">
        <f t="shared" si="39"/>
        <v>48151</v>
      </c>
      <c r="C340" s="84">
        <f t="shared" si="42"/>
        <v>0.28100000000000003</v>
      </c>
      <c r="D340" s="84">
        <f t="shared" si="42"/>
        <v>0.32600000000000001</v>
      </c>
      <c r="E340" s="84">
        <f t="shared" si="42"/>
        <v>6.0999999999999999E-2</v>
      </c>
      <c r="F340" s="84">
        <f t="shared" si="42"/>
        <v>2.5999999999999999E-2</v>
      </c>
      <c r="G340" s="85">
        <v>0.28100000000000003</v>
      </c>
      <c r="H340" s="85">
        <v>0.32600000000000001</v>
      </c>
      <c r="I340" s="85">
        <v>6.0999999999999999E-2</v>
      </c>
      <c r="J340" s="85">
        <v>2.5999999999999999E-2</v>
      </c>
      <c r="K340" s="25">
        <f>((10/3)*L338)+((2/3)*L350)</f>
        <v>14921</v>
      </c>
      <c r="L340" s="93"/>
      <c r="M340" s="80">
        <f t="shared" si="36"/>
        <v>0.6</v>
      </c>
      <c r="N340" s="80">
        <v>0.26</v>
      </c>
      <c r="O340" s="80">
        <f t="shared" si="37"/>
        <v>0.61</v>
      </c>
      <c r="P340" s="80">
        <v>0.34620000000000001</v>
      </c>
      <c r="Q340" s="80">
        <v>0.69640000000000002</v>
      </c>
      <c r="R340" s="80">
        <v>0.6</v>
      </c>
      <c r="S340" s="80">
        <v>0.61</v>
      </c>
    </row>
    <row r="341" spans="1:19">
      <c r="A341" s="19">
        <f t="shared" si="40"/>
        <v>47817</v>
      </c>
      <c r="B341" s="19">
        <f t="shared" si="39"/>
        <v>48181</v>
      </c>
      <c r="C341" s="84">
        <f t="shared" si="42"/>
        <v>0.28100000000000003</v>
      </c>
      <c r="D341" s="84">
        <f t="shared" si="42"/>
        <v>0.32600000000000001</v>
      </c>
      <c r="E341" s="84">
        <f t="shared" si="42"/>
        <v>6.0999999999999999E-2</v>
      </c>
      <c r="F341" s="84">
        <f t="shared" si="42"/>
        <v>2.5999999999999999E-2</v>
      </c>
      <c r="G341" s="85">
        <v>0.28100000000000003</v>
      </c>
      <c r="H341" s="85">
        <v>0.32600000000000001</v>
      </c>
      <c r="I341" s="85">
        <v>6.0999999999999999E-2</v>
      </c>
      <c r="J341" s="85">
        <v>2.5999999999999999E-2</v>
      </c>
      <c r="K341" s="25">
        <f>((9/3)*L338)+((3/3)*L350)</f>
        <v>14983</v>
      </c>
      <c r="L341" s="93"/>
      <c r="M341" s="80">
        <f t="shared" si="36"/>
        <v>0.6</v>
      </c>
      <c r="N341" s="80">
        <v>0.26</v>
      </c>
      <c r="O341" s="80">
        <f t="shared" si="37"/>
        <v>0.61</v>
      </c>
      <c r="P341" s="80">
        <v>0.34620000000000001</v>
      </c>
      <c r="Q341" s="80">
        <v>0.69640000000000002</v>
      </c>
      <c r="R341" s="80">
        <v>0.6</v>
      </c>
      <c r="S341" s="80">
        <v>0.61</v>
      </c>
    </row>
    <row r="342" spans="1:19">
      <c r="A342" s="19">
        <f t="shared" si="40"/>
        <v>47848</v>
      </c>
      <c r="B342" s="19">
        <f t="shared" si="39"/>
        <v>48212</v>
      </c>
      <c r="C342" s="84">
        <f t="shared" si="42"/>
        <v>0.28100000000000003</v>
      </c>
      <c r="D342" s="84">
        <f t="shared" si="42"/>
        <v>0.32600000000000001</v>
      </c>
      <c r="E342" s="84">
        <f t="shared" si="42"/>
        <v>6.0999999999999999E-2</v>
      </c>
      <c r="F342" s="84">
        <f t="shared" si="42"/>
        <v>2.5999999999999999E-2</v>
      </c>
      <c r="G342" s="85">
        <v>0.28100000000000003</v>
      </c>
      <c r="H342" s="85">
        <v>0.32600000000000001</v>
      </c>
      <c r="I342" s="85">
        <v>6.0999999999999999E-2</v>
      </c>
      <c r="J342" s="85">
        <v>2.5999999999999999E-2</v>
      </c>
      <c r="K342" s="25">
        <f>((8/3)*L338)+((4/3)*L350)</f>
        <v>15045</v>
      </c>
      <c r="L342" s="93"/>
      <c r="M342" s="80">
        <f t="shared" si="36"/>
        <v>0.6</v>
      </c>
      <c r="N342" s="80">
        <v>0.26</v>
      </c>
      <c r="O342" s="80">
        <f t="shared" si="37"/>
        <v>0.61</v>
      </c>
      <c r="P342" s="80">
        <v>0.34620000000000001</v>
      </c>
      <c r="Q342" s="80">
        <v>0.69640000000000002</v>
      </c>
      <c r="R342" s="80">
        <v>0.6</v>
      </c>
      <c r="S342" s="80">
        <v>0.61</v>
      </c>
    </row>
    <row r="343" spans="1:19">
      <c r="A343" s="19">
        <f t="shared" si="40"/>
        <v>47879</v>
      </c>
      <c r="B343" s="19">
        <f t="shared" si="39"/>
        <v>48243</v>
      </c>
      <c r="C343" s="84">
        <f t="shared" si="42"/>
        <v>0.28100000000000003</v>
      </c>
      <c r="D343" s="84">
        <f t="shared" si="42"/>
        <v>0.32600000000000001</v>
      </c>
      <c r="E343" s="84">
        <f t="shared" si="42"/>
        <v>6.0999999999999999E-2</v>
      </c>
      <c r="F343" s="84">
        <f t="shared" si="42"/>
        <v>2.5999999999999999E-2</v>
      </c>
      <c r="G343" s="85">
        <v>0.28100000000000003</v>
      </c>
      <c r="H343" s="85">
        <v>0.32600000000000001</v>
      </c>
      <c r="I343" s="85">
        <v>6.0999999999999999E-2</v>
      </c>
      <c r="J343" s="85">
        <v>2.5999999999999999E-2</v>
      </c>
      <c r="K343" s="25">
        <f>((7/3)*L338)+((5/3)*L350)</f>
        <v>15106</v>
      </c>
      <c r="L343" s="93"/>
      <c r="M343" s="80">
        <f t="shared" si="36"/>
        <v>0.6</v>
      </c>
      <c r="N343" s="80">
        <v>0.26</v>
      </c>
      <c r="O343" s="80">
        <f t="shared" si="37"/>
        <v>0.61</v>
      </c>
      <c r="P343" s="80">
        <v>0.34620000000000001</v>
      </c>
      <c r="Q343" s="80">
        <v>0.69640000000000002</v>
      </c>
      <c r="R343" s="80">
        <v>0.6</v>
      </c>
      <c r="S343" s="80">
        <v>0.61</v>
      </c>
    </row>
    <row r="344" spans="1:19">
      <c r="A344" s="19">
        <f t="shared" si="40"/>
        <v>47907</v>
      </c>
      <c r="B344" s="19">
        <f t="shared" si="39"/>
        <v>48272</v>
      </c>
      <c r="C344" s="84">
        <f t="shared" si="42"/>
        <v>0.28100000000000003</v>
      </c>
      <c r="D344" s="84">
        <f t="shared" si="42"/>
        <v>0.32600000000000001</v>
      </c>
      <c r="E344" s="84">
        <f t="shared" si="42"/>
        <v>6.0999999999999999E-2</v>
      </c>
      <c r="F344" s="84">
        <f t="shared" si="42"/>
        <v>2.5999999999999999E-2</v>
      </c>
      <c r="G344" s="85">
        <v>0.28100000000000003</v>
      </c>
      <c r="H344" s="85">
        <v>0.32600000000000001</v>
      </c>
      <c r="I344" s="85">
        <v>6.0999999999999999E-2</v>
      </c>
      <c r="J344" s="85">
        <v>2.5999999999999999E-2</v>
      </c>
      <c r="K344" s="25">
        <f>((6/3)*L338)+((6/3)*L350)</f>
        <v>15168</v>
      </c>
      <c r="L344" s="93"/>
      <c r="M344" s="80">
        <f t="shared" si="36"/>
        <v>0.6</v>
      </c>
      <c r="N344" s="80">
        <v>0.26</v>
      </c>
      <c r="O344" s="80">
        <f t="shared" si="37"/>
        <v>0.61</v>
      </c>
      <c r="P344" s="80">
        <v>0.34620000000000001</v>
      </c>
      <c r="Q344" s="80">
        <v>0.69640000000000002</v>
      </c>
      <c r="R344" s="80">
        <v>0.6</v>
      </c>
      <c r="S344" s="80">
        <v>0.61</v>
      </c>
    </row>
    <row r="345" spans="1:19">
      <c r="A345" s="19">
        <f t="shared" si="40"/>
        <v>47938</v>
      </c>
      <c r="B345" s="19">
        <f t="shared" si="39"/>
        <v>48303</v>
      </c>
      <c r="C345" s="84">
        <f t="shared" si="42"/>
        <v>0.28100000000000003</v>
      </c>
      <c r="D345" s="84">
        <f t="shared" si="42"/>
        <v>0.32600000000000001</v>
      </c>
      <c r="E345" s="84">
        <f t="shared" si="42"/>
        <v>6.0999999999999999E-2</v>
      </c>
      <c r="F345" s="84">
        <f t="shared" si="42"/>
        <v>2.5999999999999999E-2</v>
      </c>
      <c r="G345" s="85">
        <v>0.28100000000000003</v>
      </c>
      <c r="H345" s="85">
        <v>0.32600000000000001</v>
      </c>
      <c r="I345" s="85">
        <v>6.0999999999999999E-2</v>
      </c>
      <c r="J345" s="85">
        <v>2.5999999999999999E-2</v>
      </c>
      <c r="K345" s="25">
        <f>((5/3)*L338)+((7/3)*L350)</f>
        <v>15230</v>
      </c>
      <c r="L345" s="93"/>
      <c r="M345" s="80">
        <f t="shared" si="36"/>
        <v>0.6</v>
      </c>
      <c r="N345" s="80">
        <v>0.26</v>
      </c>
      <c r="O345" s="80">
        <f t="shared" si="37"/>
        <v>0.61</v>
      </c>
      <c r="P345" s="80">
        <v>0.34620000000000001</v>
      </c>
      <c r="Q345" s="80">
        <v>0.69640000000000002</v>
      </c>
      <c r="R345" s="80">
        <v>0.6</v>
      </c>
      <c r="S345" s="80">
        <v>0.61</v>
      </c>
    </row>
    <row r="346" spans="1:19">
      <c r="A346" s="19">
        <f t="shared" si="40"/>
        <v>47968</v>
      </c>
      <c r="B346" s="19">
        <f t="shared" si="39"/>
        <v>48333</v>
      </c>
      <c r="C346" s="84">
        <f t="shared" si="42"/>
        <v>0.28100000000000003</v>
      </c>
      <c r="D346" s="84">
        <f t="shared" si="42"/>
        <v>0.32600000000000001</v>
      </c>
      <c r="E346" s="84">
        <f t="shared" si="42"/>
        <v>6.0999999999999999E-2</v>
      </c>
      <c r="F346" s="84">
        <f t="shared" si="42"/>
        <v>2.5999999999999999E-2</v>
      </c>
      <c r="G346" s="85">
        <v>0.28100000000000003</v>
      </c>
      <c r="H346" s="85">
        <v>0.32600000000000001</v>
      </c>
      <c r="I346" s="85">
        <v>6.0999999999999999E-2</v>
      </c>
      <c r="J346" s="85">
        <v>2.5999999999999999E-2</v>
      </c>
      <c r="K346" s="25">
        <f>((4/3)*L338)+((8/3)*L350)</f>
        <v>15291</v>
      </c>
      <c r="L346" s="93"/>
      <c r="M346" s="80">
        <f t="shared" si="36"/>
        <v>0.6</v>
      </c>
      <c r="N346" s="80">
        <v>0.26</v>
      </c>
      <c r="O346" s="80">
        <f t="shared" si="37"/>
        <v>0.61</v>
      </c>
      <c r="P346" s="80">
        <v>0.34620000000000001</v>
      </c>
      <c r="Q346" s="80">
        <v>0.69640000000000002</v>
      </c>
      <c r="R346" s="80">
        <v>0.6</v>
      </c>
      <c r="S346" s="80">
        <v>0.61</v>
      </c>
    </row>
    <row r="347" spans="1:19">
      <c r="A347" s="19">
        <f t="shared" si="40"/>
        <v>47999</v>
      </c>
      <c r="B347" s="19">
        <f t="shared" si="39"/>
        <v>48364</v>
      </c>
      <c r="C347" s="84">
        <f t="shared" si="42"/>
        <v>0.28100000000000003</v>
      </c>
      <c r="D347" s="84">
        <f t="shared" si="42"/>
        <v>0.32600000000000001</v>
      </c>
      <c r="E347" s="84">
        <f t="shared" si="42"/>
        <v>6.0999999999999999E-2</v>
      </c>
      <c r="F347" s="84">
        <f t="shared" si="42"/>
        <v>2.5999999999999999E-2</v>
      </c>
      <c r="G347" s="85">
        <v>0.28100000000000003</v>
      </c>
      <c r="H347" s="85">
        <v>0.32600000000000001</v>
      </c>
      <c r="I347" s="85">
        <v>6.0999999999999999E-2</v>
      </c>
      <c r="J347" s="85">
        <v>2.5999999999999999E-2</v>
      </c>
      <c r="K347" s="25">
        <f>((3/3)*L338)+((9/3)*L350)</f>
        <v>15353</v>
      </c>
      <c r="L347" s="93"/>
      <c r="M347" s="80">
        <f t="shared" si="36"/>
        <v>0.6</v>
      </c>
      <c r="N347" s="80">
        <v>0.26</v>
      </c>
      <c r="O347" s="80">
        <f t="shared" si="37"/>
        <v>0.61</v>
      </c>
      <c r="P347" s="80">
        <v>0.34620000000000001</v>
      </c>
      <c r="Q347" s="80">
        <v>0.69640000000000002</v>
      </c>
      <c r="R347" s="80">
        <v>0.6</v>
      </c>
      <c r="S347" s="80">
        <v>0.61</v>
      </c>
    </row>
    <row r="348" spans="1:19">
      <c r="A348" s="19">
        <f t="shared" si="40"/>
        <v>48029</v>
      </c>
      <c r="B348" s="19">
        <f t="shared" si="39"/>
        <v>48394</v>
      </c>
      <c r="C348" s="84">
        <f t="shared" si="42"/>
        <v>0.28100000000000003</v>
      </c>
      <c r="D348" s="84">
        <f t="shared" si="42"/>
        <v>0.32600000000000001</v>
      </c>
      <c r="E348" s="84">
        <f t="shared" si="42"/>
        <v>6.0999999999999999E-2</v>
      </c>
      <c r="F348" s="84">
        <f t="shared" si="42"/>
        <v>2.5999999999999999E-2</v>
      </c>
      <c r="G348" s="85">
        <v>0.28100000000000003</v>
      </c>
      <c r="H348" s="85">
        <v>0.32600000000000001</v>
      </c>
      <c r="I348" s="85">
        <v>6.0999999999999999E-2</v>
      </c>
      <c r="J348" s="85">
        <v>2.5999999999999999E-2</v>
      </c>
      <c r="K348" s="25">
        <f>((2/3)*L338)+((10/3)*L350)</f>
        <v>15415</v>
      </c>
      <c r="L348" s="93"/>
      <c r="M348" s="80">
        <f t="shared" si="36"/>
        <v>0.6</v>
      </c>
      <c r="N348" s="80">
        <v>0.26</v>
      </c>
      <c r="O348" s="80">
        <f t="shared" si="37"/>
        <v>0.61</v>
      </c>
      <c r="P348" s="80">
        <v>0.34620000000000001</v>
      </c>
      <c r="Q348" s="80">
        <v>0.69640000000000002</v>
      </c>
      <c r="R348" s="80">
        <v>0.6</v>
      </c>
      <c r="S348" s="80">
        <v>0.61</v>
      </c>
    </row>
    <row r="349" spans="1:19">
      <c r="A349" s="19">
        <f t="shared" si="40"/>
        <v>48060</v>
      </c>
      <c r="B349" s="19">
        <f t="shared" si="39"/>
        <v>48425</v>
      </c>
      <c r="C349" s="81">
        <f t="shared" si="42"/>
        <v>0.28100000000000003</v>
      </c>
      <c r="D349" s="81">
        <f t="shared" si="42"/>
        <v>0.32600000000000001</v>
      </c>
      <c r="E349" s="81">
        <f t="shared" si="42"/>
        <v>6.0999999999999999E-2</v>
      </c>
      <c r="F349" s="81">
        <f t="shared" si="42"/>
        <v>2.5999999999999999E-2</v>
      </c>
      <c r="G349" s="85">
        <v>0.28100000000000003</v>
      </c>
      <c r="H349" s="85">
        <v>0.32600000000000001</v>
      </c>
      <c r="I349" s="85">
        <v>6.0999999999999999E-2</v>
      </c>
      <c r="J349" s="85">
        <v>2.5999999999999999E-2</v>
      </c>
      <c r="K349" s="25">
        <f>((1/3)*L338)+((11/3)*L350)</f>
        <v>15476</v>
      </c>
      <c r="L349" s="93"/>
      <c r="M349" s="80">
        <f t="shared" si="36"/>
        <v>0.6</v>
      </c>
      <c r="N349" s="80">
        <v>0.26</v>
      </c>
      <c r="O349" s="80">
        <f t="shared" si="37"/>
        <v>0.61</v>
      </c>
      <c r="P349" s="80">
        <v>0.34620000000000001</v>
      </c>
      <c r="Q349" s="80">
        <v>0.69640000000000002</v>
      </c>
      <c r="R349" s="80">
        <v>0.6</v>
      </c>
      <c r="S349" s="80">
        <v>0.61</v>
      </c>
    </row>
    <row r="350" spans="1:19" s="78" customFormat="1">
      <c r="A350" s="77">
        <f t="shared" si="40"/>
        <v>48091</v>
      </c>
      <c r="B350" s="77">
        <f t="shared" si="39"/>
        <v>48456</v>
      </c>
      <c r="C350" s="86">
        <f t="shared" si="42"/>
        <v>0.28100000000000003</v>
      </c>
      <c r="D350" s="86">
        <f t="shared" si="42"/>
        <v>0.32600000000000001</v>
      </c>
      <c r="E350" s="86">
        <f t="shared" si="42"/>
        <v>6.0999999999999999E-2</v>
      </c>
      <c r="F350" s="86">
        <f t="shared" si="42"/>
        <v>2.5999999999999999E-2</v>
      </c>
      <c r="G350" s="87">
        <v>0.28100000000000003</v>
      </c>
      <c r="H350" s="87">
        <v>0.32600000000000001</v>
      </c>
      <c r="I350" s="87">
        <v>6.0999999999999999E-2</v>
      </c>
      <c r="J350" s="87">
        <v>2.5999999999999999E-2</v>
      </c>
      <c r="K350" s="76">
        <f>(L350*4)</f>
        <v>15538</v>
      </c>
      <c r="L350" s="94">
        <f>L338*1.05</f>
        <v>3884.52</v>
      </c>
      <c r="M350" s="353">
        <f t="shared" si="36"/>
        <v>0.6</v>
      </c>
      <c r="N350" s="353">
        <v>0.26</v>
      </c>
      <c r="O350" s="353">
        <f t="shared" si="37"/>
        <v>0.61</v>
      </c>
      <c r="P350" s="353">
        <v>0.34620000000000001</v>
      </c>
      <c r="Q350" s="353">
        <v>0.69640000000000002</v>
      </c>
      <c r="R350" s="353">
        <v>0.6</v>
      </c>
      <c r="S350" s="353">
        <v>0.61</v>
      </c>
    </row>
    <row r="351" spans="1:19" s="78" customFormat="1">
      <c r="A351" s="77">
        <f t="shared" si="40"/>
        <v>48121</v>
      </c>
      <c r="B351" s="77">
        <f t="shared" si="39"/>
        <v>48486</v>
      </c>
      <c r="C351" s="86">
        <f t="shared" si="42"/>
        <v>0.28100000000000003</v>
      </c>
      <c r="D351" s="86">
        <f t="shared" si="42"/>
        <v>0.32600000000000001</v>
      </c>
      <c r="E351" s="86">
        <f t="shared" si="42"/>
        <v>6.0999999999999999E-2</v>
      </c>
      <c r="F351" s="86">
        <f t="shared" si="42"/>
        <v>2.5999999999999999E-2</v>
      </c>
      <c r="G351" s="87">
        <v>0.28100000000000003</v>
      </c>
      <c r="H351" s="87">
        <v>0.32600000000000001</v>
      </c>
      <c r="I351" s="87">
        <v>6.0999999999999999E-2</v>
      </c>
      <c r="J351" s="87">
        <v>2.5999999999999999E-2</v>
      </c>
      <c r="K351" s="76">
        <f>((11/3)*L350)+((1/3)*L362)</f>
        <v>15603</v>
      </c>
      <c r="L351" s="94"/>
      <c r="M351" s="353">
        <f t="shared" si="36"/>
        <v>0.6</v>
      </c>
      <c r="N351" s="353">
        <v>0.26</v>
      </c>
      <c r="O351" s="353">
        <f t="shared" si="37"/>
        <v>0.61</v>
      </c>
      <c r="P351" s="353">
        <v>0.34620000000000001</v>
      </c>
      <c r="Q351" s="353">
        <v>0.69640000000000002</v>
      </c>
      <c r="R351" s="353">
        <v>0.6</v>
      </c>
      <c r="S351" s="353">
        <v>0.61</v>
      </c>
    </row>
    <row r="352" spans="1:19" s="78" customFormat="1">
      <c r="A352" s="77">
        <f t="shared" si="40"/>
        <v>48152</v>
      </c>
      <c r="B352" s="77">
        <f t="shared" si="39"/>
        <v>48517</v>
      </c>
      <c r="C352" s="86">
        <f t="shared" si="42"/>
        <v>0.28100000000000003</v>
      </c>
      <c r="D352" s="86">
        <f t="shared" si="42"/>
        <v>0.32600000000000001</v>
      </c>
      <c r="E352" s="86">
        <f t="shared" si="42"/>
        <v>6.0999999999999999E-2</v>
      </c>
      <c r="F352" s="86">
        <f t="shared" si="42"/>
        <v>2.5999999999999999E-2</v>
      </c>
      <c r="G352" s="87">
        <v>0.28100000000000003</v>
      </c>
      <c r="H352" s="87">
        <v>0.32600000000000001</v>
      </c>
      <c r="I352" s="87">
        <v>6.0999999999999999E-2</v>
      </c>
      <c r="J352" s="87">
        <v>2.5999999999999999E-2</v>
      </c>
      <c r="K352" s="76">
        <f>((10/3)*L350)+((2/3)*L362)</f>
        <v>15668</v>
      </c>
      <c r="L352" s="94"/>
      <c r="M352" s="353">
        <f t="shared" si="36"/>
        <v>0.6</v>
      </c>
      <c r="N352" s="353">
        <v>0.26</v>
      </c>
      <c r="O352" s="353">
        <f t="shared" si="37"/>
        <v>0.61</v>
      </c>
      <c r="P352" s="353">
        <v>0.34620000000000001</v>
      </c>
      <c r="Q352" s="353">
        <v>0.69640000000000002</v>
      </c>
      <c r="R352" s="353">
        <v>0.6</v>
      </c>
      <c r="S352" s="353">
        <v>0.61</v>
      </c>
    </row>
    <row r="353" spans="1:19" s="78" customFormat="1">
      <c r="A353" s="77">
        <f t="shared" si="40"/>
        <v>48182</v>
      </c>
      <c r="B353" s="77">
        <f t="shared" si="39"/>
        <v>48547</v>
      </c>
      <c r="C353" s="86">
        <f t="shared" si="42"/>
        <v>0.28100000000000003</v>
      </c>
      <c r="D353" s="86">
        <f t="shared" si="42"/>
        <v>0.32600000000000001</v>
      </c>
      <c r="E353" s="86">
        <f t="shared" si="42"/>
        <v>6.0999999999999999E-2</v>
      </c>
      <c r="F353" s="86">
        <f t="shared" si="42"/>
        <v>2.5999999999999999E-2</v>
      </c>
      <c r="G353" s="87">
        <v>0.28100000000000003</v>
      </c>
      <c r="H353" s="87">
        <v>0.32600000000000001</v>
      </c>
      <c r="I353" s="87">
        <v>6.0999999999999999E-2</v>
      </c>
      <c r="J353" s="87">
        <v>2.5999999999999999E-2</v>
      </c>
      <c r="K353" s="76">
        <f>((9/3)*L350)+((3/3)*L362)</f>
        <v>15732</v>
      </c>
      <c r="L353" s="94"/>
      <c r="M353" s="353">
        <f t="shared" si="36"/>
        <v>0.6</v>
      </c>
      <c r="N353" s="353">
        <v>0.26</v>
      </c>
      <c r="O353" s="353">
        <f t="shared" si="37"/>
        <v>0.61</v>
      </c>
      <c r="P353" s="353">
        <v>0.34620000000000001</v>
      </c>
      <c r="Q353" s="353">
        <v>0.69640000000000002</v>
      </c>
      <c r="R353" s="353">
        <v>0.6</v>
      </c>
      <c r="S353" s="353">
        <v>0.61</v>
      </c>
    </row>
    <row r="354" spans="1:19" s="78" customFormat="1">
      <c r="A354" s="77">
        <f t="shared" si="40"/>
        <v>48213</v>
      </c>
      <c r="B354" s="77">
        <f t="shared" si="39"/>
        <v>48578</v>
      </c>
      <c r="C354" s="86">
        <f t="shared" si="42"/>
        <v>0.28100000000000003</v>
      </c>
      <c r="D354" s="86">
        <f t="shared" si="42"/>
        <v>0.32600000000000001</v>
      </c>
      <c r="E354" s="86">
        <f t="shared" si="42"/>
        <v>6.0999999999999999E-2</v>
      </c>
      <c r="F354" s="86">
        <f t="shared" si="42"/>
        <v>2.5999999999999999E-2</v>
      </c>
      <c r="G354" s="87">
        <v>0.28100000000000003</v>
      </c>
      <c r="H354" s="87">
        <v>0.32600000000000001</v>
      </c>
      <c r="I354" s="87">
        <v>6.0999999999999999E-2</v>
      </c>
      <c r="J354" s="87">
        <v>2.5999999999999999E-2</v>
      </c>
      <c r="K354" s="76">
        <f>((8/3)*L350)+((4/3)*L362)</f>
        <v>15797</v>
      </c>
      <c r="L354" s="94"/>
      <c r="M354" s="353">
        <f t="shared" si="36"/>
        <v>0.6</v>
      </c>
      <c r="N354" s="353">
        <v>0.26</v>
      </c>
      <c r="O354" s="353">
        <f t="shared" si="37"/>
        <v>0.61</v>
      </c>
      <c r="P354" s="353">
        <v>0.34620000000000001</v>
      </c>
      <c r="Q354" s="353">
        <v>0.69640000000000002</v>
      </c>
      <c r="R354" s="353">
        <v>0.6</v>
      </c>
      <c r="S354" s="353">
        <v>0.61</v>
      </c>
    </row>
    <row r="355" spans="1:19" s="78" customFormat="1">
      <c r="A355" s="77">
        <f t="shared" si="40"/>
        <v>48244</v>
      </c>
      <c r="B355" s="77">
        <f t="shared" si="39"/>
        <v>48609</v>
      </c>
      <c r="C355" s="86">
        <f t="shared" ref="C355:F370" si="43">AVERAGE(G355:G366)</f>
        <v>0.28100000000000003</v>
      </c>
      <c r="D355" s="86">
        <f t="shared" si="43"/>
        <v>0.32600000000000001</v>
      </c>
      <c r="E355" s="86">
        <f t="shared" si="43"/>
        <v>6.0999999999999999E-2</v>
      </c>
      <c r="F355" s="86">
        <f t="shared" si="43"/>
        <v>2.5999999999999999E-2</v>
      </c>
      <c r="G355" s="87">
        <v>0.28100000000000003</v>
      </c>
      <c r="H355" s="87">
        <v>0.32600000000000001</v>
      </c>
      <c r="I355" s="87">
        <v>6.0999999999999999E-2</v>
      </c>
      <c r="J355" s="87">
        <v>2.5999999999999999E-2</v>
      </c>
      <c r="K355" s="76">
        <f>((7/3)*L350)+((5/3)*L362)</f>
        <v>15862</v>
      </c>
      <c r="L355" s="94"/>
      <c r="M355" s="353">
        <f t="shared" si="36"/>
        <v>0.6</v>
      </c>
      <c r="N355" s="353">
        <v>0.26</v>
      </c>
      <c r="O355" s="353">
        <f t="shared" si="37"/>
        <v>0.61</v>
      </c>
      <c r="P355" s="353">
        <v>0.34620000000000001</v>
      </c>
      <c r="Q355" s="353">
        <v>0.69640000000000002</v>
      </c>
      <c r="R355" s="353">
        <v>0.6</v>
      </c>
      <c r="S355" s="353">
        <v>0.61</v>
      </c>
    </row>
    <row r="356" spans="1:19" s="78" customFormat="1">
      <c r="A356" s="77">
        <f t="shared" si="40"/>
        <v>48273</v>
      </c>
      <c r="B356" s="77">
        <f t="shared" si="39"/>
        <v>48637</v>
      </c>
      <c r="C356" s="86">
        <f t="shared" si="43"/>
        <v>0.28100000000000003</v>
      </c>
      <c r="D356" s="86">
        <f t="shared" si="43"/>
        <v>0.32600000000000001</v>
      </c>
      <c r="E356" s="86">
        <f t="shared" si="43"/>
        <v>6.0999999999999999E-2</v>
      </c>
      <c r="F356" s="86">
        <f t="shared" si="43"/>
        <v>2.5999999999999999E-2</v>
      </c>
      <c r="G356" s="87">
        <v>0.28100000000000003</v>
      </c>
      <c r="H356" s="87">
        <v>0.32600000000000001</v>
      </c>
      <c r="I356" s="87">
        <v>6.0999999999999999E-2</v>
      </c>
      <c r="J356" s="87">
        <v>2.5999999999999999E-2</v>
      </c>
      <c r="K356" s="76">
        <f>((6/3)*L350)+((6/3)*L362)</f>
        <v>15927</v>
      </c>
      <c r="L356" s="94"/>
      <c r="M356" s="353">
        <f t="shared" si="36"/>
        <v>0.6</v>
      </c>
      <c r="N356" s="353">
        <v>0.26</v>
      </c>
      <c r="O356" s="353">
        <f t="shared" si="37"/>
        <v>0.61</v>
      </c>
      <c r="P356" s="353">
        <v>0.34620000000000001</v>
      </c>
      <c r="Q356" s="353">
        <v>0.69640000000000002</v>
      </c>
      <c r="R356" s="353">
        <v>0.6</v>
      </c>
      <c r="S356" s="353">
        <v>0.61</v>
      </c>
    </row>
    <row r="357" spans="1:19" s="78" customFormat="1">
      <c r="A357" s="77">
        <f t="shared" si="40"/>
        <v>48304</v>
      </c>
      <c r="B357" s="77">
        <f t="shared" si="39"/>
        <v>48668</v>
      </c>
      <c r="C357" s="86">
        <f t="shared" si="43"/>
        <v>0.28100000000000003</v>
      </c>
      <c r="D357" s="86">
        <f t="shared" si="43"/>
        <v>0.32600000000000001</v>
      </c>
      <c r="E357" s="86">
        <f t="shared" si="43"/>
        <v>6.0999999999999999E-2</v>
      </c>
      <c r="F357" s="86">
        <f t="shared" si="43"/>
        <v>2.5999999999999999E-2</v>
      </c>
      <c r="G357" s="87">
        <v>0.28100000000000003</v>
      </c>
      <c r="H357" s="87">
        <v>0.32600000000000001</v>
      </c>
      <c r="I357" s="87">
        <v>6.0999999999999999E-2</v>
      </c>
      <c r="J357" s="87">
        <v>2.5999999999999999E-2</v>
      </c>
      <c r="K357" s="76">
        <f>((5/3)*L350)+((7/3)*L362)</f>
        <v>15991</v>
      </c>
      <c r="L357" s="94"/>
      <c r="M357" s="353">
        <f t="shared" si="36"/>
        <v>0.6</v>
      </c>
      <c r="N357" s="353">
        <v>0.26</v>
      </c>
      <c r="O357" s="353">
        <f t="shared" si="37"/>
        <v>0.61</v>
      </c>
      <c r="P357" s="353">
        <v>0.34620000000000001</v>
      </c>
      <c r="Q357" s="353">
        <v>0.69640000000000002</v>
      </c>
      <c r="R357" s="353">
        <v>0.6</v>
      </c>
      <c r="S357" s="353">
        <v>0.61</v>
      </c>
    </row>
    <row r="358" spans="1:19" s="78" customFormat="1">
      <c r="A358" s="77">
        <f t="shared" si="40"/>
        <v>48334</v>
      </c>
      <c r="B358" s="77">
        <f t="shared" si="39"/>
        <v>48698</v>
      </c>
      <c r="C358" s="86">
        <f t="shared" si="43"/>
        <v>0.28100000000000003</v>
      </c>
      <c r="D358" s="86">
        <f t="shared" si="43"/>
        <v>0.32600000000000001</v>
      </c>
      <c r="E358" s="86">
        <f t="shared" si="43"/>
        <v>6.0999999999999999E-2</v>
      </c>
      <c r="F358" s="86">
        <f t="shared" si="43"/>
        <v>2.5999999999999999E-2</v>
      </c>
      <c r="G358" s="87">
        <v>0.28100000000000003</v>
      </c>
      <c r="H358" s="87">
        <v>0.32600000000000001</v>
      </c>
      <c r="I358" s="87">
        <v>6.0999999999999999E-2</v>
      </c>
      <c r="J358" s="87">
        <v>2.5999999999999999E-2</v>
      </c>
      <c r="K358" s="76">
        <f>((4/3)*L350)+((8/3)*L362)</f>
        <v>16056</v>
      </c>
      <c r="L358" s="94"/>
      <c r="M358" s="353">
        <f t="shared" si="36"/>
        <v>0.6</v>
      </c>
      <c r="N358" s="353">
        <v>0.26</v>
      </c>
      <c r="O358" s="353">
        <f t="shared" si="37"/>
        <v>0.61</v>
      </c>
      <c r="P358" s="353">
        <v>0.34620000000000001</v>
      </c>
      <c r="Q358" s="353">
        <v>0.69640000000000002</v>
      </c>
      <c r="R358" s="353">
        <v>0.6</v>
      </c>
      <c r="S358" s="353">
        <v>0.61</v>
      </c>
    </row>
    <row r="359" spans="1:19" s="78" customFormat="1">
      <c r="A359" s="77">
        <f t="shared" si="40"/>
        <v>48365</v>
      </c>
      <c r="B359" s="77">
        <f t="shared" si="39"/>
        <v>48729</v>
      </c>
      <c r="C359" s="86">
        <f t="shared" si="43"/>
        <v>0.28100000000000003</v>
      </c>
      <c r="D359" s="86">
        <f t="shared" si="43"/>
        <v>0.32600000000000001</v>
      </c>
      <c r="E359" s="86">
        <f t="shared" si="43"/>
        <v>6.0999999999999999E-2</v>
      </c>
      <c r="F359" s="86">
        <f t="shared" si="43"/>
        <v>2.5999999999999999E-2</v>
      </c>
      <c r="G359" s="87">
        <v>0.28100000000000003</v>
      </c>
      <c r="H359" s="87">
        <v>0.32600000000000001</v>
      </c>
      <c r="I359" s="87">
        <v>6.0999999999999999E-2</v>
      </c>
      <c r="J359" s="87">
        <v>2.5999999999999999E-2</v>
      </c>
      <c r="K359" s="76">
        <f>((3/3)*L350)+((9/3)*L362)</f>
        <v>16121</v>
      </c>
      <c r="L359" s="94"/>
      <c r="M359" s="353">
        <f t="shared" si="36"/>
        <v>0.6</v>
      </c>
      <c r="N359" s="353">
        <v>0.26</v>
      </c>
      <c r="O359" s="353">
        <f t="shared" si="37"/>
        <v>0.61</v>
      </c>
      <c r="P359" s="353">
        <v>0.34620000000000001</v>
      </c>
      <c r="Q359" s="353">
        <v>0.69640000000000002</v>
      </c>
      <c r="R359" s="353">
        <v>0.6</v>
      </c>
      <c r="S359" s="353">
        <v>0.61</v>
      </c>
    </row>
    <row r="360" spans="1:19" s="78" customFormat="1">
      <c r="A360" s="77">
        <f t="shared" si="40"/>
        <v>48395</v>
      </c>
      <c r="B360" s="77">
        <f t="shared" si="39"/>
        <v>48759</v>
      </c>
      <c r="C360" s="86">
        <f t="shared" si="43"/>
        <v>0.28100000000000003</v>
      </c>
      <c r="D360" s="86">
        <f t="shared" si="43"/>
        <v>0.32600000000000001</v>
      </c>
      <c r="E360" s="86">
        <f t="shared" si="43"/>
        <v>6.0999999999999999E-2</v>
      </c>
      <c r="F360" s="86">
        <f t="shared" si="43"/>
        <v>2.5999999999999999E-2</v>
      </c>
      <c r="G360" s="87">
        <v>0.28100000000000003</v>
      </c>
      <c r="H360" s="87">
        <v>0.32600000000000001</v>
      </c>
      <c r="I360" s="87">
        <v>6.0999999999999999E-2</v>
      </c>
      <c r="J360" s="87">
        <v>2.5999999999999999E-2</v>
      </c>
      <c r="K360" s="76">
        <f>((2/3)*L350)+((10/3)*L362)</f>
        <v>16186</v>
      </c>
      <c r="L360" s="94"/>
      <c r="M360" s="353">
        <f t="shared" si="36"/>
        <v>0.6</v>
      </c>
      <c r="N360" s="353">
        <v>0.26</v>
      </c>
      <c r="O360" s="353">
        <f t="shared" si="37"/>
        <v>0.61</v>
      </c>
      <c r="P360" s="353">
        <v>0.34620000000000001</v>
      </c>
      <c r="Q360" s="353">
        <v>0.69640000000000002</v>
      </c>
      <c r="R360" s="353">
        <v>0.6</v>
      </c>
      <c r="S360" s="353">
        <v>0.61</v>
      </c>
    </row>
    <row r="361" spans="1:19" s="78" customFormat="1">
      <c r="A361" s="77">
        <f t="shared" si="40"/>
        <v>48426</v>
      </c>
      <c r="B361" s="77">
        <f t="shared" si="39"/>
        <v>48790</v>
      </c>
      <c r="C361" s="86">
        <f t="shared" si="43"/>
        <v>0.28100000000000003</v>
      </c>
      <c r="D361" s="86">
        <f t="shared" si="43"/>
        <v>0.32600000000000001</v>
      </c>
      <c r="E361" s="86">
        <f t="shared" si="43"/>
        <v>6.0999999999999999E-2</v>
      </c>
      <c r="F361" s="86">
        <f t="shared" si="43"/>
        <v>2.5999999999999999E-2</v>
      </c>
      <c r="G361" s="87">
        <v>0.28100000000000003</v>
      </c>
      <c r="H361" s="87">
        <v>0.32600000000000001</v>
      </c>
      <c r="I361" s="87">
        <v>6.0999999999999999E-2</v>
      </c>
      <c r="J361" s="87">
        <v>2.5999999999999999E-2</v>
      </c>
      <c r="K361" s="76">
        <f>((1/3)*L350)+((11/3)*L362)</f>
        <v>16250</v>
      </c>
      <c r="L361" s="94"/>
      <c r="M361" s="353">
        <f t="shared" si="36"/>
        <v>0.6</v>
      </c>
      <c r="N361" s="353">
        <v>0.26</v>
      </c>
      <c r="O361" s="353">
        <f t="shared" si="37"/>
        <v>0.61</v>
      </c>
      <c r="P361" s="353">
        <v>0.34620000000000001</v>
      </c>
      <c r="Q361" s="353">
        <v>0.69640000000000002</v>
      </c>
      <c r="R361" s="353">
        <v>0.6</v>
      </c>
      <c r="S361" s="353">
        <v>0.61</v>
      </c>
    </row>
    <row r="362" spans="1:19">
      <c r="A362" s="19">
        <f t="shared" si="40"/>
        <v>48457</v>
      </c>
      <c r="B362" s="19">
        <f t="shared" si="39"/>
        <v>48821</v>
      </c>
      <c r="C362" s="84">
        <f t="shared" si="43"/>
        <v>0.28100000000000003</v>
      </c>
      <c r="D362" s="84">
        <f t="shared" si="43"/>
        <v>0.32600000000000001</v>
      </c>
      <c r="E362" s="84">
        <f t="shared" si="43"/>
        <v>6.0999999999999999E-2</v>
      </c>
      <c r="F362" s="84">
        <f t="shared" si="43"/>
        <v>2.5999999999999999E-2</v>
      </c>
      <c r="G362" s="85">
        <v>0.28100000000000003</v>
      </c>
      <c r="H362" s="85">
        <v>0.32600000000000001</v>
      </c>
      <c r="I362" s="85">
        <v>6.0999999999999999E-2</v>
      </c>
      <c r="J362" s="85">
        <v>2.5999999999999999E-2</v>
      </c>
      <c r="K362" s="25">
        <f>(L362*4)</f>
        <v>16315</v>
      </c>
      <c r="L362" s="93">
        <f>L350*1.05</f>
        <v>4078.75</v>
      </c>
      <c r="M362" s="80">
        <f t="shared" si="36"/>
        <v>0.6</v>
      </c>
      <c r="N362" s="80">
        <v>0.26</v>
      </c>
      <c r="O362" s="80">
        <f t="shared" si="37"/>
        <v>0.61</v>
      </c>
      <c r="P362" s="80">
        <v>0.34620000000000001</v>
      </c>
      <c r="Q362" s="80">
        <v>0.69640000000000002</v>
      </c>
      <c r="R362" s="80">
        <v>0.6</v>
      </c>
      <c r="S362" s="80">
        <v>0.61</v>
      </c>
    </row>
    <row r="363" spans="1:19">
      <c r="A363" s="19">
        <f t="shared" si="40"/>
        <v>48487</v>
      </c>
      <c r="B363" s="19">
        <f t="shared" si="39"/>
        <v>48851</v>
      </c>
      <c r="C363" s="84">
        <f t="shared" si="43"/>
        <v>0.28100000000000003</v>
      </c>
      <c r="D363" s="84">
        <f t="shared" si="43"/>
        <v>0.32600000000000001</v>
      </c>
      <c r="E363" s="84">
        <f t="shared" si="43"/>
        <v>6.0999999999999999E-2</v>
      </c>
      <c r="F363" s="84">
        <f t="shared" si="43"/>
        <v>2.5999999999999999E-2</v>
      </c>
      <c r="G363" s="85">
        <v>0.28100000000000003</v>
      </c>
      <c r="H363" s="85">
        <v>0.32600000000000001</v>
      </c>
      <c r="I363" s="85">
        <v>6.0999999999999999E-2</v>
      </c>
      <c r="J363" s="85">
        <v>2.5999999999999999E-2</v>
      </c>
      <c r="K363" s="25">
        <f>((11/3)*L362)+((1/3)*L374)</f>
        <v>16383</v>
      </c>
      <c r="L363" s="93"/>
      <c r="M363" s="80">
        <f t="shared" si="36"/>
        <v>0.6</v>
      </c>
      <c r="N363" s="80">
        <v>0.26</v>
      </c>
      <c r="O363" s="80">
        <f t="shared" si="37"/>
        <v>0.61</v>
      </c>
      <c r="P363" s="80">
        <v>0.34620000000000001</v>
      </c>
      <c r="Q363" s="80">
        <v>0.69640000000000002</v>
      </c>
      <c r="R363" s="80">
        <v>0.6</v>
      </c>
      <c r="S363" s="80">
        <v>0.61</v>
      </c>
    </row>
    <row r="364" spans="1:19">
      <c r="A364" s="19">
        <f t="shared" si="40"/>
        <v>48518</v>
      </c>
      <c r="B364" s="19">
        <f t="shared" si="39"/>
        <v>48882</v>
      </c>
      <c r="C364" s="84">
        <f t="shared" si="43"/>
        <v>0.28100000000000003</v>
      </c>
      <c r="D364" s="84">
        <f t="shared" si="43"/>
        <v>0.32600000000000001</v>
      </c>
      <c r="E364" s="84">
        <f t="shared" si="43"/>
        <v>6.0999999999999999E-2</v>
      </c>
      <c r="F364" s="84">
        <f t="shared" si="43"/>
        <v>2.5999999999999999E-2</v>
      </c>
      <c r="G364" s="85">
        <v>0.28100000000000003</v>
      </c>
      <c r="H364" s="85">
        <v>0.32600000000000001</v>
      </c>
      <c r="I364" s="85">
        <v>6.0999999999999999E-2</v>
      </c>
      <c r="J364" s="85">
        <v>2.5999999999999999E-2</v>
      </c>
      <c r="K364" s="25">
        <f>((10/3)*L362)+((2/3)*L374)</f>
        <v>16451</v>
      </c>
      <c r="L364" s="93"/>
      <c r="M364" s="80">
        <f t="shared" si="36"/>
        <v>0.6</v>
      </c>
      <c r="N364" s="80">
        <v>0.26</v>
      </c>
      <c r="O364" s="80">
        <f t="shared" si="37"/>
        <v>0.61</v>
      </c>
      <c r="P364" s="80">
        <v>0.34620000000000001</v>
      </c>
      <c r="Q364" s="80">
        <v>0.69640000000000002</v>
      </c>
      <c r="R364" s="80">
        <v>0.6</v>
      </c>
      <c r="S364" s="80">
        <v>0.61</v>
      </c>
    </row>
    <row r="365" spans="1:19">
      <c r="A365" s="19">
        <f t="shared" si="40"/>
        <v>48548</v>
      </c>
      <c r="B365" s="19">
        <f t="shared" si="39"/>
        <v>48912</v>
      </c>
      <c r="C365" s="84">
        <f t="shared" si="43"/>
        <v>0.28100000000000003</v>
      </c>
      <c r="D365" s="84">
        <f t="shared" si="43"/>
        <v>0.32600000000000001</v>
      </c>
      <c r="E365" s="84">
        <f t="shared" si="43"/>
        <v>6.0999999999999999E-2</v>
      </c>
      <c r="F365" s="84">
        <f t="shared" si="43"/>
        <v>2.5999999999999999E-2</v>
      </c>
      <c r="G365" s="85">
        <v>0.28100000000000003</v>
      </c>
      <c r="H365" s="85">
        <v>0.32600000000000001</v>
      </c>
      <c r="I365" s="85">
        <v>6.0999999999999999E-2</v>
      </c>
      <c r="J365" s="85">
        <v>2.5999999999999999E-2</v>
      </c>
      <c r="K365" s="25">
        <f>((9/3)*L362)+((3/3)*L374)</f>
        <v>16519</v>
      </c>
      <c r="L365" s="93"/>
      <c r="M365" s="80">
        <f t="shared" si="36"/>
        <v>0.6</v>
      </c>
      <c r="N365" s="80">
        <v>0.26</v>
      </c>
      <c r="O365" s="80">
        <f t="shared" si="37"/>
        <v>0.61</v>
      </c>
      <c r="P365" s="80">
        <v>0.34620000000000001</v>
      </c>
      <c r="Q365" s="80">
        <v>0.69640000000000002</v>
      </c>
      <c r="R365" s="80">
        <v>0.6</v>
      </c>
      <c r="S365" s="80">
        <v>0.61</v>
      </c>
    </row>
    <row r="366" spans="1:19">
      <c r="A366" s="19">
        <f t="shared" si="40"/>
        <v>48579</v>
      </c>
      <c r="B366" s="19">
        <f t="shared" si="39"/>
        <v>48943</v>
      </c>
      <c r="C366" s="84">
        <f t="shared" si="43"/>
        <v>0.28100000000000003</v>
      </c>
      <c r="D366" s="84">
        <f t="shared" si="43"/>
        <v>0.32600000000000001</v>
      </c>
      <c r="E366" s="84">
        <f t="shared" si="43"/>
        <v>6.0999999999999999E-2</v>
      </c>
      <c r="F366" s="84">
        <f t="shared" si="43"/>
        <v>2.5999999999999999E-2</v>
      </c>
      <c r="G366" s="85">
        <v>0.28100000000000003</v>
      </c>
      <c r="H366" s="85">
        <v>0.32600000000000001</v>
      </c>
      <c r="I366" s="85">
        <v>6.0999999999999999E-2</v>
      </c>
      <c r="J366" s="85">
        <v>2.5999999999999999E-2</v>
      </c>
      <c r="K366" s="25">
        <f>((8/3)*L362)+((4/3)*L374)</f>
        <v>16587</v>
      </c>
      <c r="L366" s="93"/>
      <c r="M366" s="80">
        <f t="shared" si="36"/>
        <v>0.6</v>
      </c>
      <c r="N366" s="80">
        <v>0.26</v>
      </c>
      <c r="O366" s="80">
        <f t="shared" si="37"/>
        <v>0.61</v>
      </c>
      <c r="P366" s="80">
        <v>0.34620000000000001</v>
      </c>
      <c r="Q366" s="80">
        <v>0.69640000000000002</v>
      </c>
      <c r="R366" s="80">
        <v>0.6</v>
      </c>
      <c r="S366" s="80">
        <v>0.61</v>
      </c>
    </row>
    <row r="367" spans="1:19">
      <c r="A367" s="19">
        <f t="shared" si="40"/>
        <v>48610</v>
      </c>
      <c r="B367" s="19">
        <f t="shared" si="39"/>
        <v>48974</v>
      </c>
      <c r="C367" s="84">
        <f t="shared" si="43"/>
        <v>0.28100000000000003</v>
      </c>
      <c r="D367" s="84">
        <f t="shared" si="43"/>
        <v>0.32600000000000001</v>
      </c>
      <c r="E367" s="84">
        <f t="shared" si="43"/>
        <v>6.0999999999999999E-2</v>
      </c>
      <c r="F367" s="84">
        <f t="shared" si="43"/>
        <v>2.5999999999999999E-2</v>
      </c>
      <c r="G367" s="85">
        <v>0.28100000000000003</v>
      </c>
      <c r="H367" s="85">
        <v>0.32600000000000001</v>
      </c>
      <c r="I367" s="85">
        <v>6.0999999999999999E-2</v>
      </c>
      <c r="J367" s="85">
        <v>2.5999999999999999E-2</v>
      </c>
      <c r="K367" s="25">
        <f>((7/3)*L362)+((5/3)*L374)</f>
        <v>16655</v>
      </c>
      <c r="L367" s="93"/>
      <c r="M367" s="80">
        <f t="shared" ref="M367:M430" si="44">AVERAGE(R367:R378)</f>
        <v>0.6</v>
      </c>
      <c r="N367" s="80">
        <v>0.26</v>
      </c>
      <c r="O367" s="80">
        <f t="shared" ref="O367:O430" si="45">AVERAGE(S367:S378)</f>
        <v>0.61</v>
      </c>
      <c r="P367" s="80">
        <v>0.34620000000000001</v>
      </c>
      <c r="Q367" s="80">
        <v>0.69640000000000002</v>
      </c>
      <c r="R367" s="80">
        <v>0.6</v>
      </c>
      <c r="S367" s="80">
        <v>0.61</v>
      </c>
    </row>
    <row r="368" spans="1:19">
      <c r="A368" s="19">
        <f t="shared" si="40"/>
        <v>48638</v>
      </c>
      <c r="B368" s="19">
        <f t="shared" si="39"/>
        <v>49002</v>
      </c>
      <c r="C368" s="84">
        <f t="shared" si="43"/>
        <v>0.28100000000000003</v>
      </c>
      <c r="D368" s="84">
        <f t="shared" si="43"/>
        <v>0.32600000000000001</v>
      </c>
      <c r="E368" s="84">
        <f t="shared" si="43"/>
        <v>6.0999999999999999E-2</v>
      </c>
      <c r="F368" s="84">
        <f t="shared" si="43"/>
        <v>2.5999999999999999E-2</v>
      </c>
      <c r="G368" s="85">
        <v>0.28100000000000003</v>
      </c>
      <c r="H368" s="85">
        <v>0.32600000000000001</v>
      </c>
      <c r="I368" s="85">
        <v>6.0999999999999999E-2</v>
      </c>
      <c r="J368" s="85">
        <v>2.5999999999999999E-2</v>
      </c>
      <c r="K368" s="25">
        <f>((6/3)*L362)+((6/3)*L374)</f>
        <v>16723</v>
      </c>
      <c r="L368" s="93"/>
      <c r="M368" s="80">
        <f t="shared" si="44"/>
        <v>0.6</v>
      </c>
      <c r="N368" s="80">
        <v>0.26</v>
      </c>
      <c r="O368" s="80">
        <f t="shared" si="45"/>
        <v>0.61</v>
      </c>
      <c r="P368" s="80">
        <v>0.34620000000000001</v>
      </c>
      <c r="Q368" s="80">
        <v>0.69640000000000002</v>
      </c>
      <c r="R368" s="80">
        <v>0.6</v>
      </c>
      <c r="S368" s="80">
        <v>0.61</v>
      </c>
    </row>
    <row r="369" spans="1:19">
      <c r="A369" s="19">
        <f t="shared" si="40"/>
        <v>48669</v>
      </c>
      <c r="B369" s="19">
        <f t="shared" si="39"/>
        <v>49033</v>
      </c>
      <c r="C369" s="84">
        <f t="shared" si="43"/>
        <v>0.28100000000000003</v>
      </c>
      <c r="D369" s="84">
        <f t="shared" si="43"/>
        <v>0.32600000000000001</v>
      </c>
      <c r="E369" s="84">
        <f t="shared" si="43"/>
        <v>6.0999999999999999E-2</v>
      </c>
      <c r="F369" s="84">
        <f t="shared" si="43"/>
        <v>2.5999999999999999E-2</v>
      </c>
      <c r="G369" s="85">
        <v>0.28100000000000003</v>
      </c>
      <c r="H369" s="85">
        <v>0.32600000000000001</v>
      </c>
      <c r="I369" s="85">
        <v>6.0999999999999999E-2</v>
      </c>
      <c r="J369" s="85">
        <v>2.5999999999999999E-2</v>
      </c>
      <c r="K369" s="25">
        <f>((5/3)*L362)+((7/3)*L374)</f>
        <v>16791</v>
      </c>
      <c r="L369" s="93"/>
      <c r="M369" s="80">
        <f t="shared" si="44"/>
        <v>0.6</v>
      </c>
      <c r="N369" s="80">
        <v>0.26</v>
      </c>
      <c r="O369" s="80">
        <f t="shared" si="45"/>
        <v>0.61</v>
      </c>
      <c r="P369" s="80">
        <v>0.34620000000000001</v>
      </c>
      <c r="Q369" s="80">
        <v>0.69640000000000002</v>
      </c>
      <c r="R369" s="80">
        <v>0.6</v>
      </c>
      <c r="S369" s="80">
        <v>0.61</v>
      </c>
    </row>
    <row r="370" spans="1:19">
      <c r="A370" s="19">
        <f t="shared" si="40"/>
        <v>48699</v>
      </c>
      <c r="B370" s="19">
        <f t="shared" si="39"/>
        <v>49063</v>
      </c>
      <c r="C370" s="84">
        <f t="shared" si="43"/>
        <v>0.28100000000000003</v>
      </c>
      <c r="D370" s="84">
        <f t="shared" si="43"/>
        <v>0.32600000000000001</v>
      </c>
      <c r="E370" s="84">
        <f t="shared" si="43"/>
        <v>6.0999999999999999E-2</v>
      </c>
      <c r="F370" s="84">
        <f t="shared" si="43"/>
        <v>2.5999999999999999E-2</v>
      </c>
      <c r="G370" s="85">
        <v>0.28100000000000003</v>
      </c>
      <c r="H370" s="85">
        <v>0.32600000000000001</v>
      </c>
      <c r="I370" s="85">
        <v>6.0999999999999999E-2</v>
      </c>
      <c r="J370" s="85">
        <v>2.5999999999999999E-2</v>
      </c>
      <c r="K370" s="25">
        <f>((4/3)*L362)+((8/3)*L374)</f>
        <v>16859</v>
      </c>
      <c r="L370" s="93"/>
      <c r="M370" s="80">
        <f t="shared" si="44"/>
        <v>0.6</v>
      </c>
      <c r="N370" s="80">
        <v>0.26</v>
      </c>
      <c r="O370" s="80">
        <f t="shared" si="45"/>
        <v>0.61</v>
      </c>
      <c r="P370" s="80">
        <v>0.34620000000000001</v>
      </c>
      <c r="Q370" s="80">
        <v>0.69640000000000002</v>
      </c>
      <c r="R370" s="80">
        <v>0.6</v>
      </c>
      <c r="S370" s="80">
        <v>0.61</v>
      </c>
    </row>
    <row r="371" spans="1:19">
      <c r="A371" s="19">
        <f t="shared" si="40"/>
        <v>48730</v>
      </c>
      <c r="B371" s="19">
        <f t="shared" si="39"/>
        <v>49094</v>
      </c>
      <c r="C371" s="84">
        <f t="shared" ref="C371:F386" si="46">AVERAGE(G371:G382)</f>
        <v>0.28100000000000003</v>
      </c>
      <c r="D371" s="84">
        <f t="shared" si="46"/>
        <v>0.32600000000000001</v>
      </c>
      <c r="E371" s="84">
        <f t="shared" si="46"/>
        <v>6.0999999999999999E-2</v>
      </c>
      <c r="F371" s="84">
        <f t="shared" si="46"/>
        <v>2.5999999999999999E-2</v>
      </c>
      <c r="G371" s="85">
        <v>0.28100000000000003</v>
      </c>
      <c r="H371" s="85">
        <v>0.32600000000000001</v>
      </c>
      <c r="I371" s="85">
        <v>6.0999999999999999E-2</v>
      </c>
      <c r="J371" s="85">
        <v>2.5999999999999999E-2</v>
      </c>
      <c r="K371" s="25">
        <f>((3/3)*L362)+((9/3)*L374)</f>
        <v>16927</v>
      </c>
      <c r="L371" s="93"/>
      <c r="M371" s="80">
        <f t="shared" si="44"/>
        <v>0.6</v>
      </c>
      <c r="N371" s="80">
        <v>0.26</v>
      </c>
      <c r="O371" s="80">
        <f t="shared" si="45"/>
        <v>0.61</v>
      </c>
      <c r="P371" s="80">
        <v>0.34620000000000001</v>
      </c>
      <c r="Q371" s="80">
        <v>0.69640000000000002</v>
      </c>
      <c r="R371" s="80">
        <v>0.6</v>
      </c>
      <c r="S371" s="80">
        <v>0.61</v>
      </c>
    </row>
    <row r="372" spans="1:19">
      <c r="A372" s="19">
        <f t="shared" si="40"/>
        <v>48760</v>
      </c>
      <c r="B372" s="19">
        <f t="shared" si="39"/>
        <v>49124</v>
      </c>
      <c r="C372" s="84">
        <f t="shared" si="46"/>
        <v>0.28100000000000003</v>
      </c>
      <c r="D372" s="84">
        <f t="shared" si="46"/>
        <v>0.32600000000000001</v>
      </c>
      <c r="E372" s="84">
        <f t="shared" si="46"/>
        <v>6.0999999999999999E-2</v>
      </c>
      <c r="F372" s="84">
        <f t="shared" si="46"/>
        <v>2.5999999999999999E-2</v>
      </c>
      <c r="G372" s="85">
        <v>0.28100000000000003</v>
      </c>
      <c r="H372" s="85">
        <v>0.32600000000000001</v>
      </c>
      <c r="I372" s="85">
        <v>6.0999999999999999E-2</v>
      </c>
      <c r="J372" s="85">
        <v>2.5999999999999999E-2</v>
      </c>
      <c r="K372" s="25">
        <f>((2/3)*L362)+((10/3)*L374)</f>
        <v>16995</v>
      </c>
      <c r="L372" s="93"/>
      <c r="M372" s="80">
        <f t="shared" si="44"/>
        <v>0.6</v>
      </c>
      <c r="N372" s="80">
        <v>0.26</v>
      </c>
      <c r="O372" s="80">
        <f t="shared" si="45"/>
        <v>0.61</v>
      </c>
      <c r="P372" s="80">
        <v>0.34620000000000001</v>
      </c>
      <c r="Q372" s="80">
        <v>0.69640000000000002</v>
      </c>
      <c r="R372" s="80">
        <v>0.6</v>
      </c>
      <c r="S372" s="80">
        <v>0.61</v>
      </c>
    </row>
    <row r="373" spans="1:19">
      <c r="A373" s="19">
        <f t="shared" si="40"/>
        <v>48791</v>
      </c>
      <c r="B373" s="19">
        <f t="shared" si="39"/>
        <v>49155</v>
      </c>
      <c r="C373" s="81">
        <f t="shared" si="46"/>
        <v>0.28100000000000003</v>
      </c>
      <c r="D373" s="81">
        <f t="shared" si="46"/>
        <v>0.32600000000000001</v>
      </c>
      <c r="E373" s="81">
        <f t="shared" si="46"/>
        <v>6.0999999999999999E-2</v>
      </c>
      <c r="F373" s="81">
        <f t="shared" si="46"/>
        <v>2.5999999999999999E-2</v>
      </c>
      <c r="G373" s="85">
        <v>0.28100000000000003</v>
      </c>
      <c r="H373" s="85">
        <v>0.32600000000000001</v>
      </c>
      <c r="I373" s="85">
        <v>6.0999999999999999E-2</v>
      </c>
      <c r="J373" s="85">
        <v>2.5999999999999999E-2</v>
      </c>
      <c r="K373" s="25">
        <f>((1/3)*L362)+((11/3)*L374)</f>
        <v>17063</v>
      </c>
      <c r="L373" s="93"/>
      <c r="M373" s="80">
        <f t="shared" si="44"/>
        <v>0.6</v>
      </c>
      <c r="N373" s="80">
        <v>0.26</v>
      </c>
      <c r="O373" s="80">
        <f t="shared" si="45"/>
        <v>0.61</v>
      </c>
      <c r="P373" s="80">
        <v>0.34620000000000001</v>
      </c>
      <c r="Q373" s="80">
        <v>0.69640000000000002</v>
      </c>
      <c r="R373" s="80">
        <v>0.6</v>
      </c>
      <c r="S373" s="80">
        <v>0.61</v>
      </c>
    </row>
    <row r="374" spans="1:19" s="78" customFormat="1">
      <c r="A374" s="77">
        <f t="shared" si="40"/>
        <v>48822</v>
      </c>
      <c r="B374" s="77">
        <f t="shared" si="39"/>
        <v>49186</v>
      </c>
      <c r="C374" s="86">
        <f t="shared" si="46"/>
        <v>0.28100000000000003</v>
      </c>
      <c r="D374" s="86">
        <f t="shared" si="46"/>
        <v>0.32600000000000001</v>
      </c>
      <c r="E374" s="86">
        <f t="shared" si="46"/>
        <v>6.0999999999999999E-2</v>
      </c>
      <c r="F374" s="86">
        <f t="shared" si="46"/>
        <v>2.5999999999999999E-2</v>
      </c>
      <c r="G374" s="87">
        <v>0.28100000000000003</v>
      </c>
      <c r="H374" s="87">
        <v>0.32600000000000001</v>
      </c>
      <c r="I374" s="87">
        <v>6.0999999999999999E-2</v>
      </c>
      <c r="J374" s="87">
        <v>2.5999999999999999E-2</v>
      </c>
      <c r="K374" s="76">
        <f>(L374*4)</f>
        <v>17131</v>
      </c>
      <c r="L374" s="94">
        <f>L362*1.05</f>
        <v>4282.6899999999996</v>
      </c>
      <c r="M374" s="353">
        <f t="shared" si="44"/>
        <v>0.6</v>
      </c>
      <c r="N374" s="353">
        <v>0.26</v>
      </c>
      <c r="O374" s="353">
        <f t="shared" si="45"/>
        <v>0.61</v>
      </c>
      <c r="P374" s="353">
        <v>0.34620000000000001</v>
      </c>
      <c r="Q374" s="353">
        <v>0.69640000000000002</v>
      </c>
      <c r="R374" s="353">
        <v>0.6</v>
      </c>
      <c r="S374" s="353">
        <v>0.61</v>
      </c>
    </row>
    <row r="375" spans="1:19" s="78" customFormat="1">
      <c r="A375" s="77">
        <f t="shared" si="40"/>
        <v>48852</v>
      </c>
      <c r="B375" s="77">
        <f t="shared" si="39"/>
        <v>49216</v>
      </c>
      <c r="C375" s="86">
        <f t="shared" si="46"/>
        <v>0.28100000000000003</v>
      </c>
      <c r="D375" s="86">
        <f t="shared" si="46"/>
        <v>0.32600000000000001</v>
      </c>
      <c r="E375" s="86">
        <f t="shared" si="46"/>
        <v>6.0999999999999999E-2</v>
      </c>
      <c r="F375" s="86">
        <f t="shared" si="46"/>
        <v>2.5999999999999999E-2</v>
      </c>
      <c r="G375" s="87">
        <v>0.28100000000000003</v>
      </c>
      <c r="H375" s="87">
        <v>0.32600000000000001</v>
      </c>
      <c r="I375" s="87">
        <v>6.0999999999999999E-2</v>
      </c>
      <c r="J375" s="87">
        <v>2.5999999999999999E-2</v>
      </c>
      <c r="K375" s="76">
        <f>((11/3)*L374)+((1/3)*L386)</f>
        <v>17202</v>
      </c>
      <c r="L375" s="94"/>
      <c r="M375" s="353">
        <f t="shared" si="44"/>
        <v>0.6</v>
      </c>
      <c r="N375" s="353">
        <v>0.26</v>
      </c>
      <c r="O375" s="353">
        <f t="shared" si="45"/>
        <v>0.61</v>
      </c>
      <c r="P375" s="353">
        <v>0.34620000000000001</v>
      </c>
      <c r="Q375" s="353">
        <v>0.69640000000000002</v>
      </c>
      <c r="R375" s="353">
        <v>0.6</v>
      </c>
      <c r="S375" s="353">
        <v>0.61</v>
      </c>
    </row>
    <row r="376" spans="1:19" s="78" customFormat="1">
      <c r="A376" s="77">
        <f t="shared" si="40"/>
        <v>48883</v>
      </c>
      <c r="B376" s="77">
        <f t="shared" si="39"/>
        <v>49247</v>
      </c>
      <c r="C376" s="86">
        <f t="shared" si="46"/>
        <v>0.28100000000000003</v>
      </c>
      <c r="D376" s="86">
        <f t="shared" si="46"/>
        <v>0.32600000000000001</v>
      </c>
      <c r="E376" s="86">
        <f t="shared" si="46"/>
        <v>6.0999999999999999E-2</v>
      </c>
      <c r="F376" s="86">
        <f t="shared" si="46"/>
        <v>2.5999999999999999E-2</v>
      </c>
      <c r="G376" s="87">
        <v>0.28100000000000003</v>
      </c>
      <c r="H376" s="87">
        <v>0.32600000000000001</v>
      </c>
      <c r="I376" s="87">
        <v>6.0999999999999999E-2</v>
      </c>
      <c r="J376" s="87">
        <v>2.5999999999999999E-2</v>
      </c>
      <c r="K376" s="76">
        <f>((10/3)*L374)+((2/3)*L386)</f>
        <v>17274</v>
      </c>
      <c r="L376" s="94"/>
      <c r="M376" s="353">
        <f t="shared" si="44"/>
        <v>0.6</v>
      </c>
      <c r="N376" s="353">
        <v>0.26</v>
      </c>
      <c r="O376" s="353">
        <f t="shared" si="45"/>
        <v>0.61</v>
      </c>
      <c r="P376" s="353">
        <v>0.34620000000000001</v>
      </c>
      <c r="Q376" s="353">
        <v>0.69640000000000002</v>
      </c>
      <c r="R376" s="353">
        <v>0.6</v>
      </c>
      <c r="S376" s="353">
        <v>0.61</v>
      </c>
    </row>
    <row r="377" spans="1:19" s="78" customFormat="1">
      <c r="A377" s="77">
        <f t="shared" si="40"/>
        <v>48913</v>
      </c>
      <c r="B377" s="77">
        <f t="shared" si="39"/>
        <v>49277</v>
      </c>
      <c r="C377" s="86">
        <f t="shared" si="46"/>
        <v>0.28100000000000003</v>
      </c>
      <c r="D377" s="86">
        <f t="shared" si="46"/>
        <v>0.32600000000000001</v>
      </c>
      <c r="E377" s="86">
        <f t="shared" si="46"/>
        <v>6.0999999999999999E-2</v>
      </c>
      <c r="F377" s="86">
        <f t="shared" si="46"/>
        <v>2.5999999999999999E-2</v>
      </c>
      <c r="G377" s="87">
        <v>0.28100000000000003</v>
      </c>
      <c r="H377" s="87">
        <v>0.32600000000000001</v>
      </c>
      <c r="I377" s="87">
        <v>6.0999999999999999E-2</v>
      </c>
      <c r="J377" s="87">
        <v>2.5999999999999999E-2</v>
      </c>
      <c r="K377" s="76">
        <f>((9/3)*L374)+((3/3)*L386)</f>
        <v>17345</v>
      </c>
      <c r="L377" s="94"/>
      <c r="M377" s="353">
        <f t="shared" si="44"/>
        <v>0.6</v>
      </c>
      <c r="N377" s="353">
        <v>0.26</v>
      </c>
      <c r="O377" s="353">
        <f t="shared" si="45"/>
        <v>0.61</v>
      </c>
      <c r="P377" s="353">
        <v>0.34620000000000001</v>
      </c>
      <c r="Q377" s="353">
        <v>0.69640000000000002</v>
      </c>
      <c r="R377" s="353">
        <v>0.6</v>
      </c>
      <c r="S377" s="353">
        <v>0.61</v>
      </c>
    </row>
    <row r="378" spans="1:19" s="78" customFormat="1">
      <c r="A378" s="77">
        <f t="shared" si="40"/>
        <v>48944</v>
      </c>
      <c r="B378" s="77">
        <f t="shared" si="39"/>
        <v>49308</v>
      </c>
      <c r="C378" s="86">
        <f t="shared" si="46"/>
        <v>0.28100000000000003</v>
      </c>
      <c r="D378" s="86">
        <f t="shared" si="46"/>
        <v>0.32600000000000001</v>
      </c>
      <c r="E378" s="86">
        <f t="shared" si="46"/>
        <v>6.0999999999999999E-2</v>
      </c>
      <c r="F378" s="86">
        <f t="shared" si="46"/>
        <v>2.5999999999999999E-2</v>
      </c>
      <c r="G378" s="87">
        <v>0.28100000000000003</v>
      </c>
      <c r="H378" s="87">
        <v>0.32600000000000001</v>
      </c>
      <c r="I378" s="87">
        <v>6.0999999999999999E-2</v>
      </c>
      <c r="J378" s="87">
        <v>2.5999999999999999E-2</v>
      </c>
      <c r="K378" s="76">
        <f>((8/3)*L374)+((4/3)*L386)</f>
        <v>17416</v>
      </c>
      <c r="L378" s="94"/>
      <c r="M378" s="353">
        <f t="shared" si="44"/>
        <v>0.6</v>
      </c>
      <c r="N378" s="353">
        <v>0.26</v>
      </c>
      <c r="O378" s="353">
        <f t="shared" si="45"/>
        <v>0.61</v>
      </c>
      <c r="P378" s="353">
        <v>0.34620000000000001</v>
      </c>
      <c r="Q378" s="353">
        <v>0.69640000000000002</v>
      </c>
      <c r="R378" s="353">
        <v>0.6</v>
      </c>
      <c r="S378" s="353">
        <v>0.61</v>
      </c>
    </row>
    <row r="379" spans="1:19" s="78" customFormat="1">
      <c r="A379" s="77">
        <f t="shared" si="40"/>
        <v>48975</v>
      </c>
      <c r="B379" s="77">
        <f t="shared" si="39"/>
        <v>49339</v>
      </c>
      <c r="C379" s="86">
        <f t="shared" si="46"/>
        <v>0.28100000000000003</v>
      </c>
      <c r="D379" s="86">
        <f t="shared" si="46"/>
        <v>0.32600000000000001</v>
      </c>
      <c r="E379" s="86">
        <f t="shared" si="46"/>
        <v>6.0999999999999999E-2</v>
      </c>
      <c r="F379" s="86">
        <f t="shared" si="46"/>
        <v>2.5999999999999999E-2</v>
      </c>
      <c r="G379" s="87">
        <v>0.28100000000000003</v>
      </c>
      <c r="H379" s="87">
        <v>0.32600000000000001</v>
      </c>
      <c r="I379" s="87">
        <v>6.0999999999999999E-2</v>
      </c>
      <c r="J379" s="87">
        <v>2.5999999999999999E-2</v>
      </c>
      <c r="K379" s="76">
        <f>((7/3)*L374)+((5/3)*L386)</f>
        <v>17488</v>
      </c>
      <c r="L379" s="94"/>
      <c r="M379" s="353">
        <f t="shared" si="44"/>
        <v>0.6</v>
      </c>
      <c r="N379" s="353">
        <v>0.26</v>
      </c>
      <c r="O379" s="353">
        <f t="shared" si="45"/>
        <v>0.61</v>
      </c>
      <c r="P379" s="353">
        <v>0.34620000000000001</v>
      </c>
      <c r="Q379" s="353">
        <v>0.69640000000000002</v>
      </c>
      <c r="R379" s="353">
        <v>0.6</v>
      </c>
      <c r="S379" s="353">
        <v>0.61</v>
      </c>
    </row>
    <row r="380" spans="1:19" s="78" customFormat="1">
      <c r="A380" s="77">
        <f t="shared" si="40"/>
        <v>49003</v>
      </c>
      <c r="B380" s="77">
        <f t="shared" si="39"/>
        <v>49367</v>
      </c>
      <c r="C380" s="86">
        <f t="shared" si="46"/>
        <v>0.28100000000000003</v>
      </c>
      <c r="D380" s="86">
        <f t="shared" si="46"/>
        <v>0.32600000000000001</v>
      </c>
      <c r="E380" s="86">
        <f t="shared" si="46"/>
        <v>6.0999999999999999E-2</v>
      </c>
      <c r="F380" s="86">
        <f t="shared" si="46"/>
        <v>2.5999999999999999E-2</v>
      </c>
      <c r="G380" s="87">
        <v>0.28100000000000003</v>
      </c>
      <c r="H380" s="87">
        <v>0.32600000000000001</v>
      </c>
      <c r="I380" s="87">
        <v>6.0999999999999999E-2</v>
      </c>
      <c r="J380" s="87">
        <v>2.5999999999999999E-2</v>
      </c>
      <c r="K380" s="76">
        <f>((6/3)*L374)+((6/3)*L386)</f>
        <v>17559</v>
      </c>
      <c r="L380" s="94"/>
      <c r="M380" s="353">
        <f t="shared" si="44"/>
        <v>0.6</v>
      </c>
      <c r="N380" s="353">
        <v>0.26</v>
      </c>
      <c r="O380" s="353">
        <f t="shared" si="45"/>
        <v>0.61</v>
      </c>
      <c r="P380" s="353">
        <v>0.34620000000000001</v>
      </c>
      <c r="Q380" s="353">
        <v>0.69640000000000002</v>
      </c>
      <c r="R380" s="353">
        <v>0.6</v>
      </c>
      <c r="S380" s="353">
        <v>0.61</v>
      </c>
    </row>
    <row r="381" spans="1:19" s="78" customFormat="1">
      <c r="A381" s="77">
        <f t="shared" si="40"/>
        <v>49034</v>
      </c>
      <c r="B381" s="77">
        <f t="shared" si="39"/>
        <v>49398</v>
      </c>
      <c r="C381" s="86">
        <f t="shared" si="46"/>
        <v>0.28100000000000003</v>
      </c>
      <c r="D381" s="86">
        <f t="shared" si="46"/>
        <v>0.32600000000000001</v>
      </c>
      <c r="E381" s="86">
        <f t="shared" si="46"/>
        <v>6.0999999999999999E-2</v>
      </c>
      <c r="F381" s="86">
        <f t="shared" si="46"/>
        <v>2.5999999999999999E-2</v>
      </c>
      <c r="G381" s="87">
        <v>0.28100000000000003</v>
      </c>
      <c r="H381" s="87">
        <v>0.32600000000000001</v>
      </c>
      <c r="I381" s="87">
        <v>6.0999999999999999E-2</v>
      </c>
      <c r="J381" s="87">
        <v>2.5999999999999999E-2</v>
      </c>
      <c r="K381" s="76">
        <f>((5/3)*L374)+((7/3)*L386)</f>
        <v>17630</v>
      </c>
      <c r="L381" s="94"/>
      <c r="M381" s="353">
        <f t="shared" si="44"/>
        <v>0.6</v>
      </c>
      <c r="N381" s="353">
        <v>0.26</v>
      </c>
      <c r="O381" s="353">
        <f t="shared" si="45"/>
        <v>0.61</v>
      </c>
      <c r="P381" s="353">
        <v>0.34620000000000001</v>
      </c>
      <c r="Q381" s="353">
        <v>0.69640000000000002</v>
      </c>
      <c r="R381" s="353">
        <v>0.6</v>
      </c>
      <c r="S381" s="353">
        <v>0.61</v>
      </c>
    </row>
    <row r="382" spans="1:19" s="78" customFormat="1">
      <c r="A382" s="77">
        <f t="shared" si="40"/>
        <v>49064</v>
      </c>
      <c r="B382" s="77">
        <f t="shared" si="39"/>
        <v>49428</v>
      </c>
      <c r="C382" s="86">
        <f t="shared" si="46"/>
        <v>0.28100000000000003</v>
      </c>
      <c r="D382" s="86">
        <f t="shared" si="46"/>
        <v>0.32600000000000001</v>
      </c>
      <c r="E382" s="86">
        <f t="shared" si="46"/>
        <v>6.0999999999999999E-2</v>
      </c>
      <c r="F382" s="86">
        <f t="shared" si="46"/>
        <v>2.5999999999999999E-2</v>
      </c>
      <c r="G382" s="87">
        <v>0.28100000000000003</v>
      </c>
      <c r="H382" s="87">
        <v>0.32600000000000001</v>
      </c>
      <c r="I382" s="87">
        <v>6.0999999999999999E-2</v>
      </c>
      <c r="J382" s="87">
        <v>2.5999999999999999E-2</v>
      </c>
      <c r="K382" s="76">
        <f>((4/3)*L374)+((8/3)*L386)</f>
        <v>17702</v>
      </c>
      <c r="L382" s="94"/>
      <c r="M382" s="353">
        <f t="shared" si="44"/>
        <v>0.6</v>
      </c>
      <c r="N382" s="353">
        <v>0.26</v>
      </c>
      <c r="O382" s="353">
        <f t="shared" si="45"/>
        <v>0.61</v>
      </c>
      <c r="P382" s="353">
        <v>0.34620000000000001</v>
      </c>
      <c r="Q382" s="353">
        <v>0.69640000000000002</v>
      </c>
      <c r="R382" s="353">
        <v>0.6</v>
      </c>
      <c r="S382" s="353">
        <v>0.61</v>
      </c>
    </row>
    <row r="383" spans="1:19" s="78" customFormat="1">
      <c r="A383" s="77">
        <f t="shared" si="40"/>
        <v>49095</v>
      </c>
      <c r="B383" s="77">
        <f t="shared" si="39"/>
        <v>49459</v>
      </c>
      <c r="C383" s="86">
        <f t="shared" si="46"/>
        <v>0.28100000000000003</v>
      </c>
      <c r="D383" s="86">
        <f t="shared" si="46"/>
        <v>0.32600000000000001</v>
      </c>
      <c r="E383" s="86">
        <f t="shared" si="46"/>
        <v>6.0999999999999999E-2</v>
      </c>
      <c r="F383" s="86">
        <f t="shared" si="46"/>
        <v>2.5999999999999999E-2</v>
      </c>
      <c r="G383" s="87">
        <v>0.28100000000000003</v>
      </c>
      <c r="H383" s="87">
        <v>0.32600000000000001</v>
      </c>
      <c r="I383" s="87">
        <v>6.0999999999999999E-2</v>
      </c>
      <c r="J383" s="87">
        <v>2.5999999999999999E-2</v>
      </c>
      <c r="K383" s="76">
        <f>((3/3)*L374)+((9/3)*L386)</f>
        <v>17773</v>
      </c>
      <c r="L383" s="94"/>
      <c r="M383" s="353">
        <f t="shared" si="44"/>
        <v>0.6</v>
      </c>
      <c r="N383" s="353">
        <v>0.26</v>
      </c>
      <c r="O383" s="353">
        <f t="shared" si="45"/>
        <v>0.61</v>
      </c>
      <c r="P383" s="353">
        <v>0.34620000000000001</v>
      </c>
      <c r="Q383" s="353">
        <v>0.69640000000000002</v>
      </c>
      <c r="R383" s="353">
        <v>0.6</v>
      </c>
      <c r="S383" s="353">
        <v>0.61</v>
      </c>
    </row>
    <row r="384" spans="1:19" s="78" customFormat="1">
      <c r="A384" s="77">
        <f t="shared" si="40"/>
        <v>49125</v>
      </c>
      <c r="B384" s="77">
        <f t="shared" si="39"/>
        <v>49489</v>
      </c>
      <c r="C384" s="86">
        <f t="shared" si="46"/>
        <v>0.28100000000000003</v>
      </c>
      <c r="D384" s="86">
        <f t="shared" si="46"/>
        <v>0.32600000000000001</v>
      </c>
      <c r="E384" s="86">
        <f t="shared" si="46"/>
        <v>6.0999999999999999E-2</v>
      </c>
      <c r="F384" s="86">
        <f t="shared" si="46"/>
        <v>2.5999999999999999E-2</v>
      </c>
      <c r="G384" s="87">
        <v>0.28100000000000003</v>
      </c>
      <c r="H384" s="87">
        <v>0.32600000000000001</v>
      </c>
      <c r="I384" s="87">
        <v>6.0999999999999999E-2</v>
      </c>
      <c r="J384" s="87">
        <v>2.5999999999999999E-2</v>
      </c>
      <c r="K384" s="76">
        <f>((2/3)*L374)+((10/3)*L386)</f>
        <v>17845</v>
      </c>
      <c r="L384" s="94"/>
      <c r="M384" s="353">
        <f t="shared" si="44"/>
        <v>0.6</v>
      </c>
      <c r="N384" s="353">
        <v>0.26</v>
      </c>
      <c r="O384" s="353">
        <f t="shared" si="45"/>
        <v>0.61</v>
      </c>
      <c r="P384" s="353">
        <v>0.34620000000000001</v>
      </c>
      <c r="Q384" s="353">
        <v>0.69640000000000002</v>
      </c>
      <c r="R384" s="353">
        <v>0.6</v>
      </c>
      <c r="S384" s="353">
        <v>0.61</v>
      </c>
    </row>
    <row r="385" spans="1:19" s="78" customFormat="1">
      <c r="A385" s="77">
        <f t="shared" si="40"/>
        <v>49156</v>
      </c>
      <c r="B385" s="77">
        <f t="shared" si="39"/>
        <v>49520</v>
      </c>
      <c r="C385" s="86">
        <f t="shared" si="46"/>
        <v>0.28100000000000003</v>
      </c>
      <c r="D385" s="86">
        <f t="shared" si="46"/>
        <v>0.32600000000000001</v>
      </c>
      <c r="E385" s="86">
        <f t="shared" si="46"/>
        <v>6.0999999999999999E-2</v>
      </c>
      <c r="F385" s="86">
        <f t="shared" si="46"/>
        <v>2.5999999999999999E-2</v>
      </c>
      <c r="G385" s="87">
        <v>0.28100000000000003</v>
      </c>
      <c r="H385" s="87">
        <v>0.32600000000000001</v>
      </c>
      <c r="I385" s="87">
        <v>6.0999999999999999E-2</v>
      </c>
      <c r="J385" s="87">
        <v>2.5999999999999999E-2</v>
      </c>
      <c r="K385" s="76">
        <f>((1/3)*L374)+((11/3)*L386)</f>
        <v>17916</v>
      </c>
      <c r="L385" s="94"/>
      <c r="M385" s="353">
        <f t="shared" si="44"/>
        <v>0.6</v>
      </c>
      <c r="N385" s="353">
        <v>0.26</v>
      </c>
      <c r="O385" s="353">
        <f t="shared" si="45"/>
        <v>0.61</v>
      </c>
      <c r="P385" s="353">
        <v>0.34620000000000001</v>
      </c>
      <c r="Q385" s="353">
        <v>0.69640000000000002</v>
      </c>
      <c r="R385" s="353">
        <v>0.6</v>
      </c>
      <c r="S385" s="353">
        <v>0.61</v>
      </c>
    </row>
    <row r="386" spans="1:19">
      <c r="A386" s="19">
        <f t="shared" si="40"/>
        <v>49187</v>
      </c>
      <c r="B386" s="19">
        <f t="shared" ref="B386:B449" si="47">EDATE(A386,12)-1</f>
        <v>49551</v>
      </c>
      <c r="C386" s="84">
        <f t="shared" si="46"/>
        <v>0.28100000000000003</v>
      </c>
      <c r="D386" s="84">
        <f t="shared" si="46"/>
        <v>0.32600000000000001</v>
      </c>
      <c r="E386" s="84">
        <f t="shared" si="46"/>
        <v>6.0999999999999999E-2</v>
      </c>
      <c r="F386" s="84">
        <f t="shared" si="46"/>
        <v>2.5999999999999999E-2</v>
      </c>
      <c r="G386" s="85">
        <v>0.28100000000000003</v>
      </c>
      <c r="H386" s="85">
        <v>0.32600000000000001</v>
      </c>
      <c r="I386" s="85">
        <v>6.0999999999999999E-2</v>
      </c>
      <c r="J386" s="85">
        <v>2.5999999999999999E-2</v>
      </c>
      <c r="K386" s="25">
        <f>(L386*4)</f>
        <v>17987</v>
      </c>
      <c r="L386" s="93">
        <f>L374*1.05</f>
        <v>4496.82</v>
      </c>
      <c r="M386" s="80">
        <f t="shared" si="44"/>
        <v>0.6</v>
      </c>
      <c r="N386" s="80">
        <v>0.26</v>
      </c>
      <c r="O386" s="80">
        <f t="shared" si="45"/>
        <v>0.61</v>
      </c>
      <c r="P386" s="80">
        <v>0.34620000000000001</v>
      </c>
      <c r="Q386" s="80">
        <v>0.69640000000000002</v>
      </c>
      <c r="R386" s="80">
        <v>0.6</v>
      </c>
      <c r="S386" s="80">
        <v>0.61</v>
      </c>
    </row>
    <row r="387" spans="1:19">
      <c r="A387" s="19">
        <f t="shared" ref="A387:A450" si="48">EDATE(A386,1)</f>
        <v>49217</v>
      </c>
      <c r="B387" s="19">
        <f t="shared" si="47"/>
        <v>49581</v>
      </c>
      <c r="C387" s="84">
        <f t="shared" ref="C387:F402" si="49">AVERAGE(G387:G398)</f>
        <v>0.28100000000000003</v>
      </c>
      <c r="D387" s="84">
        <f t="shared" si="49"/>
        <v>0.32600000000000001</v>
      </c>
      <c r="E387" s="84">
        <f t="shared" si="49"/>
        <v>6.0999999999999999E-2</v>
      </c>
      <c r="F387" s="84">
        <f t="shared" si="49"/>
        <v>2.5999999999999999E-2</v>
      </c>
      <c r="G387" s="85">
        <v>0.28100000000000003</v>
      </c>
      <c r="H387" s="85">
        <v>0.32600000000000001</v>
      </c>
      <c r="I387" s="85">
        <v>6.0999999999999999E-2</v>
      </c>
      <c r="J387" s="85">
        <v>2.5999999999999999E-2</v>
      </c>
      <c r="K387" s="25">
        <f>((11/3)*L386)+((1/3)*L398)</f>
        <v>18062</v>
      </c>
      <c r="L387" s="93"/>
      <c r="M387" s="80">
        <f t="shared" si="44"/>
        <v>0.6</v>
      </c>
      <c r="N387" s="80">
        <v>0.26</v>
      </c>
      <c r="O387" s="80">
        <f t="shared" si="45"/>
        <v>0.61</v>
      </c>
      <c r="P387" s="80">
        <v>0.34620000000000001</v>
      </c>
      <c r="Q387" s="80">
        <v>0.69640000000000002</v>
      </c>
      <c r="R387" s="80">
        <v>0.6</v>
      </c>
      <c r="S387" s="80">
        <v>0.61</v>
      </c>
    </row>
    <row r="388" spans="1:19">
      <c r="A388" s="19">
        <f t="shared" si="48"/>
        <v>49248</v>
      </c>
      <c r="B388" s="19">
        <f t="shared" si="47"/>
        <v>49612</v>
      </c>
      <c r="C388" s="84">
        <f t="shared" si="49"/>
        <v>0.28100000000000003</v>
      </c>
      <c r="D388" s="84">
        <f t="shared" si="49"/>
        <v>0.32600000000000001</v>
      </c>
      <c r="E388" s="84">
        <f t="shared" si="49"/>
        <v>6.0999999999999999E-2</v>
      </c>
      <c r="F388" s="84">
        <f t="shared" si="49"/>
        <v>2.5999999999999999E-2</v>
      </c>
      <c r="G388" s="85">
        <v>0.28100000000000003</v>
      </c>
      <c r="H388" s="85">
        <v>0.32600000000000001</v>
      </c>
      <c r="I388" s="85">
        <v>6.0999999999999999E-2</v>
      </c>
      <c r="J388" s="85">
        <v>2.5999999999999999E-2</v>
      </c>
      <c r="K388" s="25">
        <f>((10/3)*L386)+((2/3)*L398)</f>
        <v>18137</v>
      </c>
      <c r="L388" s="93"/>
      <c r="M388" s="80">
        <f t="shared" si="44"/>
        <v>0.6</v>
      </c>
      <c r="N388" s="80">
        <v>0.26</v>
      </c>
      <c r="O388" s="80">
        <f t="shared" si="45"/>
        <v>0.61</v>
      </c>
      <c r="P388" s="80">
        <v>0.34620000000000001</v>
      </c>
      <c r="Q388" s="80">
        <v>0.69640000000000002</v>
      </c>
      <c r="R388" s="80">
        <v>0.6</v>
      </c>
      <c r="S388" s="80">
        <v>0.61</v>
      </c>
    </row>
    <row r="389" spans="1:19">
      <c r="A389" s="19">
        <f t="shared" si="48"/>
        <v>49278</v>
      </c>
      <c r="B389" s="19">
        <f t="shared" si="47"/>
        <v>49642</v>
      </c>
      <c r="C389" s="84">
        <f t="shared" si="49"/>
        <v>0.28100000000000003</v>
      </c>
      <c r="D389" s="84">
        <f t="shared" si="49"/>
        <v>0.32600000000000001</v>
      </c>
      <c r="E389" s="84">
        <f t="shared" si="49"/>
        <v>6.0999999999999999E-2</v>
      </c>
      <c r="F389" s="84">
        <f t="shared" si="49"/>
        <v>2.5999999999999999E-2</v>
      </c>
      <c r="G389" s="85">
        <v>0.28100000000000003</v>
      </c>
      <c r="H389" s="85">
        <v>0.32600000000000001</v>
      </c>
      <c r="I389" s="85">
        <v>6.0999999999999999E-2</v>
      </c>
      <c r="J389" s="85">
        <v>2.5999999999999999E-2</v>
      </c>
      <c r="K389" s="25">
        <f>((9/3)*L386)+((3/3)*L398)</f>
        <v>18212</v>
      </c>
      <c r="L389" s="93"/>
      <c r="M389" s="80">
        <f t="shared" si="44"/>
        <v>0.6</v>
      </c>
      <c r="N389" s="80">
        <v>0.26</v>
      </c>
      <c r="O389" s="80">
        <f t="shared" si="45"/>
        <v>0.61</v>
      </c>
      <c r="P389" s="80">
        <v>0.34620000000000001</v>
      </c>
      <c r="Q389" s="80">
        <v>0.69640000000000002</v>
      </c>
      <c r="R389" s="80">
        <v>0.6</v>
      </c>
      <c r="S389" s="80">
        <v>0.61</v>
      </c>
    </row>
    <row r="390" spans="1:19">
      <c r="A390" s="19">
        <f t="shared" si="48"/>
        <v>49309</v>
      </c>
      <c r="B390" s="19">
        <f t="shared" si="47"/>
        <v>49673</v>
      </c>
      <c r="C390" s="84">
        <f t="shared" si="49"/>
        <v>0.28100000000000003</v>
      </c>
      <c r="D390" s="84">
        <f t="shared" si="49"/>
        <v>0.32600000000000001</v>
      </c>
      <c r="E390" s="84">
        <f t="shared" si="49"/>
        <v>6.0999999999999999E-2</v>
      </c>
      <c r="F390" s="84">
        <f t="shared" si="49"/>
        <v>2.5999999999999999E-2</v>
      </c>
      <c r="G390" s="85">
        <v>0.28100000000000003</v>
      </c>
      <c r="H390" s="85">
        <v>0.32600000000000001</v>
      </c>
      <c r="I390" s="85">
        <v>6.0999999999999999E-2</v>
      </c>
      <c r="J390" s="85">
        <v>2.5999999999999999E-2</v>
      </c>
      <c r="K390" s="25">
        <f>((8/3)*L386)+((4/3)*L398)</f>
        <v>18287</v>
      </c>
      <c r="L390" s="93"/>
      <c r="M390" s="80">
        <f t="shared" si="44"/>
        <v>0.6</v>
      </c>
      <c r="N390" s="80">
        <v>0.26</v>
      </c>
      <c r="O390" s="80">
        <f t="shared" si="45"/>
        <v>0.61</v>
      </c>
      <c r="P390" s="80">
        <v>0.34620000000000001</v>
      </c>
      <c r="Q390" s="80">
        <v>0.69640000000000002</v>
      </c>
      <c r="R390" s="80">
        <v>0.6</v>
      </c>
      <c r="S390" s="80">
        <v>0.61</v>
      </c>
    </row>
    <row r="391" spans="1:19">
      <c r="A391" s="19">
        <f t="shared" si="48"/>
        <v>49340</v>
      </c>
      <c r="B391" s="19">
        <f t="shared" si="47"/>
        <v>49704</v>
      </c>
      <c r="C391" s="84">
        <f t="shared" si="49"/>
        <v>0.28100000000000003</v>
      </c>
      <c r="D391" s="84">
        <f t="shared" si="49"/>
        <v>0.32600000000000001</v>
      </c>
      <c r="E391" s="84">
        <f t="shared" si="49"/>
        <v>6.0999999999999999E-2</v>
      </c>
      <c r="F391" s="84">
        <f t="shared" si="49"/>
        <v>2.5999999999999999E-2</v>
      </c>
      <c r="G391" s="85">
        <v>0.28100000000000003</v>
      </c>
      <c r="H391" s="85">
        <v>0.32600000000000001</v>
      </c>
      <c r="I391" s="85">
        <v>6.0999999999999999E-2</v>
      </c>
      <c r="J391" s="85">
        <v>2.5999999999999999E-2</v>
      </c>
      <c r="K391" s="25">
        <f>((7/3)*L386)+((5/3)*L398)</f>
        <v>18362</v>
      </c>
      <c r="L391" s="93"/>
      <c r="M391" s="80">
        <f t="shared" si="44"/>
        <v>0.6</v>
      </c>
      <c r="N391" s="80">
        <v>0.26</v>
      </c>
      <c r="O391" s="80">
        <f t="shared" si="45"/>
        <v>0.61</v>
      </c>
      <c r="P391" s="80">
        <v>0.34620000000000001</v>
      </c>
      <c r="Q391" s="80">
        <v>0.69640000000000002</v>
      </c>
      <c r="R391" s="80">
        <v>0.6</v>
      </c>
      <c r="S391" s="80">
        <v>0.61</v>
      </c>
    </row>
    <row r="392" spans="1:19">
      <c r="A392" s="19">
        <f t="shared" si="48"/>
        <v>49368</v>
      </c>
      <c r="B392" s="19">
        <f t="shared" si="47"/>
        <v>49733</v>
      </c>
      <c r="C392" s="84">
        <f t="shared" si="49"/>
        <v>0.28100000000000003</v>
      </c>
      <c r="D392" s="84">
        <f t="shared" si="49"/>
        <v>0.32600000000000001</v>
      </c>
      <c r="E392" s="84">
        <f t="shared" si="49"/>
        <v>6.0999999999999999E-2</v>
      </c>
      <c r="F392" s="84">
        <f t="shared" si="49"/>
        <v>2.5999999999999999E-2</v>
      </c>
      <c r="G392" s="85">
        <v>0.28100000000000003</v>
      </c>
      <c r="H392" s="85">
        <v>0.32600000000000001</v>
      </c>
      <c r="I392" s="85">
        <v>6.0999999999999999E-2</v>
      </c>
      <c r="J392" s="85">
        <v>2.5999999999999999E-2</v>
      </c>
      <c r="K392" s="25">
        <f>((6/3)*L386)+((6/3)*L398)</f>
        <v>18437</v>
      </c>
      <c r="L392" s="93"/>
      <c r="M392" s="80">
        <f t="shared" si="44"/>
        <v>0.6</v>
      </c>
      <c r="N392" s="80">
        <v>0.26</v>
      </c>
      <c r="O392" s="80">
        <f t="shared" si="45"/>
        <v>0.61</v>
      </c>
      <c r="P392" s="80">
        <v>0.34620000000000001</v>
      </c>
      <c r="Q392" s="80">
        <v>0.69640000000000002</v>
      </c>
      <c r="R392" s="80">
        <v>0.6</v>
      </c>
      <c r="S392" s="80">
        <v>0.61</v>
      </c>
    </row>
    <row r="393" spans="1:19">
      <c r="A393" s="19">
        <f t="shared" si="48"/>
        <v>49399</v>
      </c>
      <c r="B393" s="19">
        <f t="shared" si="47"/>
        <v>49764</v>
      </c>
      <c r="C393" s="84">
        <f t="shared" si="49"/>
        <v>0.28100000000000003</v>
      </c>
      <c r="D393" s="84">
        <f t="shared" si="49"/>
        <v>0.32600000000000001</v>
      </c>
      <c r="E393" s="84">
        <f t="shared" si="49"/>
        <v>6.0999999999999999E-2</v>
      </c>
      <c r="F393" s="84">
        <f t="shared" si="49"/>
        <v>2.5999999999999999E-2</v>
      </c>
      <c r="G393" s="85">
        <v>0.28100000000000003</v>
      </c>
      <c r="H393" s="85">
        <v>0.32600000000000001</v>
      </c>
      <c r="I393" s="85">
        <v>6.0999999999999999E-2</v>
      </c>
      <c r="J393" s="85">
        <v>2.5999999999999999E-2</v>
      </c>
      <c r="K393" s="25">
        <f>((5/3)*L386)+((7/3)*L398)</f>
        <v>18512</v>
      </c>
      <c r="L393" s="93"/>
      <c r="M393" s="80">
        <f t="shared" si="44"/>
        <v>0.6</v>
      </c>
      <c r="N393" s="80">
        <v>0.26</v>
      </c>
      <c r="O393" s="80">
        <f t="shared" si="45"/>
        <v>0.61</v>
      </c>
      <c r="P393" s="80">
        <v>0.34620000000000001</v>
      </c>
      <c r="Q393" s="80">
        <v>0.69640000000000002</v>
      </c>
      <c r="R393" s="80">
        <v>0.6</v>
      </c>
      <c r="S393" s="80">
        <v>0.61</v>
      </c>
    </row>
    <row r="394" spans="1:19">
      <c r="A394" s="19">
        <f t="shared" si="48"/>
        <v>49429</v>
      </c>
      <c r="B394" s="19">
        <f t="shared" si="47"/>
        <v>49794</v>
      </c>
      <c r="C394" s="84">
        <f t="shared" si="49"/>
        <v>0.28100000000000003</v>
      </c>
      <c r="D394" s="84">
        <f t="shared" si="49"/>
        <v>0.32600000000000001</v>
      </c>
      <c r="E394" s="84">
        <f t="shared" si="49"/>
        <v>6.0999999999999999E-2</v>
      </c>
      <c r="F394" s="84">
        <f t="shared" si="49"/>
        <v>2.5999999999999999E-2</v>
      </c>
      <c r="G394" s="85">
        <v>0.28100000000000003</v>
      </c>
      <c r="H394" s="85">
        <v>0.32600000000000001</v>
      </c>
      <c r="I394" s="85">
        <v>6.0999999999999999E-2</v>
      </c>
      <c r="J394" s="85">
        <v>2.5999999999999999E-2</v>
      </c>
      <c r="K394" s="25">
        <f>((4/3)*L386)+((8/3)*L398)</f>
        <v>18587</v>
      </c>
      <c r="L394" s="93"/>
      <c r="M394" s="80">
        <f t="shared" si="44"/>
        <v>0.6</v>
      </c>
      <c r="N394" s="80">
        <v>0.26</v>
      </c>
      <c r="O394" s="80">
        <f t="shared" si="45"/>
        <v>0.61</v>
      </c>
      <c r="P394" s="80">
        <v>0.34620000000000001</v>
      </c>
      <c r="Q394" s="80">
        <v>0.69640000000000002</v>
      </c>
      <c r="R394" s="80">
        <v>0.6</v>
      </c>
      <c r="S394" s="80">
        <v>0.61</v>
      </c>
    </row>
    <row r="395" spans="1:19">
      <c r="A395" s="19">
        <f t="shared" si="48"/>
        <v>49460</v>
      </c>
      <c r="B395" s="19">
        <f t="shared" si="47"/>
        <v>49825</v>
      </c>
      <c r="C395" s="84">
        <f t="shared" si="49"/>
        <v>0.28100000000000003</v>
      </c>
      <c r="D395" s="84">
        <f t="shared" si="49"/>
        <v>0.32600000000000001</v>
      </c>
      <c r="E395" s="84">
        <f t="shared" si="49"/>
        <v>6.0999999999999999E-2</v>
      </c>
      <c r="F395" s="84">
        <f t="shared" si="49"/>
        <v>2.5999999999999999E-2</v>
      </c>
      <c r="G395" s="85">
        <v>0.28100000000000003</v>
      </c>
      <c r="H395" s="85">
        <v>0.32600000000000001</v>
      </c>
      <c r="I395" s="85">
        <v>6.0999999999999999E-2</v>
      </c>
      <c r="J395" s="85">
        <v>2.5999999999999999E-2</v>
      </c>
      <c r="K395" s="25">
        <f>((3/3)*L386)+((9/3)*L398)</f>
        <v>18662</v>
      </c>
      <c r="L395" s="93"/>
      <c r="M395" s="80">
        <f t="shared" si="44"/>
        <v>0.6</v>
      </c>
      <c r="N395" s="80">
        <v>0.26</v>
      </c>
      <c r="O395" s="80">
        <f t="shared" si="45"/>
        <v>0.61</v>
      </c>
      <c r="P395" s="80">
        <v>0.34620000000000001</v>
      </c>
      <c r="Q395" s="80">
        <v>0.69640000000000002</v>
      </c>
      <c r="R395" s="80">
        <v>0.6</v>
      </c>
      <c r="S395" s="80">
        <v>0.61</v>
      </c>
    </row>
    <row r="396" spans="1:19">
      <c r="A396" s="19">
        <f t="shared" si="48"/>
        <v>49490</v>
      </c>
      <c r="B396" s="19">
        <f t="shared" si="47"/>
        <v>49855</v>
      </c>
      <c r="C396" s="84">
        <f t="shared" si="49"/>
        <v>0.28100000000000003</v>
      </c>
      <c r="D396" s="84">
        <f t="shared" si="49"/>
        <v>0.32600000000000001</v>
      </c>
      <c r="E396" s="84">
        <f t="shared" si="49"/>
        <v>6.0999999999999999E-2</v>
      </c>
      <c r="F396" s="84">
        <f t="shared" si="49"/>
        <v>2.5999999999999999E-2</v>
      </c>
      <c r="G396" s="85">
        <v>0.28100000000000003</v>
      </c>
      <c r="H396" s="85">
        <v>0.32600000000000001</v>
      </c>
      <c r="I396" s="85">
        <v>6.0999999999999999E-2</v>
      </c>
      <c r="J396" s="85">
        <v>2.5999999999999999E-2</v>
      </c>
      <c r="K396" s="25">
        <f>((2/3)*L386)+((10/3)*L398)</f>
        <v>18737</v>
      </c>
      <c r="L396" s="93"/>
      <c r="M396" s="80">
        <f t="shared" si="44"/>
        <v>0.6</v>
      </c>
      <c r="N396" s="80">
        <v>0.26</v>
      </c>
      <c r="O396" s="80">
        <f t="shared" si="45"/>
        <v>0.61</v>
      </c>
      <c r="P396" s="80">
        <v>0.34620000000000001</v>
      </c>
      <c r="Q396" s="80">
        <v>0.69640000000000002</v>
      </c>
      <c r="R396" s="80">
        <v>0.6</v>
      </c>
      <c r="S396" s="80">
        <v>0.61</v>
      </c>
    </row>
    <row r="397" spans="1:19">
      <c r="A397" s="19">
        <f t="shared" si="48"/>
        <v>49521</v>
      </c>
      <c r="B397" s="19">
        <f t="shared" si="47"/>
        <v>49886</v>
      </c>
      <c r="C397" s="81">
        <f t="shared" si="49"/>
        <v>0.28100000000000003</v>
      </c>
      <c r="D397" s="81">
        <f t="shared" si="49"/>
        <v>0.32600000000000001</v>
      </c>
      <c r="E397" s="81">
        <f t="shared" si="49"/>
        <v>6.0999999999999999E-2</v>
      </c>
      <c r="F397" s="81">
        <f t="shared" si="49"/>
        <v>2.5999999999999999E-2</v>
      </c>
      <c r="G397" s="85">
        <v>0.28100000000000003</v>
      </c>
      <c r="H397" s="85">
        <v>0.32600000000000001</v>
      </c>
      <c r="I397" s="85">
        <v>6.0999999999999999E-2</v>
      </c>
      <c r="J397" s="85">
        <v>2.5999999999999999E-2</v>
      </c>
      <c r="K397" s="25">
        <f>((1/3)*L386)+((11/3)*L398)</f>
        <v>18812</v>
      </c>
      <c r="L397" s="93"/>
      <c r="M397" s="80">
        <f t="shared" si="44"/>
        <v>0.6</v>
      </c>
      <c r="N397" s="80">
        <v>0.26</v>
      </c>
      <c r="O397" s="80">
        <f t="shared" si="45"/>
        <v>0.61</v>
      </c>
      <c r="P397" s="80">
        <v>0.34620000000000001</v>
      </c>
      <c r="Q397" s="80">
        <v>0.69640000000000002</v>
      </c>
      <c r="R397" s="80">
        <v>0.6</v>
      </c>
      <c r="S397" s="80">
        <v>0.61</v>
      </c>
    </row>
    <row r="398" spans="1:19" s="78" customFormat="1">
      <c r="A398" s="77">
        <f t="shared" si="48"/>
        <v>49552</v>
      </c>
      <c r="B398" s="77">
        <f t="shared" si="47"/>
        <v>49917</v>
      </c>
      <c r="C398" s="86">
        <f t="shared" si="49"/>
        <v>0.28100000000000003</v>
      </c>
      <c r="D398" s="86">
        <f t="shared" si="49"/>
        <v>0.32600000000000001</v>
      </c>
      <c r="E398" s="86">
        <f t="shared" si="49"/>
        <v>6.0999999999999999E-2</v>
      </c>
      <c r="F398" s="86">
        <f t="shared" si="49"/>
        <v>2.5999999999999999E-2</v>
      </c>
      <c r="G398" s="87">
        <v>0.28100000000000003</v>
      </c>
      <c r="H398" s="87">
        <v>0.32600000000000001</v>
      </c>
      <c r="I398" s="87">
        <v>6.0999999999999999E-2</v>
      </c>
      <c r="J398" s="87">
        <v>2.5999999999999999E-2</v>
      </c>
      <c r="K398" s="76">
        <f>(L398*4)</f>
        <v>18887</v>
      </c>
      <c r="L398" s="94">
        <f>L386*1.05</f>
        <v>4721.66</v>
      </c>
      <c r="M398" s="353">
        <f t="shared" si="44"/>
        <v>0.6</v>
      </c>
      <c r="N398" s="353">
        <v>0.26</v>
      </c>
      <c r="O398" s="353">
        <f t="shared" si="45"/>
        <v>0.61</v>
      </c>
      <c r="P398" s="353">
        <v>0.34620000000000001</v>
      </c>
      <c r="Q398" s="353">
        <v>0.69640000000000002</v>
      </c>
      <c r="R398" s="353">
        <v>0.6</v>
      </c>
      <c r="S398" s="353">
        <v>0.61</v>
      </c>
    </row>
    <row r="399" spans="1:19" s="78" customFormat="1">
      <c r="A399" s="77">
        <f t="shared" si="48"/>
        <v>49582</v>
      </c>
      <c r="B399" s="77">
        <f t="shared" si="47"/>
        <v>49947</v>
      </c>
      <c r="C399" s="86">
        <f t="shared" si="49"/>
        <v>0.28100000000000003</v>
      </c>
      <c r="D399" s="86">
        <f t="shared" si="49"/>
        <v>0.32600000000000001</v>
      </c>
      <c r="E399" s="86">
        <f t="shared" si="49"/>
        <v>6.0999999999999999E-2</v>
      </c>
      <c r="F399" s="86">
        <f t="shared" si="49"/>
        <v>2.5999999999999999E-2</v>
      </c>
      <c r="G399" s="87">
        <v>0.28100000000000003</v>
      </c>
      <c r="H399" s="87">
        <v>0.32600000000000001</v>
      </c>
      <c r="I399" s="87">
        <v>6.0999999999999999E-2</v>
      </c>
      <c r="J399" s="87">
        <v>2.5999999999999999E-2</v>
      </c>
      <c r="K399" s="76">
        <f>((11/3)*L398)+((1/3)*L410)</f>
        <v>18965</v>
      </c>
      <c r="L399" s="94"/>
      <c r="M399" s="353">
        <f t="shared" si="44"/>
        <v>0.6</v>
      </c>
      <c r="N399" s="353">
        <v>0.26</v>
      </c>
      <c r="O399" s="353">
        <f t="shared" si="45"/>
        <v>0.61</v>
      </c>
      <c r="P399" s="353">
        <v>0.34620000000000001</v>
      </c>
      <c r="Q399" s="353">
        <v>0.69640000000000002</v>
      </c>
      <c r="R399" s="353">
        <v>0.6</v>
      </c>
      <c r="S399" s="353">
        <v>0.61</v>
      </c>
    </row>
    <row r="400" spans="1:19" s="78" customFormat="1">
      <c r="A400" s="77">
        <f t="shared" si="48"/>
        <v>49613</v>
      </c>
      <c r="B400" s="77">
        <f t="shared" si="47"/>
        <v>49978</v>
      </c>
      <c r="C400" s="86">
        <f t="shared" si="49"/>
        <v>0.28100000000000003</v>
      </c>
      <c r="D400" s="86">
        <f t="shared" si="49"/>
        <v>0.32600000000000001</v>
      </c>
      <c r="E400" s="86">
        <f t="shared" si="49"/>
        <v>6.0999999999999999E-2</v>
      </c>
      <c r="F400" s="86">
        <f t="shared" si="49"/>
        <v>2.5999999999999999E-2</v>
      </c>
      <c r="G400" s="87">
        <v>0.28100000000000003</v>
      </c>
      <c r="H400" s="87">
        <v>0.32600000000000001</v>
      </c>
      <c r="I400" s="87">
        <v>6.0999999999999999E-2</v>
      </c>
      <c r="J400" s="87">
        <v>2.5999999999999999E-2</v>
      </c>
      <c r="K400" s="76">
        <f>((10/3)*L398)+((2/3)*L410)</f>
        <v>19044</v>
      </c>
      <c r="L400" s="94"/>
      <c r="M400" s="353">
        <f t="shared" si="44"/>
        <v>0.6</v>
      </c>
      <c r="N400" s="353">
        <v>0.26</v>
      </c>
      <c r="O400" s="353">
        <f t="shared" si="45"/>
        <v>0.61</v>
      </c>
      <c r="P400" s="353">
        <v>0.34620000000000001</v>
      </c>
      <c r="Q400" s="353">
        <v>0.69640000000000002</v>
      </c>
      <c r="R400" s="353">
        <v>0.6</v>
      </c>
      <c r="S400" s="353">
        <v>0.61</v>
      </c>
    </row>
    <row r="401" spans="1:19" s="78" customFormat="1">
      <c r="A401" s="77">
        <f t="shared" si="48"/>
        <v>49643</v>
      </c>
      <c r="B401" s="77">
        <f t="shared" si="47"/>
        <v>50008</v>
      </c>
      <c r="C401" s="86">
        <f t="shared" si="49"/>
        <v>0.28100000000000003</v>
      </c>
      <c r="D401" s="86">
        <f t="shared" si="49"/>
        <v>0.32600000000000001</v>
      </c>
      <c r="E401" s="86">
        <f t="shared" si="49"/>
        <v>6.0999999999999999E-2</v>
      </c>
      <c r="F401" s="86">
        <f t="shared" si="49"/>
        <v>2.5999999999999999E-2</v>
      </c>
      <c r="G401" s="87">
        <v>0.28100000000000003</v>
      </c>
      <c r="H401" s="87">
        <v>0.32600000000000001</v>
      </c>
      <c r="I401" s="87">
        <v>6.0999999999999999E-2</v>
      </c>
      <c r="J401" s="87">
        <v>2.5999999999999999E-2</v>
      </c>
      <c r="K401" s="76">
        <f>((9/3)*L398)+((3/3)*L410)</f>
        <v>19123</v>
      </c>
      <c r="L401" s="94"/>
      <c r="M401" s="353">
        <f t="shared" si="44"/>
        <v>0.6</v>
      </c>
      <c r="N401" s="353">
        <v>0.26</v>
      </c>
      <c r="O401" s="353">
        <f t="shared" si="45"/>
        <v>0.61</v>
      </c>
      <c r="P401" s="353">
        <v>0.34620000000000001</v>
      </c>
      <c r="Q401" s="353">
        <v>0.69640000000000002</v>
      </c>
      <c r="R401" s="353">
        <v>0.6</v>
      </c>
      <c r="S401" s="353">
        <v>0.61</v>
      </c>
    </row>
    <row r="402" spans="1:19" s="78" customFormat="1">
      <c r="A402" s="77">
        <f t="shared" si="48"/>
        <v>49674</v>
      </c>
      <c r="B402" s="77">
        <f t="shared" si="47"/>
        <v>50039</v>
      </c>
      <c r="C402" s="86">
        <f t="shared" si="49"/>
        <v>0.28100000000000003</v>
      </c>
      <c r="D402" s="86">
        <f t="shared" si="49"/>
        <v>0.32600000000000001</v>
      </c>
      <c r="E402" s="86">
        <f t="shared" si="49"/>
        <v>6.0999999999999999E-2</v>
      </c>
      <c r="F402" s="86">
        <f t="shared" si="49"/>
        <v>2.5999999999999999E-2</v>
      </c>
      <c r="G402" s="87">
        <v>0.28100000000000003</v>
      </c>
      <c r="H402" s="87">
        <v>0.32600000000000001</v>
      </c>
      <c r="I402" s="87">
        <v>6.0999999999999999E-2</v>
      </c>
      <c r="J402" s="87">
        <v>2.5999999999999999E-2</v>
      </c>
      <c r="K402" s="76">
        <f>((8/3)*L398)+((4/3)*L410)</f>
        <v>19201</v>
      </c>
      <c r="L402" s="94"/>
      <c r="M402" s="353">
        <f t="shared" si="44"/>
        <v>0.6</v>
      </c>
      <c r="N402" s="353">
        <v>0.26</v>
      </c>
      <c r="O402" s="353">
        <f t="shared" si="45"/>
        <v>0.61</v>
      </c>
      <c r="P402" s="353">
        <v>0.34620000000000001</v>
      </c>
      <c r="Q402" s="353">
        <v>0.69640000000000002</v>
      </c>
      <c r="R402" s="353">
        <v>0.6</v>
      </c>
      <c r="S402" s="353">
        <v>0.61</v>
      </c>
    </row>
    <row r="403" spans="1:19" s="78" customFormat="1">
      <c r="A403" s="77">
        <f t="shared" si="48"/>
        <v>49705</v>
      </c>
      <c r="B403" s="77">
        <f t="shared" si="47"/>
        <v>50070</v>
      </c>
      <c r="C403" s="86">
        <f t="shared" ref="C403:F418" si="50">AVERAGE(G403:G414)</f>
        <v>0.28100000000000003</v>
      </c>
      <c r="D403" s="86">
        <f t="shared" si="50"/>
        <v>0.32600000000000001</v>
      </c>
      <c r="E403" s="86">
        <f t="shared" si="50"/>
        <v>6.0999999999999999E-2</v>
      </c>
      <c r="F403" s="86">
        <f t="shared" si="50"/>
        <v>2.5999999999999999E-2</v>
      </c>
      <c r="G403" s="87">
        <v>0.28100000000000003</v>
      </c>
      <c r="H403" s="87">
        <v>0.32600000000000001</v>
      </c>
      <c r="I403" s="87">
        <v>6.0999999999999999E-2</v>
      </c>
      <c r="J403" s="87">
        <v>2.5999999999999999E-2</v>
      </c>
      <c r="K403" s="76">
        <f>((7/3)*L398)+((5/3)*L410)</f>
        <v>19280</v>
      </c>
      <c r="L403" s="94"/>
      <c r="M403" s="353">
        <f t="shared" si="44"/>
        <v>0.6</v>
      </c>
      <c r="N403" s="353">
        <v>0.26</v>
      </c>
      <c r="O403" s="353">
        <f t="shared" si="45"/>
        <v>0.61</v>
      </c>
      <c r="P403" s="353">
        <v>0.34620000000000001</v>
      </c>
      <c r="Q403" s="353">
        <v>0.69640000000000002</v>
      </c>
      <c r="R403" s="353">
        <v>0.6</v>
      </c>
      <c r="S403" s="353">
        <v>0.61</v>
      </c>
    </row>
    <row r="404" spans="1:19" s="78" customFormat="1">
      <c r="A404" s="77">
        <f t="shared" si="48"/>
        <v>49734</v>
      </c>
      <c r="B404" s="77">
        <f t="shared" si="47"/>
        <v>50098</v>
      </c>
      <c r="C404" s="86">
        <f t="shared" si="50"/>
        <v>0.28100000000000003</v>
      </c>
      <c r="D404" s="86">
        <f t="shared" si="50"/>
        <v>0.32600000000000001</v>
      </c>
      <c r="E404" s="86">
        <f t="shared" si="50"/>
        <v>6.0999999999999999E-2</v>
      </c>
      <c r="F404" s="86">
        <f t="shared" si="50"/>
        <v>2.5999999999999999E-2</v>
      </c>
      <c r="G404" s="87">
        <v>0.28100000000000003</v>
      </c>
      <c r="H404" s="87">
        <v>0.32600000000000001</v>
      </c>
      <c r="I404" s="87">
        <v>6.0999999999999999E-2</v>
      </c>
      <c r="J404" s="87">
        <v>2.5999999999999999E-2</v>
      </c>
      <c r="K404" s="76">
        <f>((6/3)*L398)+((6/3)*L410)</f>
        <v>19359</v>
      </c>
      <c r="L404" s="94"/>
      <c r="M404" s="353">
        <f t="shared" si="44"/>
        <v>0.6</v>
      </c>
      <c r="N404" s="353">
        <v>0.26</v>
      </c>
      <c r="O404" s="353">
        <f t="shared" si="45"/>
        <v>0.61</v>
      </c>
      <c r="P404" s="353">
        <v>0.34620000000000001</v>
      </c>
      <c r="Q404" s="353">
        <v>0.69640000000000002</v>
      </c>
      <c r="R404" s="353">
        <v>0.6</v>
      </c>
      <c r="S404" s="353">
        <v>0.61</v>
      </c>
    </row>
    <row r="405" spans="1:19" s="78" customFormat="1">
      <c r="A405" s="77">
        <f t="shared" si="48"/>
        <v>49765</v>
      </c>
      <c r="B405" s="77">
        <f t="shared" si="47"/>
        <v>50129</v>
      </c>
      <c r="C405" s="86">
        <f t="shared" si="50"/>
        <v>0.28100000000000003</v>
      </c>
      <c r="D405" s="86">
        <f t="shared" si="50"/>
        <v>0.32600000000000001</v>
      </c>
      <c r="E405" s="86">
        <f t="shared" si="50"/>
        <v>6.0999999999999999E-2</v>
      </c>
      <c r="F405" s="86">
        <f t="shared" si="50"/>
        <v>2.5999999999999999E-2</v>
      </c>
      <c r="G405" s="87">
        <v>0.28100000000000003</v>
      </c>
      <c r="H405" s="87">
        <v>0.32600000000000001</v>
      </c>
      <c r="I405" s="87">
        <v>6.0999999999999999E-2</v>
      </c>
      <c r="J405" s="87">
        <v>2.5999999999999999E-2</v>
      </c>
      <c r="K405" s="76">
        <f>((5/3)*L398)+((7/3)*L410)</f>
        <v>19437</v>
      </c>
      <c r="L405" s="94"/>
      <c r="M405" s="353">
        <f t="shared" si="44"/>
        <v>0.6</v>
      </c>
      <c r="N405" s="353">
        <v>0.26</v>
      </c>
      <c r="O405" s="353">
        <f t="shared" si="45"/>
        <v>0.61</v>
      </c>
      <c r="P405" s="353">
        <v>0.34620000000000001</v>
      </c>
      <c r="Q405" s="353">
        <v>0.69640000000000002</v>
      </c>
      <c r="R405" s="353">
        <v>0.6</v>
      </c>
      <c r="S405" s="353">
        <v>0.61</v>
      </c>
    </row>
    <row r="406" spans="1:19" s="78" customFormat="1">
      <c r="A406" s="77">
        <f t="shared" si="48"/>
        <v>49795</v>
      </c>
      <c r="B406" s="77">
        <f t="shared" si="47"/>
        <v>50159</v>
      </c>
      <c r="C406" s="86">
        <f t="shared" si="50"/>
        <v>0.28100000000000003</v>
      </c>
      <c r="D406" s="86">
        <f t="shared" si="50"/>
        <v>0.32600000000000001</v>
      </c>
      <c r="E406" s="86">
        <f t="shared" si="50"/>
        <v>6.0999999999999999E-2</v>
      </c>
      <c r="F406" s="86">
        <f t="shared" si="50"/>
        <v>2.5999999999999999E-2</v>
      </c>
      <c r="G406" s="87">
        <v>0.28100000000000003</v>
      </c>
      <c r="H406" s="87">
        <v>0.32600000000000001</v>
      </c>
      <c r="I406" s="87">
        <v>6.0999999999999999E-2</v>
      </c>
      <c r="J406" s="87">
        <v>2.5999999999999999E-2</v>
      </c>
      <c r="K406" s="76">
        <f>((4/3)*L398)+((8/3)*L410)</f>
        <v>19516</v>
      </c>
      <c r="L406" s="94"/>
      <c r="M406" s="353">
        <f t="shared" si="44"/>
        <v>0.6</v>
      </c>
      <c r="N406" s="353">
        <v>0.26</v>
      </c>
      <c r="O406" s="353">
        <f t="shared" si="45"/>
        <v>0.61</v>
      </c>
      <c r="P406" s="353">
        <v>0.34620000000000001</v>
      </c>
      <c r="Q406" s="353">
        <v>0.69640000000000002</v>
      </c>
      <c r="R406" s="353">
        <v>0.6</v>
      </c>
      <c r="S406" s="353">
        <v>0.61</v>
      </c>
    </row>
    <row r="407" spans="1:19" s="78" customFormat="1">
      <c r="A407" s="77">
        <f t="shared" si="48"/>
        <v>49826</v>
      </c>
      <c r="B407" s="77">
        <f t="shared" si="47"/>
        <v>50190</v>
      </c>
      <c r="C407" s="86">
        <f t="shared" si="50"/>
        <v>0.28100000000000003</v>
      </c>
      <c r="D407" s="86">
        <f t="shared" si="50"/>
        <v>0.32600000000000001</v>
      </c>
      <c r="E407" s="86">
        <f t="shared" si="50"/>
        <v>6.0999999999999999E-2</v>
      </c>
      <c r="F407" s="86">
        <f t="shared" si="50"/>
        <v>2.5999999999999999E-2</v>
      </c>
      <c r="G407" s="87">
        <v>0.28100000000000003</v>
      </c>
      <c r="H407" s="87">
        <v>0.32600000000000001</v>
      </c>
      <c r="I407" s="87">
        <v>6.0999999999999999E-2</v>
      </c>
      <c r="J407" s="87">
        <v>2.5999999999999999E-2</v>
      </c>
      <c r="K407" s="76">
        <f>((3/3)*L398)+((9/3)*L410)</f>
        <v>19595</v>
      </c>
      <c r="L407" s="94"/>
      <c r="M407" s="353">
        <f t="shared" si="44"/>
        <v>0.6</v>
      </c>
      <c r="N407" s="353">
        <v>0.26</v>
      </c>
      <c r="O407" s="353">
        <f t="shared" si="45"/>
        <v>0.61</v>
      </c>
      <c r="P407" s="353">
        <v>0.34620000000000001</v>
      </c>
      <c r="Q407" s="353">
        <v>0.69640000000000002</v>
      </c>
      <c r="R407" s="353">
        <v>0.6</v>
      </c>
      <c r="S407" s="353">
        <v>0.61</v>
      </c>
    </row>
    <row r="408" spans="1:19" s="78" customFormat="1">
      <c r="A408" s="77">
        <f t="shared" si="48"/>
        <v>49856</v>
      </c>
      <c r="B408" s="77">
        <f t="shared" si="47"/>
        <v>50220</v>
      </c>
      <c r="C408" s="86">
        <f t="shared" si="50"/>
        <v>0.28100000000000003</v>
      </c>
      <c r="D408" s="86">
        <f t="shared" si="50"/>
        <v>0.32600000000000001</v>
      </c>
      <c r="E408" s="86">
        <f t="shared" si="50"/>
        <v>6.0999999999999999E-2</v>
      </c>
      <c r="F408" s="86">
        <f t="shared" si="50"/>
        <v>2.5999999999999999E-2</v>
      </c>
      <c r="G408" s="87">
        <v>0.28100000000000003</v>
      </c>
      <c r="H408" s="87">
        <v>0.32600000000000001</v>
      </c>
      <c r="I408" s="87">
        <v>6.0999999999999999E-2</v>
      </c>
      <c r="J408" s="87">
        <v>2.5999999999999999E-2</v>
      </c>
      <c r="K408" s="76">
        <f>((2/3)*L398)+((10/3)*L410)</f>
        <v>19674</v>
      </c>
      <c r="L408" s="94"/>
      <c r="M408" s="353">
        <f t="shared" si="44"/>
        <v>0.6</v>
      </c>
      <c r="N408" s="353">
        <v>0.26</v>
      </c>
      <c r="O408" s="353">
        <f t="shared" si="45"/>
        <v>0.61</v>
      </c>
      <c r="P408" s="353">
        <v>0.34620000000000001</v>
      </c>
      <c r="Q408" s="353">
        <v>0.69640000000000002</v>
      </c>
      <c r="R408" s="353">
        <v>0.6</v>
      </c>
      <c r="S408" s="353">
        <v>0.61</v>
      </c>
    </row>
    <row r="409" spans="1:19" s="78" customFormat="1">
      <c r="A409" s="77">
        <f t="shared" si="48"/>
        <v>49887</v>
      </c>
      <c r="B409" s="77">
        <f t="shared" si="47"/>
        <v>50251</v>
      </c>
      <c r="C409" s="86">
        <f t="shared" si="50"/>
        <v>0.28100000000000003</v>
      </c>
      <c r="D409" s="86">
        <f t="shared" si="50"/>
        <v>0.32600000000000001</v>
      </c>
      <c r="E409" s="86">
        <f t="shared" si="50"/>
        <v>6.0999999999999999E-2</v>
      </c>
      <c r="F409" s="86">
        <f t="shared" si="50"/>
        <v>2.5999999999999999E-2</v>
      </c>
      <c r="G409" s="87">
        <v>0.28100000000000003</v>
      </c>
      <c r="H409" s="87">
        <v>0.32600000000000001</v>
      </c>
      <c r="I409" s="87">
        <v>6.0999999999999999E-2</v>
      </c>
      <c r="J409" s="87">
        <v>2.5999999999999999E-2</v>
      </c>
      <c r="K409" s="76">
        <f>((1/3)*L398)+((11/3)*L410)</f>
        <v>19752</v>
      </c>
      <c r="L409" s="94"/>
      <c r="M409" s="353">
        <f t="shared" si="44"/>
        <v>0.6</v>
      </c>
      <c r="N409" s="353">
        <v>0.26</v>
      </c>
      <c r="O409" s="353">
        <f t="shared" si="45"/>
        <v>0.61</v>
      </c>
      <c r="P409" s="353">
        <v>0.34620000000000001</v>
      </c>
      <c r="Q409" s="353">
        <v>0.69640000000000002</v>
      </c>
      <c r="R409" s="353">
        <v>0.6</v>
      </c>
      <c r="S409" s="353">
        <v>0.61</v>
      </c>
    </row>
    <row r="410" spans="1:19">
      <c r="A410" s="19">
        <f t="shared" si="48"/>
        <v>49918</v>
      </c>
      <c r="B410" s="19">
        <f t="shared" si="47"/>
        <v>50282</v>
      </c>
      <c r="C410" s="84">
        <f t="shared" si="50"/>
        <v>0.28100000000000003</v>
      </c>
      <c r="D410" s="84">
        <f t="shared" si="50"/>
        <v>0.32600000000000001</v>
      </c>
      <c r="E410" s="84">
        <f t="shared" si="50"/>
        <v>6.0999999999999999E-2</v>
      </c>
      <c r="F410" s="84">
        <f t="shared" si="50"/>
        <v>2.5999999999999999E-2</v>
      </c>
      <c r="G410" s="85">
        <v>0.28100000000000003</v>
      </c>
      <c r="H410" s="85">
        <v>0.32600000000000001</v>
      </c>
      <c r="I410" s="85">
        <v>6.0999999999999999E-2</v>
      </c>
      <c r="J410" s="85">
        <v>2.5999999999999999E-2</v>
      </c>
      <c r="K410" s="25">
        <f>(L410*4)</f>
        <v>19831</v>
      </c>
      <c r="L410" s="93">
        <f>L398*1.05</f>
        <v>4957.74</v>
      </c>
      <c r="M410" s="80">
        <f t="shared" si="44"/>
        <v>0.6</v>
      </c>
      <c r="N410" s="80">
        <v>0.26</v>
      </c>
      <c r="O410" s="80">
        <f t="shared" si="45"/>
        <v>0.61</v>
      </c>
      <c r="P410" s="80">
        <v>0.34620000000000001</v>
      </c>
      <c r="Q410" s="80">
        <v>0.69640000000000002</v>
      </c>
      <c r="R410" s="80">
        <v>0.6</v>
      </c>
      <c r="S410" s="80">
        <v>0.61</v>
      </c>
    </row>
    <row r="411" spans="1:19">
      <c r="A411" s="19">
        <f t="shared" si="48"/>
        <v>49948</v>
      </c>
      <c r="B411" s="19">
        <f t="shared" si="47"/>
        <v>50312</v>
      </c>
      <c r="C411" s="84">
        <f t="shared" si="50"/>
        <v>0.28100000000000003</v>
      </c>
      <c r="D411" s="84">
        <f t="shared" si="50"/>
        <v>0.32600000000000001</v>
      </c>
      <c r="E411" s="84">
        <f t="shared" si="50"/>
        <v>6.0999999999999999E-2</v>
      </c>
      <c r="F411" s="84">
        <f t="shared" si="50"/>
        <v>2.5999999999999999E-2</v>
      </c>
      <c r="G411" s="85">
        <v>0.28100000000000003</v>
      </c>
      <c r="H411" s="85">
        <v>0.32600000000000001</v>
      </c>
      <c r="I411" s="85">
        <v>6.0999999999999999E-2</v>
      </c>
      <c r="J411" s="85">
        <v>2.5999999999999999E-2</v>
      </c>
      <c r="K411" s="25">
        <f>((11/3)*L410)+((1/3)*L422)</f>
        <v>19914</v>
      </c>
      <c r="L411" s="93"/>
      <c r="M411" s="80">
        <f t="shared" si="44"/>
        <v>0.6</v>
      </c>
      <c r="N411" s="80">
        <v>0.26</v>
      </c>
      <c r="O411" s="80">
        <f t="shared" si="45"/>
        <v>0.61</v>
      </c>
      <c r="P411" s="80">
        <v>0.34620000000000001</v>
      </c>
      <c r="Q411" s="80">
        <v>0.69640000000000002</v>
      </c>
      <c r="R411" s="80">
        <v>0.6</v>
      </c>
      <c r="S411" s="80">
        <v>0.61</v>
      </c>
    </row>
    <row r="412" spans="1:19">
      <c r="A412" s="19">
        <f t="shared" si="48"/>
        <v>49979</v>
      </c>
      <c r="B412" s="19">
        <f t="shared" si="47"/>
        <v>50343</v>
      </c>
      <c r="C412" s="84">
        <f t="shared" si="50"/>
        <v>0.28100000000000003</v>
      </c>
      <c r="D412" s="84">
        <f t="shared" si="50"/>
        <v>0.32600000000000001</v>
      </c>
      <c r="E412" s="84">
        <f t="shared" si="50"/>
        <v>6.0999999999999999E-2</v>
      </c>
      <c r="F412" s="84">
        <f t="shared" si="50"/>
        <v>2.5999999999999999E-2</v>
      </c>
      <c r="G412" s="85">
        <v>0.28100000000000003</v>
      </c>
      <c r="H412" s="85">
        <v>0.32600000000000001</v>
      </c>
      <c r="I412" s="85">
        <v>6.0999999999999999E-2</v>
      </c>
      <c r="J412" s="85">
        <v>2.5999999999999999E-2</v>
      </c>
      <c r="K412" s="25">
        <f>((10/3)*L410)+((2/3)*L422)</f>
        <v>19996</v>
      </c>
      <c r="L412" s="93"/>
      <c r="M412" s="80">
        <f t="shared" si="44"/>
        <v>0.6</v>
      </c>
      <c r="N412" s="80">
        <v>0.26</v>
      </c>
      <c r="O412" s="80">
        <f t="shared" si="45"/>
        <v>0.61</v>
      </c>
      <c r="P412" s="80">
        <v>0.34620000000000001</v>
      </c>
      <c r="Q412" s="80">
        <v>0.69640000000000002</v>
      </c>
      <c r="R412" s="80">
        <v>0.6</v>
      </c>
      <c r="S412" s="80">
        <v>0.61</v>
      </c>
    </row>
    <row r="413" spans="1:19">
      <c r="A413" s="19">
        <f t="shared" si="48"/>
        <v>50009</v>
      </c>
      <c r="B413" s="19">
        <f t="shared" si="47"/>
        <v>50373</v>
      </c>
      <c r="C413" s="84">
        <f t="shared" si="50"/>
        <v>0.28100000000000003</v>
      </c>
      <c r="D413" s="84">
        <f t="shared" si="50"/>
        <v>0.32600000000000001</v>
      </c>
      <c r="E413" s="84">
        <f t="shared" si="50"/>
        <v>6.0999999999999999E-2</v>
      </c>
      <c r="F413" s="84">
        <f t="shared" si="50"/>
        <v>2.5999999999999999E-2</v>
      </c>
      <c r="G413" s="85">
        <v>0.28100000000000003</v>
      </c>
      <c r="H413" s="85">
        <v>0.32600000000000001</v>
      </c>
      <c r="I413" s="85">
        <v>6.0999999999999999E-2</v>
      </c>
      <c r="J413" s="85">
        <v>2.5999999999999999E-2</v>
      </c>
      <c r="K413" s="25">
        <f>((9/3)*L410)+((3/3)*L422)</f>
        <v>20079</v>
      </c>
      <c r="L413" s="93"/>
      <c r="M413" s="80">
        <f t="shared" si="44"/>
        <v>0.6</v>
      </c>
      <c r="N413" s="80">
        <v>0.26</v>
      </c>
      <c r="O413" s="80">
        <f t="shared" si="45"/>
        <v>0.61</v>
      </c>
      <c r="P413" s="80">
        <v>0.34620000000000001</v>
      </c>
      <c r="Q413" s="80">
        <v>0.69640000000000002</v>
      </c>
      <c r="R413" s="80">
        <v>0.6</v>
      </c>
      <c r="S413" s="80">
        <v>0.61</v>
      </c>
    </row>
    <row r="414" spans="1:19">
      <c r="A414" s="19">
        <f t="shared" si="48"/>
        <v>50040</v>
      </c>
      <c r="B414" s="19">
        <f t="shared" si="47"/>
        <v>50404</v>
      </c>
      <c r="C414" s="84">
        <f t="shared" si="50"/>
        <v>0.28100000000000003</v>
      </c>
      <c r="D414" s="84">
        <f t="shared" si="50"/>
        <v>0.32600000000000001</v>
      </c>
      <c r="E414" s="84">
        <f t="shared" si="50"/>
        <v>6.0999999999999999E-2</v>
      </c>
      <c r="F414" s="84">
        <f t="shared" si="50"/>
        <v>2.5999999999999999E-2</v>
      </c>
      <c r="G414" s="85">
        <v>0.28100000000000003</v>
      </c>
      <c r="H414" s="85">
        <v>0.32600000000000001</v>
      </c>
      <c r="I414" s="85">
        <v>6.0999999999999999E-2</v>
      </c>
      <c r="J414" s="85">
        <v>2.5999999999999999E-2</v>
      </c>
      <c r="K414" s="25">
        <f>((8/3)*L410)+((4/3)*L422)</f>
        <v>20161</v>
      </c>
      <c r="L414" s="93"/>
      <c r="M414" s="80">
        <f t="shared" si="44"/>
        <v>0.6</v>
      </c>
      <c r="N414" s="80">
        <v>0.26</v>
      </c>
      <c r="O414" s="80">
        <f t="shared" si="45"/>
        <v>0.61</v>
      </c>
      <c r="P414" s="80">
        <v>0.34620000000000001</v>
      </c>
      <c r="Q414" s="80">
        <v>0.69640000000000002</v>
      </c>
      <c r="R414" s="80">
        <v>0.6</v>
      </c>
      <c r="S414" s="80">
        <v>0.61</v>
      </c>
    </row>
    <row r="415" spans="1:19">
      <c r="A415" s="19">
        <f t="shared" si="48"/>
        <v>50071</v>
      </c>
      <c r="B415" s="19">
        <f t="shared" si="47"/>
        <v>50435</v>
      </c>
      <c r="C415" s="84">
        <f t="shared" si="50"/>
        <v>0.28100000000000003</v>
      </c>
      <c r="D415" s="84">
        <f t="shared" si="50"/>
        <v>0.32600000000000001</v>
      </c>
      <c r="E415" s="84">
        <f t="shared" si="50"/>
        <v>6.0999999999999999E-2</v>
      </c>
      <c r="F415" s="84">
        <f t="shared" si="50"/>
        <v>2.5999999999999999E-2</v>
      </c>
      <c r="G415" s="85">
        <v>0.28100000000000003</v>
      </c>
      <c r="H415" s="85">
        <v>0.32600000000000001</v>
      </c>
      <c r="I415" s="85">
        <v>6.0999999999999999E-2</v>
      </c>
      <c r="J415" s="85">
        <v>2.5999999999999999E-2</v>
      </c>
      <c r="K415" s="25">
        <f>((7/3)*L410)+((5/3)*L422)</f>
        <v>20244</v>
      </c>
      <c r="L415" s="93"/>
      <c r="M415" s="80">
        <f t="shared" si="44"/>
        <v>0.6</v>
      </c>
      <c r="N415" s="80">
        <v>0.26</v>
      </c>
      <c r="O415" s="80">
        <f t="shared" si="45"/>
        <v>0.61</v>
      </c>
      <c r="P415" s="80">
        <v>0.34620000000000001</v>
      </c>
      <c r="Q415" s="80">
        <v>0.69640000000000002</v>
      </c>
      <c r="R415" s="80">
        <v>0.6</v>
      </c>
      <c r="S415" s="80">
        <v>0.61</v>
      </c>
    </row>
    <row r="416" spans="1:19">
      <c r="A416" s="19">
        <f t="shared" si="48"/>
        <v>50099</v>
      </c>
      <c r="B416" s="19">
        <f t="shared" si="47"/>
        <v>50463</v>
      </c>
      <c r="C416" s="84">
        <f t="shared" si="50"/>
        <v>0.28100000000000003</v>
      </c>
      <c r="D416" s="84">
        <f t="shared" si="50"/>
        <v>0.32600000000000001</v>
      </c>
      <c r="E416" s="84">
        <f t="shared" si="50"/>
        <v>6.0999999999999999E-2</v>
      </c>
      <c r="F416" s="84">
        <f t="shared" si="50"/>
        <v>2.5999999999999999E-2</v>
      </c>
      <c r="G416" s="85">
        <v>0.28100000000000003</v>
      </c>
      <c r="H416" s="85">
        <v>0.32600000000000001</v>
      </c>
      <c r="I416" s="85">
        <v>6.0999999999999999E-2</v>
      </c>
      <c r="J416" s="85">
        <v>2.5999999999999999E-2</v>
      </c>
      <c r="K416" s="25">
        <f>((6/3)*L410)+((6/3)*L422)</f>
        <v>20327</v>
      </c>
      <c r="L416" s="93"/>
      <c r="M416" s="80">
        <f t="shared" si="44"/>
        <v>0.6</v>
      </c>
      <c r="N416" s="80">
        <v>0.26</v>
      </c>
      <c r="O416" s="80">
        <f t="shared" si="45"/>
        <v>0.61</v>
      </c>
      <c r="P416" s="80">
        <v>0.34620000000000001</v>
      </c>
      <c r="Q416" s="80">
        <v>0.69640000000000002</v>
      </c>
      <c r="R416" s="80">
        <v>0.6</v>
      </c>
      <c r="S416" s="80">
        <v>0.61</v>
      </c>
    </row>
    <row r="417" spans="1:19">
      <c r="A417" s="19">
        <f t="shared" si="48"/>
        <v>50130</v>
      </c>
      <c r="B417" s="19">
        <f t="shared" si="47"/>
        <v>50494</v>
      </c>
      <c r="C417" s="84">
        <f t="shared" si="50"/>
        <v>0.28100000000000003</v>
      </c>
      <c r="D417" s="84">
        <f t="shared" si="50"/>
        <v>0.32600000000000001</v>
      </c>
      <c r="E417" s="84">
        <f t="shared" si="50"/>
        <v>6.0999999999999999E-2</v>
      </c>
      <c r="F417" s="84">
        <f t="shared" si="50"/>
        <v>2.5999999999999999E-2</v>
      </c>
      <c r="G417" s="85">
        <v>0.28100000000000003</v>
      </c>
      <c r="H417" s="85">
        <v>0.32600000000000001</v>
      </c>
      <c r="I417" s="85">
        <v>6.0999999999999999E-2</v>
      </c>
      <c r="J417" s="85">
        <v>2.5999999999999999E-2</v>
      </c>
      <c r="K417" s="25">
        <f>((5/3)*L410)+((7/3)*L422)</f>
        <v>20409</v>
      </c>
      <c r="L417" s="93"/>
      <c r="M417" s="80">
        <f t="shared" si="44"/>
        <v>0.6</v>
      </c>
      <c r="N417" s="80">
        <v>0.26</v>
      </c>
      <c r="O417" s="80">
        <f t="shared" si="45"/>
        <v>0.61</v>
      </c>
      <c r="P417" s="80">
        <v>0.34620000000000001</v>
      </c>
      <c r="Q417" s="80">
        <v>0.69640000000000002</v>
      </c>
      <c r="R417" s="80">
        <v>0.6</v>
      </c>
      <c r="S417" s="80">
        <v>0.61</v>
      </c>
    </row>
    <row r="418" spans="1:19">
      <c r="A418" s="19">
        <f t="shared" si="48"/>
        <v>50160</v>
      </c>
      <c r="B418" s="19">
        <f t="shared" si="47"/>
        <v>50524</v>
      </c>
      <c r="C418" s="84">
        <f t="shared" si="50"/>
        <v>0.28100000000000003</v>
      </c>
      <c r="D418" s="84">
        <f t="shared" si="50"/>
        <v>0.32600000000000001</v>
      </c>
      <c r="E418" s="84">
        <f t="shared" si="50"/>
        <v>6.0999999999999999E-2</v>
      </c>
      <c r="F418" s="84">
        <f t="shared" si="50"/>
        <v>2.5999999999999999E-2</v>
      </c>
      <c r="G418" s="85">
        <v>0.28100000000000003</v>
      </c>
      <c r="H418" s="85">
        <v>0.32600000000000001</v>
      </c>
      <c r="I418" s="85">
        <v>6.0999999999999999E-2</v>
      </c>
      <c r="J418" s="85">
        <v>2.5999999999999999E-2</v>
      </c>
      <c r="K418" s="25">
        <f>((4/3)*L410)+((8/3)*L422)</f>
        <v>20492</v>
      </c>
      <c r="L418" s="93"/>
      <c r="M418" s="80">
        <f t="shared" si="44"/>
        <v>0.6</v>
      </c>
      <c r="N418" s="80">
        <v>0.26</v>
      </c>
      <c r="O418" s="80">
        <f t="shared" si="45"/>
        <v>0.61</v>
      </c>
      <c r="P418" s="80">
        <v>0.34620000000000001</v>
      </c>
      <c r="Q418" s="80">
        <v>0.69640000000000002</v>
      </c>
      <c r="R418" s="80">
        <v>0.6</v>
      </c>
      <c r="S418" s="80">
        <v>0.61</v>
      </c>
    </row>
    <row r="419" spans="1:19">
      <c r="A419" s="19">
        <f t="shared" si="48"/>
        <v>50191</v>
      </c>
      <c r="B419" s="19">
        <f t="shared" si="47"/>
        <v>50555</v>
      </c>
      <c r="C419" s="84">
        <f t="shared" ref="C419:F434" si="51">AVERAGE(G419:G430)</f>
        <v>0.28100000000000003</v>
      </c>
      <c r="D419" s="84">
        <f t="shared" si="51"/>
        <v>0.32600000000000001</v>
      </c>
      <c r="E419" s="84">
        <f t="shared" si="51"/>
        <v>6.0999999999999999E-2</v>
      </c>
      <c r="F419" s="84">
        <f t="shared" si="51"/>
        <v>2.5999999999999999E-2</v>
      </c>
      <c r="G419" s="85">
        <v>0.28100000000000003</v>
      </c>
      <c r="H419" s="85">
        <v>0.32600000000000001</v>
      </c>
      <c r="I419" s="85">
        <v>6.0999999999999999E-2</v>
      </c>
      <c r="J419" s="85">
        <v>2.5999999999999999E-2</v>
      </c>
      <c r="K419" s="25">
        <f>((3/3)*L410)+((9/3)*L422)</f>
        <v>20575</v>
      </c>
      <c r="L419" s="93"/>
      <c r="M419" s="80">
        <f t="shared" si="44"/>
        <v>0.6</v>
      </c>
      <c r="N419" s="80">
        <v>0.26</v>
      </c>
      <c r="O419" s="80">
        <f t="shared" si="45"/>
        <v>0.61</v>
      </c>
      <c r="P419" s="80">
        <v>0.34620000000000001</v>
      </c>
      <c r="Q419" s="80">
        <v>0.69640000000000002</v>
      </c>
      <c r="R419" s="80">
        <v>0.6</v>
      </c>
      <c r="S419" s="80">
        <v>0.61</v>
      </c>
    </row>
    <row r="420" spans="1:19">
      <c r="A420" s="19">
        <f t="shared" si="48"/>
        <v>50221</v>
      </c>
      <c r="B420" s="19">
        <f t="shared" si="47"/>
        <v>50585</v>
      </c>
      <c r="C420" s="84">
        <f t="shared" si="51"/>
        <v>0.28100000000000003</v>
      </c>
      <c r="D420" s="84">
        <f t="shared" si="51"/>
        <v>0.32600000000000001</v>
      </c>
      <c r="E420" s="84">
        <f t="shared" si="51"/>
        <v>6.0999999999999999E-2</v>
      </c>
      <c r="F420" s="84">
        <f t="shared" si="51"/>
        <v>2.5999999999999999E-2</v>
      </c>
      <c r="G420" s="85">
        <v>0.28100000000000003</v>
      </c>
      <c r="H420" s="85">
        <v>0.32600000000000001</v>
      </c>
      <c r="I420" s="85">
        <v>6.0999999999999999E-2</v>
      </c>
      <c r="J420" s="85">
        <v>2.5999999999999999E-2</v>
      </c>
      <c r="K420" s="25">
        <f>((2/3)*L410)+((10/3)*L422)</f>
        <v>20657</v>
      </c>
      <c r="L420" s="93"/>
      <c r="M420" s="80">
        <f t="shared" si="44"/>
        <v>0.6</v>
      </c>
      <c r="N420" s="80">
        <v>0.26</v>
      </c>
      <c r="O420" s="80">
        <f t="shared" si="45"/>
        <v>0.61</v>
      </c>
      <c r="P420" s="80">
        <v>0.34620000000000001</v>
      </c>
      <c r="Q420" s="80">
        <v>0.69640000000000002</v>
      </c>
      <c r="R420" s="80">
        <v>0.6</v>
      </c>
      <c r="S420" s="80">
        <v>0.61</v>
      </c>
    </row>
    <row r="421" spans="1:19">
      <c r="A421" s="19">
        <f t="shared" si="48"/>
        <v>50252</v>
      </c>
      <c r="B421" s="19">
        <f t="shared" si="47"/>
        <v>50616</v>
      </c>
      <c r="C421" s="81">
        <f t="shared" si="51"/>
        <v>0.28100000000000003</v>
      </c>
      <c r="D421" s="81">
        <f t="shared" si="51"/>
        <v>0.32600000000000001</v>
      </c>
      <c r="E421" s="81">
        <f t="shared" si="51"/>
        <v>6.0999999999999999E-2</v>
      </c>
      <c r="F421" s="81">
        <f t="shared" si="51"/>
        <v>2.5999999999999999E-2</v>
      </c>
      <c r="G421" s="85">
        <v>0.28100000000000003</v>
      </c>
      <c r="H421" s="85">
        <v>0.32600000000000001</v>
      </c>
      <c r="I421" s="85">
        <v>6.0999999999999999E-2</v>
      </c>
      <c r="J421" s="85">
        <v>2.5999999999999999E-2</v>
      </c>
      <c r="K421" s="25">
        <f>((1/3)*L410)+((11/3)*L422)</f>
        <v>20740</v>
      </c>
      <c r="L421" s="93"/>
      <c r="M421" s="80">
        <f t="shared" si="44"/>
        <v>0.6</v>
      </c>
      <c r="N421" s="80">
        <v>0.26</v>
      </c>
      <c r="O421" s="80">
        <f t="shared" si="45"/>
        <v>0.61</v>
      </c>
      <c r="P421" s="80">
        <v>0.34620000000000001</v>
      </c>
      <c r="Q421" s="80">
        <v>0.69640000000000002</v>
      </c>
      <c r="R421" s="80">
        <v>0.6</v>
      </c>
      <c r="S421" s="80">
        <v>0.61</v>
      </c>
    </row>
    <row r="422" spans="1:19" s="78" customFormat="1">
      <c r="A422" s="77">
        <f t="shared" si="48"/>
        <v>50283</v>
      </c>
      <c r="B422" s="77">
        <f t="shared" si="47"/>
        <v>50647</v>
      </c>
      <c r="C422" s="86">
        <f t="shared" si="51"/>
        <v>0.28100000000000003</v>
      </c>
      <c r="D422" s="86">
        <f t="shared" si="51"/>
        <v>0.32600000000000001</v>
      </c>
      <c r="E422" s="86">
        <f t="shared" si="51"/>
        <v>6.0999999999999999E-2</v>
      </c>
      <c r="F422" s="86">
        <f t="shared" si="51"/>
        <v>2.5999999999999999E-2</v>
      </c>
      <c r="G422" s="87">
        <v>0.28100000000000003</v>
      </c>
      <c r="H422" s="87">
        <v>0.32600000000000001</v>
      </c>
      <c r="I422" s="87">
        <v>6.0999999999999999E-2</v>
      </c>
      <c r="J422" s="87">
        <v>2.5999999999999999E-2</v>
      </c>
      <c r="K422" s="76">
        <f>(L422*4)</f>
        <v>20823</v>
      </c>
      <c r="L422" s="94">
        <f>L410*1.05</f>
        <v>5205.63</v>
      </c>
      <c r="M422" s="353">
        <f t="shared" si="44"/>
        <v>0.6</v>
      </c>
      <c r="N422" s="353">
        <v>0.26</v>
      </c>
      <c r="O422" s="353">
        <f t="shared" si="45"/>
        <v>0.61</v>
      </c>
      <c r="P422" s="353">
        <v>0.34620000000000001</v>
      </c>
      <c r="Q422" s="353">
        <v>0.69640000000000002</v>
      </c>
      <c r="R422" s="353">
        <v>0.6</v>
      </c>
      <c r="S422" s="353">
        <v>0.61</v>
      </c>
    </row>
    <row r="423" spans="1:19" s="78" customFormat="1">
      <c r="A423" s="77">
        <f t="shared" si="48"/>
        <v>50313</v>
      </c>
      <c r="B423" s="77">
        <f t="shared" si="47"/>
        <v>50677</v>
      </c>
      <c r="C423" s="86">
        <f t="shared" si="51"/>
        <v>0.28100000000000003</v>
      </c>
      <c r="D423" s="86">
        <f t="shared" si="51"/>
        <v>0.32600000000000001</v>
      </c>
      <c r="E423" s="86">
        <f t="shared" si="51"/>
        <v>6.0999999999999999E-2</v>
      </c>
      <c r="F423" s="86">
        <f t="shared" si="51"/>
        <v>2.5999999999999999E-2</v>
      </c>
      <c r="G423" s="87">
        <v>0.28100000000000003</v>
      </c>
      <c r="H423" s="87">
        <v>0.32600000000000001</v>
      </c>
      <c r="I423" s="87">
        <v>6.0999999999999999E-2</v>
      </c>
      <c r="J423" s="87">
        <v>2.5999999999999999E-2</v>
      </c>
      <c r="K423" s="76">
        <f>((11/3)*L422)+((1/3)*L434)</f>
        <v>20909</v>
      </c>
      <c r="L423" s="94"/>
      <c r="M423" s="353">
        <f t="shared" si="44"/>
        <v>0.6</v>
      </c>
      <c r="N423" s="353">
        <v>0.26</v>
      </c>
      <c r="O423" s="353">
        <f t="shared" si="45"/>
        <v>0.61</v>
      </c>
      <c r="P423" s="353">
        <v>0.34620000000000001</v>
      </c>
      <c r="Q423" s="353">
        <v>0.69640000000000002</v>
      </c>
      <c r="R423" s="353">
        <v>0.6</v>
      </c>
      <c r="S423" s="353">
        <v>0.61</v>
      </c>
    </row>
    <row r="424" spans="1:19" s="78" customFormat="1">
      <c r="A424" s="77">
        <f t="shared" si="48"/>
        <v>50344</v>
      </c>
      <c r="B424" s="77">
        <f t="shared" si="47"/>
        <v>50708</v>
      </c>
      <c r="C424" s="86">
        <f t="shared" si="51"/>
        <v>0.28100000000000003</v>
      </c>
      <c r="D424" s="86">
        <f t="shared" si="51"/>
        <v>0.32600000000000001</v>
      </c>
      <c r="E424" s="86">
        <f t="shared" si="51"/>
        <v>6.0999999999999999E-2</v>
      </c>
      <c r="F424" s="86">
        <f t="shared" si="51"/>
        <v>2.5999999999999999E-2</v>
      </c>
      <c r="G424" s="87">
        <v>0.28100000000000003</v>
      </c>
      <c r="H424" s="87">
        <v>0.32600000000000001</v>
      </c>
      <c r="I424" s="87">
        <v>6.0999999999999999E-2</v>
      </c>
      <c r="J424" s="87">
        <v>2.5999999999999999E-2</v>
      </c>
      <c r="K424" s="76">
        <f>((10/3)*L422)+((2/3)*L434)</f>
        <v>20996</v>
      </c>
      <c r="L424" s="94"/>
      <c r="M424" s="353">
        <f t="shared" si="44"/>
        <v>0.6</v>
      </c>
      <c r="N424" s="353">
        <v>0.26</v>
      </c>
      <c r="O424" s="353">
        <f t="shared" si="45"/>
        <v>0.61</v>
      </c>
      <c r="P424" s="353">
        <v>0.34620000000000001</v>
      </c>
      <c r="Q424" s="353">
        <v>0.69640000000000002</v>
      </c>
      <c r="R424" s="353">
        <v>0.6</v>
      </c>
      <c r="S424" s="353">
        <v>0.61</v>
      </c>
    </row>
    <row r="425" spans="1:19" s="78" customFormat="1">
      <c r="A425" s="77">
        <f t="shared" si="48"/>
        <v>50374</v>
      </c>
      <c r="B425" s="77">
        <f t="shared" si="47"/>
        <v>50738</v>
      </c>
      <c r="C425" s="86">
        <f t="shared" si="51"/>
        <v>0.28100000000000003</v>
      </c>
      <c r="D425" s="86">
        <f t="shared" si="51"/>
        <v>0.32600000000000001</v>
      </c>
      <c r="E425" s="86">
        <f t="shared" si="51"/>
        <v>6.0999999999999999E-2</v>
      </c>
      <c r="F425" s="86">
        <f t="shared" si="51"/>
        <v>2.5999999999999999E-2</v>
      </c>
      <c r="G425" s="87">
        <v>0.28100000000000003</v>
      </c>
      <c r="H425" s="87">
        <v>0.32600000000000001</v>
      </c>
      <c r="I425" s="87">
        <v>6.0999999999999999E-2</v>
      </c>
      <c r="J425" s="87">
        <v>2.5999999999999999E-2</v>
      </c>
      <c r="K425" s="76">
        <f>((9/3)*L422)+((3/3)*L434)</f>
        <v>21083</v>
      </c>
      <c r="L425" s="94"/>
      <c r="M425" s="353">
        <f t="shared" si="44"/>
        <v>0.6</v>
      </c>
      <c r="N425" s="353">
        <v>0.26</v>
      </c>
      <c r="O425" s="353">
        <f t="shared" si="45"/>
        <v>0.61</v>
      </c>
      <c r="P425" s="353">
        <v>0.34620000000000001</v>
      </c>
      <c r="Q425" s="353">
        <v>0.69640000000000002</v>
      </c>
      <c r="R425" s="353">
        <v>0.6</v>
      </c>
      <c r="S425" s="353">
        <v>0.61</v>
      </c>
    </row>
    <row r="426" spans="1:19" s="78" customFormat="1">
      <c r="A426" s="77">
        <f t="shared" si="48"/>
        <v>50405</v>
      </c>
      <c r="B426" s="77">
        <f t="shared" si="47"/>
        <v>50769</v>
      </c>
      <c r="C426" s="86">
        <f t="shared" si="51"/>
        <v>0.28100000000000003</v>
      </c>
      <c r="D426" s="86">
        <f t="shared" si="51"/>
        <v>0.32600000000000001</v>
      </c>
      <c r="E426" s="86">
        <f t="shared" si="51"/>
        <v>6.0999999999999999E-2</v>
      </c>
      <c r="F426" s="86">
        <f t="shared" si="51"/>
        <v>2.5999999999999999E-2</v>
      </c>
      <c r="G426" s="87">
        <v>0.28100000000000003</v>
      </c>
      <c r="H426" s="87">
        <v>0.32600000000000001</v>
      </c>
      <c r="I426" s="87">
        <v>6.0999999999999999E-2</v>
      </c>
      <c r="J426" s="87">
        <v>2.5999999999999999E-2</v>
      </c>
      <c r="K426" s="76">
        <f>((8/3)*L422)+((4/3)*L434)</f>
        <v>21170</v>
      </c>
      <c r="L426" s="94"/>
      <c r="M426" s="353">
        <f t="shared" si="44"/>
        <v>0.6</v>
      </c>
      <c r="N426" s="353">
        <v>0.26</v>
      </c>
      <c r="O426" s="353">
        <f t="shared" si="45"/>
        <v>0.61</v>
      </c>
      <c r="P426" s="353">
        <v>0.34620000000000001</v>
      </c>
      <c r="Q426" s="353">
        <v>0.69640000000000002</v>
      </c>
      <c r="R426" s="353">
        <v>0.6</v>
      </c>
      <c r="S426" s="353">
        <v>0.61</v>
      </c>
    </row>
    <row r="427" spans="1:19" s="78" customFormat="1">
      <c r="A427" s="77">
        <f t="shared" si="48"/>
        <v>50436</v>
      </c>
      <c r="B427" s="77">
        <f t="shared" si="47"/>
        <v>50800</v>
      </c>
      <c r="C427" s="86">
        <f t="shared" si="51"/>
        <v>0.28100000000000003</v>
      </c>
      <c r="D427" s="86">
        <f t="shared" si="51"/>
        <v>0.32600000000000001</v>
      </c>
      <c r="E427" s="86">
        <f t="shared" si="51"/>
        <v>6.0999999999999999E-2</v>
      </c>
      <c r="F427" s="86">
        <f t="shared" si="51"/>
        <v>2.5999999999999999E-2</v>
      </c>
      <c r="G427" s="87">
        <v>0.28100000000000003</v>
      </c>
      <c r="H427" s="87">
        <v>0.32600000000000001</v>
      </c>
      <c r="I427" s="87">
        <v>6.0999999999999999E-2</v>
      </c>
      <c r="J427" s="87">
        <v>2.5999999999999999E-2</v>
      </c>
      <c r="K427" s="76">
        <f>((7/3)*L422)+((5/3)*L434)</f>
        <v>21256</v>
      </c>
      <c r="L427" s="94"/>
      <c r="M427" s="353">
        <f t="shared" si="44"/>
        <v>0.6</v>
      </c>
      <c r="N427" s="353">
        <v>0.26</v>
      </c>
      <c r="O427" s="353">
        <f t="shared" si="45"/>
        <v>0.61</v>
      </c>
      <c r="P427" s="353">
        <v>0.34620000000000001</v>
      </c>
      <c r="Q427" s="353">
        <v>0.69640000000000002</v>
      </c>
      <c r="R427" s="353">
        <v>0.6</v>
      </c>
      <c r="S427" s="353">
        <v>0.61</v>
      </c>
    </row>
    <row r="428" spans="1:19" s="78" customFormat="1">
      <c r="A428" s="77">
        <f t="shared" si="48"/>
        <v>50464</v>
      </c>
      <c r="B428" s="77">
        <f t="shared" si="47"/>
        <v>50828</v>
      </c>
      <c r="C428" s="86">
        <f t="shared" si="51"/>
        <v>0.28100000000000003</v>
      </c>
      <c r="D428" s="86">
        <f t="shared" si="51"/>
        <v>0.32600000000000001</v>
      </c>
      <c r="E428" s="86">
        <f t="shared" si="51"/>
        <v>6.0999999999999999E-2</v>
      </c>
      <c r="F428" s="86">
        <f t="shared" si="51"/>
        <v>2.5999999999999999E-2</v>
      </c>
      <c r="G428" s="87">
        <v>0.28100000000000003</v>
      </c>
      <c r="H428" s="87">
        <v>0.32600000000000001</v>
      </c>
      <c r="I428" s="87">
        <v>6.0999999999999999E-2</v>
      </c>
      <c r="J428" s="87">
        <v>2.5999999999999999E-2</v>
      </c>
      <c r="K428" s="76">
        <f>((6/3)*L422)+((6/3)*L434)</f>
        <v>21343</v>
      </c>
      <c r="L428" s="94"/>
      <c r="M428" s="353">
        <f t="shared" si="44"/>
        <v>0.6</v>
      </c>
      <c r="N428" s="353">
        <v>0.26</v>
      </c>
      <c r="O428" s="353">
        <f t="shared" si="45"/>
        <v>0.61</v>
      </c>
      <c r="P428" s="353">
        <v>0.34620000000000001</v>
      </c>
      <c r="Q428" s="353">
        <v>0.69640000000000002</v>
      </c>
      <c r="R428" s="353">
        <v>0.6</v>
      </c>
      <c r="S428" s="353">
        <v>0.61</v>
      </c>
    </row>
    <row r="429" spans="1:19" s="78" customFormat="1">
      <c r="A429" s="77">
        <f t="shared" si="48"/>
        <v>50495</v>
      </c>
      <c r="B429" s="77">
        <f t="shared" si="47"/>
        <v>50859</v>
      </c>
      <c r="C429" s="86">
        <f t="shared" si="51"/>
        <v>0.28100000000000003</v>
      </c>
      <c r="D429" s="86">
        <f t="shared" si="51"/>
        <v>0.32600000000000001</v>
      </c>
      <c r="E429" s="86">
        <f t="shared" si="51"/>
        <v>6.0999999999999999E-2</v>
      </c>
      <c r="F429" s="86">
        <f t="shared" si="51"/>
        <v>2.5999999999999999E-2</v>
      </c>
      <c r="G429" s="87">
        <v>0.28100000000000003</v>
      </c>
      <c r="H429" s="87">
        <v>0.32600000000000001</v>
      </c>
      <c r="I429" s="87">
        <v>6.0999999999999999E-2</v>
      </c>
      <c r="J429" s="87">
        <v>2.5999999999999999E-2</v>
      </c>
      <c r="K429" s="76">
        <f>((5/3)*L422)+((7/3)*L434)</f>
        <v>21430</v>
      </c>
      <c r="L429" s="94"/>
      <c r="M429" s="353">
        <f t="shared" si="44"/>
        <v>0.6</v>
      </c>
      <c r="N429" s="353">
        <v>0.26</v>
      </c>
      <c r="O429" s="353">
        <f t="shared" si="45"/>
        <v>0.61</v>
      </c>
      <c r="P429" s="353">
        <v>0.34620000000000001</v>
      </c>
      <c r="Q429" s="353">
        <v>0.69640000000000002</v>
      </c>
      <c r="R429" s="353">
        <v>0.6</v>
      </c>
      <c r="S429" s="353">
        <v>0.61</v>
      </c>
    </row>
    <row r="430" spans="1:19" s="78" customFormat="1">
      <c r="A430" s="77">
        <f t="shared" si="48"/>
        <v>50525</v>
      </c>
      <c r="B430" s="77">
        <f t="shared" si="47"/>
        <v>50889</v>
      </c>
      <c r="C430" s="86">
        <f t="shared" si="51"/>
        <v>0.28100000000000003</v>
      </c>
      <c r="D430" s="86">
        <f t="shared" si="51"/>
        <v>0.32600000000000001</v>
      </c>
      <c r="E430" s="86">
        <f t="shared" si="51"/>
        <v>6.0999999999999999E-2</v>
      </c>
      <c r="F430" s="86">
        <f t="shared" si="51"/>
        <v>2.5999999999999999E-2</v>
      </c>
      <c r="G430" s="87">
        <v>0.28100000000000003</v>
      </c>
      <c r="H430" s="87">
        <v>0.32600000000000001</v>
      </c>
      <c r="I430" s="87">
        <v>6.0999999999999999E-2</v>
      </c>
      <c r="J430" s="87">
        <v>2.5999999999999999E-2</v>
      </c>
      <c r="K430" s="76">
        <f>((4/3)*L422)+((8/3)*L434)</f>
        <v>21517</v>
      </c>
      <c r="L430" s="94"/>
      <c r="M430" s="353">
        <f t="shared" si="44"/>
        <v>0.6</v>
      </c>
      <c r="N430" s="353">
        <v>0.26</v>
      </c>
      <c r="O430" s="353">
        <f t="shared" si="45"/>
        <v>0.61</v>
      </c>
      <c r="P430" s="353">
        <v>0.34620000000000001</v>
      </c>
      <c r="Q430" s="353">
        <v>0.69640000000000002</v>
      </c>
      <c r="R430" s="353">
        <v>0.6</v>
      </c>
      <c r="S430" s="353">
        <v>0.61</v>
      </c>
    </row>
    <row r="431" spans="1:19" s="78" customFormat="1">
      <c r="A431" s="77">
        <f t="shared" si="48"/>
        <v>50556</v>
      </c>
      <c r="B431" s="77">
        <f t="shared" si="47"/>
        <v>50920</v>
      </c>
      <c r="C431" s="86">
        <f t="shared" si="51"/>
        <v>0.28100000000000003</v>
      </c>
      <c r="D431" s="86">
        <f t="shared" si="51"/>
        <v>0.32600000000000001</v>
      </c>
      <c r="E431" s="86">
        <f t="shared" si="51"/>
        <v>6.0999999999999999E-2</v>
      </c>
      <c r="F431" s="86">
        <f t="shared" si="51"/>
        <v>2.5999999999999999E-2</v>
      </c>
      <c r="G431" s="87">
        <v>0.28100000000000003</v>
      </c>
      <c r="H431" s="87">
        <v>0.32600000000000001</v>
      </c>
      <c r="I431" s="87">
        <v>6.0999999999999999E-2</v>
      </c>
      <c r="J431" s="87">
        <v>2.5999999999999999E-2</v>
      </c>
      <c r="K431" s="76">
        <f>((3/3)*L422)+((9/3)*L434)</f>
        <v>21603</v>
      </c>
      <c r="L431" s="94"/>
      <c r="M431" s="353">
        <f t="shared" ref="M431:M494" si="52">AVERAGE(R431:R442)</f>
        <v>0.6</v>
      </c>
      <c r="N431" s="353">
        <v>0.26</v>
      </c>
      <c r="O431" s="353">
        <f t="shared" ref="O431:O494" si="53">AVERAGE(S431:S442)</f>
        <v>0.61</v>
      </c>
      <c r="P431" s="353">
        <v>0.34620000000000001</v>
      </c>
      <c r="Q431" s="353">
        <v>0.69640000000000002</v>
      </c>
      <c r="R431" s="353">
        <v>0.6</v>
      </c>
      <c r="S431" s="353">
        <v>0.61</v>
      </c>
    </row>
    <row r="432" spans="1:19" s="78" customFormat="1">
      <c r="A432" s="77">
        <f t="shared" si="48"/>
        <v>50586</v>
      </c>
      <c r="B432" s="77">
        <f t="shared" si="47"/>
        <v>50950</v>
      </c>
      <c r="C432" s="86">
        <f t="shared" si="51"/>
        <v>0.28100000000000003</v>
      </c>
      <c r="D432" s="86">
        <f t="shared" si="51"/>
        <v>0.32600000000000001</v>
      </c>
      <c r="E432" s="86">
        <f t="shared" si="51"/>
        <v>6.0999999999999999E-2</v>
      </c>
      <c r="F432" s="86">
        <f t="shared" si="51"/>
        <v>2.5999999999999999E-2</v>
      </c>
      <c r="G432" s="87">
        <v>0.28100000000000003</v>
      </c>
      <c r="H432" s="87">
        <v>0.32600000000000001</v>
      </c>
      <c r="I432" s="87">
        <v>6.0999999999999999E-2</v>
      </c>
      <c r="J432" s="87">
        <v>2.5999999999999999E-2</v>
      </c>
      <c r="K432" s="76">
        <f>((2/3)*L422)+((10/3)*L434)</f>
        <v>21690</v>
      </c>
      <c r="L432" s="94"/>
      <c r="M432" s="353">
        <f t="shared" si="52"/>
        <v>0.6</v>
      </c>
      <c r="N432" s="353">
        <v>0.26</v>
      </c>
      <c r="O432" s="353">
        <f t="shared" si="53"/>
        <v>0.61</v>
      </c>
      <c r="P432" s="353">
        <v>0.34620000000000001</v>
      </c>
      <c r="Q432" s="353">
        <v>0.69640000000000002</v>
      </c>
      <c r="R432" s="353">
        <v>0.6</v>
      </c>
      <c r="S432" s="353">
        <v>0.61</v>
      </c>
    </row>
    <row r="433" spans="1:19" s="78" customFormat="1">
      <c r="A433" s="77">
        <f t="shared" si="48"/>
        <v>50617</v>
      </c>
      <c r="B433" s="77">
        <f t="shared" si="47"/>
        <v>50981</v>
      </c>
      <c r="C433" s="86">
        <f t="shared" si="51"/>
        <v>0.28100000000000003</v>
      </c>
      <c r="D433" s="86">
        <f t="shared" si="51"/>
        <v>0.32600000000000001</v>
      </c>
      <c r="E433" s="86">
        <f t="shared" si="51"/>
        <v>6.0999999999999999E-2</v>
      </c>
      <c r="F433" s="86">
        <f t="shared" si="51"/>
        <v>2.5999999999999999E-2</v>
      </c>
      <c r="G433" s="87">
        <v>0.28100000000000003</v>
      </c>
      <c r="H433" s="87">
        <v>0.32600000000000001</v>
      </c>
      <c r="I433" s="87">
        <v>6.0999999999999999E-2</v>
      </c>
      <c r="J433" s="87">
        <v>2.5999999999999999E-2</v>
      </c>
      <c r="K433" s="76">
        <f>((1/3)*L422)+((11/3)*L434)</f>
        <v>21777</v>
      </c>
      <c r="L433" s="94"/>
      <c r="M433" s="353">
        <f t="shared" si="52"/>
        <v>0.6</v>
      </c>
      <c r="N433" s="353">
        <v>0.26</v>
      </c>
      <c r="O433" s="353">
        <f t="shared" si="53"/>
        <v>0.61</v>
      </c>
      <c r="P433" s="353">
        <v>0.34620000000000001</v>
      </c>
      <c r="Q433" s="353">
        <v>0.69640000000000002</v>
      </c>
      <c r="R433" s="353">
        <v>0.6</v>
      </c>
      <c r="S433" s="353">
        <v>0.61</v>
      </c>
    </row>
    <row r="434" spans="1:19">
      <c r="A434" s="19">
        <f t="shared" si="48"/>
        <v>50648</v>
      </c>
      <c r="B434" s="19">
        <f t="shared" si="47"/>
        <v>51012</v>
      </c>
      <c r="C434" s="84">
        <f t="shared" si="51"/>
        <v>0.28100000000000003</v>
      </c>
      <c r="D434" s="84">
        <f t="shared" si="51"/>
        <v>0.32600000000000001</v>
      </c>
      <c r="E434" s="84">
        <f t="shared" si="51"/>
        <v>6.0999999999999999E-2</v>
      </c>
      <c r="F434" s="84">
        <f t="shared" si="51"/>
        <v>2.5999999999999999E-2</v>
      </c>
      <c r="G434" s="85">
        <v>0.28100000000000003</v>
      </c>
      <c r="H434" s="85">
        <v>0.32600000000000001</v>
      </c>
      <c r="I434" s="85">
        <v>6.0999999999999999E-2</v>
      </c>
      <c r="J434" s="85">
        <v>2.5999999999999999E-2</v>
      </c>
      <c r="K434" s="25">
        <f>(L434*4)</f>
        <v>21864</v>
      </c>
      <c r="L434" s="93">
        <f>L422*1.05</f>
        <v>5465.91</v>
      </c>
      <c r="M434" s="80">
        <f t="shared" si="52"/>
        <v>0.6</v>
      </c>
      <c r="N434" s="80">
        <v>0.26</v>
      </c>
      <c r="O434" s="80">
        <f t="shared" si="53"/>
        <v>0.61</v>
      </c>
      <c r="P434" s="80">
        <v>0.34620000000000001</v>
      </c>
      <c r="Q434" s="80">
        <v>0.69640000000000002</v>
      </c>
      <c r="R434" s="80">
        <v>0.6</v>
      </c>
      <c r="S434" s="80">
        <v>0.61</v>
      </c>
    </row>
    <row r="435" spans="1:19">
      <c r="A435" s="19">
        <f t="shared" si="48"/>
        <v>50678</v>
      </c>
      <c r="B435" s="19">
        <f t="shared" si="47"/>
        <v>51042</v>
      </c>
      <c r="C435" s="84">
        <f t="shared" ref="C435:F450" si="54">AVERAGE(G435:G446)</f>
        <v>0.28100000000000003</v>
      </c>
      <c r="D435" s="84">
        <f t="shared" si="54"/>
        <v>0.32600000000000001</v>
      </c>
      <c r="E435" s="84">
        <f t="shared" si="54"/>
        <v>6.0999999999999999E-2</v>
      </c>
      <c r="F435" s="84">
        <f t="shared" si="54"/>
        <v>2.5999999999999999E-2</v>
      </c>
      <c r="G435" s="85">
        <v>0.28100000000000003</v>
      </c>
      <c r="H435" s="85">
        <v>0.32600000000000001</v>
      </c>
      <c r="I435" s="85">
        <v>6.0999999999999999E-2</v>
      </c>
      <c r="J435" s="85">
        <v>2.5999999999999999E-2</v>
      </c>
      <c r="K435" s="25">
        <f>((11/3)*L434)+((1/3)*L446)</f>
        <v>21955</v>
      </c>
      <c r="L435" s="93"/>
      <c r="M435" s="80">
        <f t="shared" si="52"/>
        <v>0.6</v>
      </c>
      <c r="N435" s="80">
        <v>0.26</v>
      </c>
      <c r="O435" s="80">
        <f t="shared" si="53"/>
        <v>0.61</v>
      </c>
      <c r="P435" s="80">
        <v>0.34620000000000001</v>
      </c>
      <c r="Q435" s="80">
        <v>0.69640000000000002</v>
      </c>
      <c r="R435" s="80">
        <v>0.6</v>
      </c>
      <c r="S435" s="80">
        <v>0.61</v>
      </c>
    </row>
    <row r="436" spans="1:19">
      <c r="A436" s="19">
        <f t="shared" si="48"/>
        <v>50709</v>
      </c>
      <c r="B436" s="19">
        <f t="shared" si="47"/>
        <v>51073</v>
      </c>
      <c r="C436" s="84">
        <f t="shared" si="54"/>
        <v>0.28100000000000003</v>
      </c>
      <c r="D436" s="84">
        <f t="shared" si="54"/>
        <v>0.32600000000000001</v>
      </c>
      <c r="E436" s="84">
        <f t="shared" si="54"/>
        <v>6.0999999999999999E-2</v>
      </c>
      <c r="F436" s="84">
        <f t="shared" si="54"/>
        <v>2.5999999999999999E-2</v>
      </c>
      <c r="G436" s="85">
        <v>0.28100000000000003</v>
      </c>
      <c r="H436" s="85">
        <v>0.32600000000000001</v>
      </c>
      <c r="I436" s="85">
        <v>6.0999999999999999E-2</v>
      </c>
      <c r="J436" s="85">
        <v>2.5999999999999999E-2</v>
      </c>
      <c r="K436" s="25">
        <f>((10/3)*L434)+((2/3)*L446)</f>
        <v>22046</v>
      </c>
      <c r="L436" s="93"/>
      <c r="M436" s="80">
        <f t="shared" si="52"/>
        <v>0.6</v>
      </c>
      <c r="N436" s="80">
        <v>0.26</v>
      </c>
      <c r="O436" s="80">
        <f t="shared" si="53"/>
        <v>0.61</v>
      </c>
      <c r="P436" s="80">
        <v>0.34620000000000001</v>
      </c>
      <c r="Q436" s="80">
        <v>0.69640000000000002</v>
      </c>
      <c r="R436" s="80">
        <v>0.6</v>
      </c>
      <c r="S436" s="80">
        <v>0.61</v>
      </c>
    </row>
    <row r="437" spans="1:19">
      <c r="A437" s="19">
        <f t="shared" si="48"/>
        <v>50739</v>
      </c>
      <c r="B437" s="19">
        <f t="shared" si="47"/>
        <v>51103</v>
      </c>
      <c r="C437" s="84">
        <f t="shared" si="54"/>
        <v>0.28100000000000003</v>
      </c>
      <c r="D437" s="84">
        <f t="shared" si="54"/>
        <v>0.32600000000000001</v>
      </c>
      <c r="E437" s="84">
        <f t="shared" si="54"/>
        <v>6.0999999999999999E-2</v>
      </c>
      <c r="F437" s="84">
        <f t="shared" si="54"/>
        <v>2.5999999999999999E-2</v>
      </c>
      <c r="G437" s="85">
        <v>0.28100000000000003</v>
      </c>
      <c r="H437" s="85">
        <v>0.32600000000000001</v>
      </c>
      <c r="I437" s="85">
        <v>6.0999999999999999E-2</v>
      </c>
      <c r="J437" s="85">
        <v>2.5999999999999999E-2</v>
      </c>
      <c r="K437" s="25">
        <f>((9/3)*L434)+((3/3)*L446)</f>
        <v>22137</v>
      </c>
      <c r="L437" s="93"/>
      <c r="M437" s="80">
        <f t="shared" si="52"/>
        <v>0.6</v>
      </c>
      <c r="N437" s="80">
        <v>0.26</v>
      </c>
      <c r="O437" s="80">
        <f t="shared" si="53"/>
        <v>0.61</v>
      </c>
      <c r="P437" s="80">
        <v>0.34620000000000001</v>
      </c>
      <c r="Q437" s="80">
        <v>0.69640000000000002</v>
      </c>
      <c r="R437" s="80">
        <v>0.6</v>
      </c>
      <c r="S437" s="80">
        <v>0.61</v>
      </c>
    </row>
    <row r="438" spans="1:19">
      <c r="A438" s="19">
        <f t="shared" si="48"/>
        <v>50770</v>
      </c>
      <c r="B438" s="19">
        <f t="shared" si="47"/>
        <v>51134</v>
      </c>
      <c r="C438" s="84">
        <f t="shared" si="54"/>
        <v>0.28100000000000003</v>
      </c>
      <c r="D438" s="84">
        <f t="shared" si="54"/>
        <v>0.32600000000000001</v>
      </c>
      <c r="E438" s="84">
        <f t="shared" si="54"/>
        <v>6.0999999999999999E-2</v>
      </c>
      <c r="F438" s="84">
        <f t="shared" si="54"/>
        <v>2.5999999999999999E-2</v>
      </c>
      <c r="G438" s="85">
        <v>0.28100000000000003</v>
      </c>
      <c r="H438" s="85">
        <v>0.32600000000000001</v>
      </c>
      <c r="I438" s="85">
        <v>6.0999999999999999E-2</v>
      </c>
      <c r="J438" s="85">
        <v>2.5999999999999999E-2</v>
      </c>
      <c r="K438" s="25">
        <f>((8/3)*L434)+((4/3)*L446)</f>
        <v>22228</v>
      </c>
      <c r="L438" s="93"/>
      <c r="M438" s="80">
        <f t="shared" si="52"/>
        <v>0.6</v>
      </c>
      <c r="N438" s="80">
        <v>0.26</v>
      </c>
      <c r="O438" s="80">
        <f t="shared" si="53"/>
        <v>0.61</v>
      </c>
      <c r="P438" s="80">
        <v>0.34620000000000001</v>
      </c>
      <c r="Q438" s="80">
        <v>0.69640000000000002</v>
      </c>
      <c r="R438" s="80">
        <v>0.6</v>
      </c>
      <c r="S438" s="80">
        <v>0.61</v>
      </c>
    </row>
    <row r="439" spans="1:19">
      <c r="A439" s="19">
        <f t="shared" si="48"/>
        <v>50801</v>
      </c>
      <c r="B439" s="19">
        <f t="shared" si="47"/>
        <v>51165</v>
      </c>
      <c r="C439" s="84">
        <f t="shared" si="54"/>
        <v>0.28100000000000003</v>
      </c>
      <c r="D439" s="84">
        <f t="shared" si="54"/>
        <v>0.32600000000000001</v>
      </c>
      <c r="E439" s="84">
        <f t="shared" si="54"/>
        <v>6.0999999999999999E-2</v>
      </c>
      <c r="F439" s="84">
        <f t="shared" si="54"/>
        <v>2.5999999999999999E-2</v>
      </c>
      <c r="G439" s="85">
        <v>0.28100000000000003</v>
      </c>
      <c r="H439" s="85">
        <v>0.32600000000000001</v>
      </c>
      <c r="I439" s="85">
        <v>6.0999999999999999E-2</v>
      </c>
      <c r="J439" s="85">
        <v>2.5999999999999999E-2</v>
      </c>
      <c r="K439" s="25">
        <f>((7/3)*L434)+((5/3)*L446)</f>
        <v>22319</v>
      </c>
      <c r="L439" s="93"/>
      <c r="M439" s="80">
        <f t="shared" si="52"/>
        <v>0.6</v>
      </c>
      <c r="N439" s="80">
        <v>0.26</v>
      </c>
      <c r="O439" s="80">
        <f t="shared" si="53"/>
        <v>0.61</v>
      </c>
      <c r="P439" s="80">
        <v>0.34620000000000001</v>
      </c>
      <c r="Q439" s="80">
        <v>0.69640000000000002</v>
      </c>
      <c r="R439" s="80">
        <v>0.6</v>
      </c>
      <c r="S439" s="80">
        <v>0.61</v>
      </c>
    </row>
    <row r="440" spans="1:19">
      <c r="A440" s="19">
        <f t="shared" si="48"/>
        <v>50829</v>
      </c>
      <c r="B440" s="19">
        <f t="shared" si="47"/>
        <v>51194</v>
      </c>
      <c r="C440" s="84">
        <f t="shared" si="54"/>
        <v>0.28100000000000003</v>
      </c>
      <c r="D440" s="84">
        <f t="shared" si="54"/>
        <v>0.32600000000000001</v>
      </c>
      <c r="E440" s="84">
        <f t="shared" si="54"/>
        <v>6.0999999999999999E-2</v>
      </c>
      <c r="F440" s="84">
        <f t="shared" si="54"/>
        <v>2.5999999999999999E-2</v>
      </c>
      <c r="G440" s="85">
        <v>0.28100000000000003</v>
      </c>
      <c r="H440" s="85">
        <v>0.32600000000000001</v>
      </c>
      <c r="I440" s="85">
        <v>6.0999999999999999E-2</v>
      </c>
      <c r="J440" s="85">
        <v>2.5999999999999999E-2</v>
      </c>
      <c r="K440" s="25">
        <f>((6/3)*L434)+((6/3)*L446)</f>
        <v>22410</v>
      </c>
      <c r="L440" s="93"/>
      <c r="M440" s="80">
        <f t="shared" si="52"/>
        <v>0.6</v>
      </c>
      <c r="N440" s="80">
        <v>0.26</v>
      </c>
      <c r="O440" s="80">
        <f t="shared" si="53"/>
        <v>0.61</v>
      </c>
      <c r="P440" s="80">
        <v>0.34620000000000001</v>
      </c>
      <c r="Q440" s="80">
        <v>0.69640000000000002</v>
      </c>
      <c r="R440" s="80">
        <v>0.6</v>
      </c>
      <c r="S440" s="80">
        <v>0.61</v>
      </c>
    </row>
    <row r="441" spans="1:19">
      <c r="A441" s="19">
        <f t="shared" si="48"/>
        <v>50860</v>
      </c>
      <c r="B441" s="19">
        <f t="shared" si="47"/>
        <v>51225</v>
      </c>
      <c r="C441" s="84">
        <f t="shared" si="54"/>
        <v>0.28100000000000003</v>
      </c>
      <c r="D441" s="84">
        <f t="shared" si="54"/>
        <v>0.32600000000000001</v>
      </c>
      <c r="E441" s="84">
        <f t="shared" si="54"/>
        <v>6.0999999999999999E-2</v>
      </c>
      <c r="F441" s="84">
        <f t="shared" si="54"/>
        <v>2.5999999999999999E-2</v>
      </c>
      <c r="G441" s="85">
        <v>0.28100000000000003</v>
      </c>
      <c r="H441" s="85">
        <v>0.32600000000000001</v>
      </c>
      <c r="I441" s="85">
        <v>6.0999999999999999E-2</v>
      </c>
      <c r="J441" s="85">
        <v>2.5999999999999999E-2</v>
      </c>
      <c r="K441" s="25">
        <f>((5/3)*L434)+((7/3)*L446)</f>
        <v>22501</v>
      </c>
      <c r="L441" s="93"/>
      <c r="M441" s="80">
        <f t="shared" si="52"/>
        <v>0.6</v>
      </c>
      <c r="N441" s="80">
        <v>0.26</v>
      </c>
      <c r="O441" s="80">
        <f t="shared" si="53"/>
        <v>0.61</v>
      </c>
      <c r="P441" s="80">
        <v>0.34620000000000001</v>
      </c>
      <c r="Q441" s="80">
        <v>0.69640000000000002</v>
      </c>
      <c r="R441" s="80">
        <v>0.6</v>
      </c>
      <c r="S441" s="80">
        <v>0.61</v>
      </c>
    </row>
    <row r="442" spans="1:19">
      <c r="A442" s="19">
        <f t="shared" si="48"/>
        <v>50890</v>
      </c>
      <c r="B442" s="19">
        <f t="shared" si="47"/>
        <v>51255</v>
      </c>
      <c r="C442" s="84">
        <f t="shared" si="54"/>
        <v>0.28100000000000003</v>
      </c>
      <c r="D442" s="84">
        <f t="shared" si="54"/>
        <v>0.32600000000000001</v>
      </c>
      <c r="E442" s="84">
        <f t="shared" si="54"/>
        <v>6.0999999999999999E-2</v>
      </c>
      <c r="F442" s="84">
        <f t="shared" si="54"/>
        <v>2.5999999999999999E-2</v>
      </c>
      <c r="G442" s="85">
        <v>0.28100000000000003</v>
      </c>
      <c r="H442" s="85">
        <v>0.32600000000000001</v>
      </c>
      <c r="I442" s="85">
        <v>6.0999999999999999E-2</v>
      </c>
      <c r="J442" s="85">
        <v>2.5999999999999999E-2</v>
      </c>
      <c r="K442" s="25">
        <f>((4/3)*L434)+((8/3)*L446)</f>
        <v>22592</v>
      </c>
      <c r="L442" s="93"/>
      <c r="M442" s="80">
        <f t="shared" si="52"/>
        <v>0.6</v>
      </c>
      <c r="N442" s="80">
        <v>0.26</v>
      </c>
      <c r="O442" s="80">
        <f t="shared" si="53"/>
        <v>0.61</v>
      </c>
      <c r="P442" s="80">
        <v>0.34620000000000001</v>
      </c>
      <c r="Q442" s="80">
        <v>0.69640000000000002</v>
      </c>
      <c r="R442" s="80">
        <v>0.6</v>
      </c>
      <c r="S442" s="80">
        <v>0.61</v>
      </c>
    </row>
    <row r="443" spans="1:19">
      <c r="A443" s="19">
        <f t="shared" si="48"/>
        <v>50921</v>
      </c>
      <c r="B443" s="19">
        <f t="shared" si="47"/>
        <v>51286</v>
      </c>
      <c r="C443" s="84">
        <f t="shared" si="54"/>
        <v>0.28100000000000003</v>
      </c>
      <c r="D443" s="84">
        <f t="shared" si="54"/>
        <v>0.32600000000000001</v>
      </c>
      <c r="E443" s="84">
        <f t="shared" si="54"/>
        <v>6.0999999999999999E-2</v>
      </c>
      <c r="F443" s="84">
        <f t="shared" si="54"/>
        <v>2.5999999999999999E-2</v>
      </c>
      <c r="G443" s="85">
        <v>0.28100000000000003</v>
      </c>
      <c r="H443" s="85">
        <v>0.32600000000000001</v>
      </c>
      <c r="I443" s="85">
        <v>6.0999999999999999E-2</v>
      </c>
      <c r="J443" s="85">
        <v>2.5999999999999999E-2</v>
      </c>
      <c r="K443" s="25">
        <f>((3/3)*L434)+((9/3)*L446)</f>
        <v>22684</v>
      </c>
      <c r="L443" s="93"/>
      <c r="M443" s="80">
        <f t="shared" si="52"/>
        <v>0.6</v>
      </c>
      <c r="N443" s="80">
        <v>0.26</v>
      </c>
      <c r="O443" s="80">
        <f t="shared" si="53"/>
        <v>0.61</v>
      </c>
      <c r="P443" s="80">
        <v>0.34620000000000001</v>
      </c>
      <c r="Q443" s="80">
        <v>0.69640000000000002</v>
      </c>
      <c r="R443" s="80">
        <v>0.6</v>
      </c>
      <c r="S443" s="80">
        <v>0.61</v>
      </c>
    </row>
    <row r="444" spans="1:19">
      <c r="A444" s="19">
        <f t="shared" si="48"/>
        <v>50951</v>
      </c>
      <c r="B444" s="19">
        <f t="shared" si="47"/>
        <v>51316</v>
      </c>
      <c r="C444" s="84">
        <f t="shared" si="54"/>
        <v>0.28100000000000003</v>
      </c>
      <c r="D444" s="84">
        <f t="shared" si="54"/>
        <v>0.32600000000000001</v>
      </c>
      <c r="E444" s="84">
        <f t="shared" si="54"/>
        <v>6.0999999999999999E-2</v>
      </c>
      <c r="F444" s="84">
        <f t="shared" si="54"/>
        <v>2.5999999999999999E-2</v>
      </c>
      <c r="G444" s="85">
        <v>0.28100000000000003</v>
      </c>
      <c r="H444" s="85">
        <v>0.32600000000000001</v>
      </c>
      <c r="I444" s="85">
        <v>6.0999999999999999E-2</v>
      </c>
      <c r="J444" s="85">
        <v>2.5999999999999999E-2</v>
      </c>
      <c r="K444" s="25">
        <f>((2/3)*L434)+((10/3)*L446)</f>
        <v>22775</v>
      </c>
      <c r="L444" s="93"/>
      <c r="M444" s="80">
        <f t="shared" si="52"/>
        <v>0.6</v>
      </c>
      <c r="N444" s="80">
        <v>0.26</v>
      </c>
      <c r="O444" s="80">
        <f t="shared" si="53"/>
        <v>0.61</v>
      </c>
      <c r="P444" s="80">
        <v>0.34620000000000001</v>
      </c>
      <c r="Q444" s="80">
        <v>0.69640000000000002</v>
      </c>
      <c r="R444" s="80">
        <v>0.6</v>
      </c>
      <c r="S444" s="80">
        <v>0.61</v>
      </c>
    </row>
    <row r="445" spans="1:19">
      <c r="A445" s="19">
        <f t="shared" si="48"/>
        <v>50982</v>
      </c>
      <c r="B445" s="19">
        <f t="shared" si="47"/>
        <v>51347</v>
      </c>
      <c r="C445" s="81">
        <f t="shared" si="54"/>
        <v>0.28100000000000003</v>
      </c>
      <c r="D445" s="81">
        <f t="shared" si="54"/>
        <v>0.32600000000000001</v>
      </c>
      <c r="E445" s="81">
        <f t="shared" si="54"/>
        <v>6.0999999999999999E-2</v>
      </c>
      <c r="F445" s="81">
        <f t="shared" si="54"/>
        <v>2.5999999999999999E-2</v>
      </c>
      <c r="G445" s="85">
        <v>0.28100000000000003</v>
      </c>
      <c r="H445" s="85">
        <v>0.32600000000000001</v>
      </c>
      <c r="I445" s="85">
        <v>6.0999999999999999E-2</v>
      </c>
      <c r="J445" s="85">
        <v>2.5999999999999999E-2</v>
      </c>
      <c r="K445" s="25">
        <f>((1/3)*L434)+((11/3)*L446)</f>
        <v>22866</v>
      </c>
      <c r="L445" s="93"/>
      <c r="M445" s="80">
        <f t="shared" si="52"/>
        <v>0.6</v>
      </c>
      <c r="N445" s="80">
        <v>0.26</v>
      </c>
      <c r="O445" s="80">
        <f t="shared" si="53"/>
        <v>0.61</v>
      </c>
      <c r="P445" s="80">
        <v>0.34620000000000001</v>
      </c>
      <c r="Q445" s="80">
        <v>0.69640000000000002</v>
      </c>
      <c r="R445" s="80">
        <v>0.6</v>
      </c>
      <c r="S445" s="80">
        <v>0.61</v>
      </c>
    </row>
    <row r="446" spans="1:19" s="78" customFormat="1">
      <c r="A446" s="77">
        <f t="shared" si="48"/>
        <v>51013</v>
      </c>
      <c r="B446" s="77">
        <f t="shared" si="47"/>
        <v>51378</v>
      </c>
      <c r="C446" s="86">
        <f t="shared" si="54"/>
        <v>0.28100000000000003</v>
      </c>
      <c r="D446" s="86">
        <f t="shared" si="54"/>
        <v>0.32600000000000001</v>
      </c>
      <c r="E446" s="86">
        <f t="shared" si="54"/>
        <v>6.0999999999999999E-2</v>
      </c>
      <c r="F446" s="86">
        <f t="shared" si="54"/>
        <v>2.5999999999999999E-2</v>
      </c>
      <c r="G446" s="87">
        <v>0.28100000000000003</v>
      </c>
      <c r="H446" s="87">
        <v>0.32600000000000001</v>
      </c>
      <c r="I446" s="87">
        <v>6.0999999999999999E-2</v>
      </c>
      <c r="J446" s="87">
        <v>2.5999999999999999E-2</v>
      </c>
      <c r="K446" s="76">
        <f>(L446*4)</f>
        <v>22957</v>
      </c>
      <c r="L446" s="94">
        <f>L434*1.05</f>
        <v>5739.21</v>
      </c>
      <c r="M446" s="353">
        <f t="shared" si="52"/>
        <v>0.6</v>
      </c>
      <c r="N446" s="353">
        <v>0.26</v>
      </c>
      <c r="O446" s="353">
        <f t="shared" si="53"/>
        <v>0.61</v>
      </c>
      <c r="P446" s="353">
        <v>0.34620000000000001</v>
      </c>
      <c r="Q446" s="353">
        <v>0.69640000000000002</v>
      </c>
      <c r="R446" s="353">
        <v>0.6</v>
      </c>
      <c r="S446" s="353">
        <v>0.61</v>
      </c>
    </row>
    <row r="447" spans="1:19" s="78" customFormat="1">
      <c r="A447" s="77">
        <f t="shared" si="48"/>
        <v>51043</v>
      </c>
      <c r="B447" s="77">
        <f t="shared" si="47"/>
        <v>51408</v>
      </c>
      <c r="C447" s="86">
        <f t="shared" si="54"/>
        <v>0.28100000000000003</v>
      </c>
      <c r="D447" s="86">
        <f t="shared" si="54"/>
        <v>0.32600000000000001</v>
      </c>
      <c r="E447" s="86">
        <f t="shared" si="54"/>
        <v>6.0999999999999999E-2</v>
      </c>
      <c r="F447" s="86">
        <f t="shared" si="54"/>
        <v>2.5999999999999999E-2</v>
      </c>
      <c r="G447" s="87">
        <v>0.28100000000000003</v>
      </c>
      <c r="H447" s="87">
        <v>0.32600000000000001</v>
      </c>
      <c r="I447" s="87">
        <v>6.0999999999999999E-2</v>
      </c>
      <c r="J447" s="87">
        <v>2.5999999999999999E-2</v>
      </c>
      <c r="K447" s="76">
        <f>((11/3)*L446)+((1/3)*L458)</f>
        <v>23052</v>
      </c>
      <c r="L447" s="94"/>
      <c r="M447" s="353">
        <f t="shared" si="52"/>
        <v>0.6</v>
      </c>
      <c r="N447" s="353">
        <v>0.26</v>
      </c>
      <c r="O447" s="353">
        <f t="shared" si="53"/>
        <v>0.61</v>
      </c>
      <c r="P447" s="353">
        <v>0.34620000000000001</v>
      </c>
      <c r="Q447" s="353">
        <v>0.69640000000000002</v>
      </c>
      <c r="R447" s="353">
        <v>0.6</v>
      </c>
      <c r="S447" s="353">
        <v>0.61</v>
      </c>
    </row>
    <row r="448" spans="1:19" s="78" customFormat="1">
      <c r="A448" s="77">
        <f t="shared" si="48"/>
        <v>51074</v>
      </c>
      <c r="B448" s="77">
        <f t="shared" si="47"/>
        <v>51439</v>
      </c>
      <c r="C448" s="86">
        <f t="shared" si="54"/>
        <v>0.28100000000000003</v>
      </c>
      <c r="D448" s="86">
        <f t="shared" si="54"/>
        <v>0.32600000000000001</v>
      </c>
      <c r="E448" s="86">
        <f t="shared" si="54"/>
        <v>6.0999999999999999E-2</v>
      </c>
      <c r="F448" s="86">
        <f t="shared" si="54"/>
        <v>2.5999999999999999E-2</v>
      </c>
      <c r="G448" s="87">
        <v>0.28100000000000003</v>
      </c>
      <c r="H448" s="87">
        <v>0.32600000000000001</v>
      </c>
      <c r="I448" s="87">
        <v>6.0999999999999999E-2</v>
      </c>
      <c r="J448" s="87">
        <v>2.5999999999999999E-2</v>
      </c>
      <c r="K448" s="76">
        <f>((10/3)*L446)+((2/3)*L458)</f>
        <v>23148</v>
      </c>
      <c r="L448" s="94"/>
      <c r="M448" s="353">
        <f t="shared" si="52"/>
        <v>0.6</v>
      </c>
      <c r="N448" s="353">
        <v>0.26</v>
      </c>
      <c r="O448" s="353">
        <f t="shared" si="53"/>
        <v>0.61</v>
      </c>
      <c r="P448" s="353">
        <v>0.34620000000000001</v>
      </c>
      <c r="Q448" s="353">
        <v>0.69640000000000002</v>
      </c>
      <c r="R448" s="353">
        <v>0.6</v>
      </c>
      <c r="S448" s="353">
        <v>0.61</v>
      </c>
    </row>
    <row r="449" spans="1:19" s="78" customFormat="1">
      <c r="A449" s="77">
        <f t="shared" si="48"/>
        <v>51104</v>
      </c>
      <c r="B449" s="77">
        <f t="shared" si="47"/>
        <v>51469</v>
      </c>
      <c r="C449" s="86">
        <f t="shared" si="54"/>
        <v>0.28100000000000003</v>
      </c>
      <c r="D449" s="86">
        <f t="shared" si="54"/>
        <v>0.32600000000000001</v>
      </c>
      <c r="E449" s="86">
        <f t="shared" si="54"/>
        <v>6.0999999999999999E-2</v>
      </c>
      <c r="F449" s="86">
        <f t="shared" si="54"/>
        <v>2.5999999999999999E-2</v>
      </c>
      <c r="G449" s="87">
        <v>0.28100000000000003</v>
      </c>
      <c r="H449" s="87">
        <v>0.32600000000000001</v>
      </c>
      <c r="I449" s="87">
        <v>6.0999999999999999E-2</v>
      </c>
      <c r="J449" s="87">
        <v>2.5999999999999999E-2</v>
      </c>
      <c r="K449" s="76">
        <f>((9/3)*L446)+((3/3)*L458)</f>
        <v>23244</v>
      </c>
      <c r="L449" s="94"/>
      <c r="M449" s="353">
        <f t="shared" si="52"/>
        <v>0.6</v>
      </c>
      <c r="N449" s="353">
        <v>0.26</v>
      </c>
      <c r="O449" s="353">
        <f t="shared" si="53"/>
        <v>0.61</v>
      </c>
      <c r="P449" s="353">
        <v>0.34620000000000001</v>
      </c>
      <c r="Q449" s="353">
        <v>0.69640000000000002</v>
      </c>
      <c r="R449" s="353">
        <v>0.6</v>
      </c>
      <c r="S449" s="353">
        <v>0.61</v>
      </c>
    </row>
    <row r="450" spans="1:19" s="78" customFormat="1">
      <c r="A450" s="77">
        <f t="shared" si="48"/>
        <v>51135</v>
      </c>
      <c r="B450" s="77">
        <f t="shared" ref="B450:B513" si="55">EDATE(A450,12)-1</f>
        <v>51500</v>
      </c>
      <c r="C450" s="86">
        <f t="shared" si="54"/>
        <v>0.28100000000000003</v>
      </c>
      <c r="D450" s="86">
        <f t="shared" si="54"/>
        <v>0.32600000000000001</v>
      </c>
      <c r="E450" s="86">
        <f t="shared" si="54"/>
        <v>6.0999999999999999E-2</v>
      </c>
      <c r="F450" s="86">
        <f t="shared" si="54"/>
        <v>2.5999999999999999E-2</v>
      </c>
      <c r="G450" s="87">
        <v>0.28100000000000003</v>
      </c>
      <c r="H450" s="87">
        <v>0.32600000000000001</v>
      </c>
      <c r="I450" s="87">
        <v>6.0999999999999999E-2</v>
      </c>
      <c r="J450" s="87">
        <v>2.5999999999999999E-2</v>
      </c>
      <c r="K450" s="76">
        <f>((8/3)*L446)+((4/3)*L458)</f>
        <v>23339</v>
      </c>
      <c r="L450" s="94"/>
      <c r="M450" s="353">
        <f t="shared" si="52"/>
        <v>0.6</v>
      </c>
      <c r="N450" s="353">
        <v>0.26</v>
      </c>
      <c r="O450" s="353">
        <f t="shared" si="53"/>
        <v>0.61</v>
      </c>
      <c r="P450" s="353">
        <v>0.34620000000000001</v>
      </c>
      <c r="Q450" s="353">
        <v>0.69640000000000002</v>
      </c>
      <c r="R450" s="353">
        <v>0.6</v>
      </c>
      <c r="S450" s="353">
        <v>0.61</v>
      </c>
    </row>
    <row r="451" spans="1:19" s="78" customFormat="1">
      <c r="A451" s="77">
        <f t="shared" ref="A451:A514" si="56">EDATE(A450,1)</f>
        <v>51166</v>
      </c>
      <c r="B451" s="77">
        <f t="shared" si="55"/>
        <v>51531</v>
      </c>
      <c r="C451" s="86">
        <f t="shared" ref="C451:F466" si="57">AVERAGE(G451:G462)</f>
        <v>0.28100000000000003</v>
      </c>
      <c r="D451" s="86">
        <f t="shared" si="57"/>
        <v>0.32600000000000001</v>
      </c>
      <c r="E451" s="86">
        <f t="shared" si="57"/>
        <v>6.0999999999999999E-2</v>
      </c>
      <c r="F451" s="86">
        <f t="shared" si="57"/>
        <v>2.5999999999999999E-2</v>
      </c>
      <c r="G451" s="87">
        <v>0.28100000000000003</v>
      </c>
      <c r="H451" s="87">
        <v>0.32600000000000001</v>
      </c>
      <c r="I451" s="87">
        <v>6.0999999999999999E-2</v>
      </c>
      <c r="J451" s="87">
        <v>2.5999999999999999E-2</v>
      </c>
      <c r="K451" s="76">
        <f>((7/3)*L446)+((5/3)*L458)</f>
        <v>23435</v>
      </c>
      <c r="L451" s="94"/>
      <c r="M451" s="353">
        <f t="shared" si="52"/>
        <v>0.6</v>
      </c>
      <c r="N451" s="353">
        <v>0.26</v>
      </c>
      <c r="O451" s="353">
        <f t="shared" si="53"/>
        <v>0.61</v>
      </c>
      <c r="P451" s="353">
        <v>0.34620000000000001</v>
      </c>
      <c r="Q451" s="353">
        <v>0.69640000000000002</v>
      </c>
      <c r="R451" s="353">
        <v>0.6</v>
      </c>
      <c r="S451" s="353">
        <v>0.61</v>
      </c>
    </row>
    <row r="452" spans="1:19" s="78" customFormat="1">
      <c r="A452" s="77">
        <f t="shared" si="56"/>
        <v>51195</v>
      </c>
      <c r="B452" s="77">
        <f t="shared" si="55"/>
        <v>51559</v>
      </c>
      <c r="C452" s="86">
        <f t="shared" si="57"/>
        <v>0.28100000000000003</v>
      </c>
      <c r="D452" s="86">
        <f t="shared" si="57"/>
        <v>0.32600000000000001</v>
      </c>
      <c r="E452" s="86">
        <f t="shared" si="57"/>
        <v>6.0999999999999999E-2</v>
      </c>
      <c r="F452" s="86">
        <f t="shared" si="57"/>
        <v>2.5999999999999999E-2</v>
      </c>
      <c r="G452" s="87">
        <v>0.28100000000000003</v>
      </c>
      <c r="H452" s="87">
        <v>0.32600000000000001</v>
      </c>
      <c r="I452" s="87">
        <v>6.0999999999999999E-2</v>
      </c>
      <c r="J452" s="87">
        <v>2.5999999999999999E-2</v>
      </c>
      <c r="K452" s="76">
        <f>((6/3)*L446)+((6/3)*L458)</f>
        <v>23531</v>
      </c>
      <c r="L452" s="94"/>
      <c r="M452" s="353">
        <f t="shared" si="52"/>
        <v>0.6</v>
      </c>
      <c r="N452" s="353">
        <v>0.26</v>
      </c>
      <c r="O452" s="353">
        <f t="shared" si="53"/>
        <v>0.61</v>
      </c>
      <c r="P452" s="353">
        <v>0.34620000000000001</v>
      </c>
      <c r="Q452" s="353">
        <v>0.69640000000000002</v>
      </c>
      <c r="R452" s="353">
        <v>0.6</v>
      </c>
      <c r="S452" s="353">
        <v>0.61</v>
      </c>
    </row>
    <row r="453" spans="1:19" s="78" customFormat="1">
      <c r="A453" s="77">
        <f t="shared" si="56"/>
        <v>51226</v>
      </c>
      <c r="B453" s="77">
        <f t="shared" si="55"/>
        <v>51590</v>
      </c>
      <c r="C453" s="86">
        <f t="shared" si="57"/>
        <v>0.28100000000000003</v>
      </c>
      <c r="D453" s="86">
        <f t="shared" si="57"/>
        <v>0.32600000000000001</v>
      </c>
      <c r="E453" s="86">
        <f t="shared" si="57"/>
        <v>6.0999999999999999E-2</v>
      </c>
      <c r="F453" s="86">
        <f t="shared" si="57"/>
        <v>2.5999999999999999E-2</v>
      </c>
      <c r="G453" s="87">
        <v>0.28100000000000003</v>
      </c>
      <c r="H453" s="87">
        <v>0.32600000000000001</v>
      </c>
      <c r="I453" s="87">
        <v>6.0999999999999999E-2</v>
      </c>
      <c r="J453" s="87">
        <v>2.5999999999999999E-2</v>
      </c>
      <c r="K453" s="76">
        <f>((5/3)*L446)+((7/3)*L458)</f>
        <v>23626</v>
      </c>
      <c r="L453" s="94"/>
      <c r="M453" s="353">
        <f t="shared" si="52"/>
        <v>0.6</v>
      </c>
      <c r="N453" s="353">
        <v>0.26</v>
      </c>
      <c r="O453" s="353">
        <f t="shared" si="53"/>
        <v>0.61</v>
      </c>
      <c r="P453" s="353">
        <v>0.34620000000000001</v>
      </c>
      <c r="Q453" s="353">
        <v>0.69640000000000002</v>
      </c>
      <c r="R453" s="353">
        <v>0.6</v>
      </c>
      <c r="S453" s="353">
        <v>0.61</v>
      </c>
    </row>
    <row r="454" spans="1:19" s="78" customFormat="1">
      <c r="A454" s="77">
        <f t="shared" si="56"/>
        <v>51256</v>
      </c>
      <c r="B454" s="77">
        <f t="shared" si="55"/>
        <v>51620</v>
      </c>
      <c r="C454" s="86">
        <f t="shared" si="57"/>
        <v>0.28100000000000003</v>
      </c>
      <c r="D454" s="86">
        <f t="shared" si="57"/>
        <v>0.32600000000000001</v>
      </c>
      <c r="E454" s="86">
        <f t="shared" si="57"/>
        <v>6.0999999999999999E-2</v>
      </c>
      <c r="F454" s="86">
        <f t="shared" si="57"/>
        <v>2.5999999999999999E-2</v>
      </c>
      <c r="G454" s="87">
        <v>0.28100000000000003</v>
      </c>
      <c r="H454" s="87">
        <v>0.32600000000000001</v>
      </c>
      <c r="I454" s="87">
        <v>6.0999999999999999E-2</v>
      </c>
      <c r="J454" s="87">
        <v>2.5999999999999999E-2</v>
      </c>
      <c r="K454" s="76">
        <f>((4/3)*L446)+((8/3)*L458)</f>
        <v>23722</v>
      </c>
      <c r="L454" s="94"/>
      <c r="M454" s="353">
        <f t="shared" si="52"/>
        <v>0.6</v>
      </c>
      <c r="N454" s="353">
        <v>0.26</v>
      </c>
      <c r="O454" s="353">
        <f t="shared" si="53"/>
        <v>0.61</v>
      </c>
      <c r="P454" s="353">
        <v>0.34620000000000001</v>
      </c>
      <c r="Q454" s="353">
        <v>0.69640000000000002</v>
      </c>
      <c r="R454" s="353">
        <v>0.6</v>
      </c>
      <c r="S454" s="353">
        <v>0.61</v>
      </c>
    </row>
    <row r="455" spans="1:19" s="78" customFormat="1">
      <c r="A455" s="77">
        <f t="shared" si="56"/>
        <v>51287</v>
      </c>
      <c r="B455" s="77">
        <f t="shared" si="55"/>
        <v>51651</v>
      </c>
      <c r="C455" s="86">
        <f t="shared" si="57"/>
        <v>0.28100000000000003</v>
      </c>
      <c r="D455" s="86">
        <f t="shared" si="57"/>
        <v>0.32600000000000001</v>
      </c>
      <c r="E455" s="86">
        <f t="shared" si="57"/>
        <v>6.0999999999999999E-2</v>
      </c>
      <c r="F455" s="86">
        <f t="shared" si="57"/>
        <v>2.5999999999999999E-2</v>
      </c>
      <c r="G455" s="87">
        <v>0.28100000000000003</v>
      </c>
      <c r="H455" s="87">
        <v>0.32600000000000001</v>
      </c>
      <c r="I455" s="87">
        <v>6.0999999999999999E-2</v>
      </c>
      <c r="J455" s="87">
        <v>2.5999999999999999E-2</v>
      </c>
      <c r="K455" s="76">
        <f>((3/3)*L446)+((9/3)*L458)</f>
        <v>23818</v>
      </c>
      <c r="L455" s="94"/>
      <c r="M455" s="353">
        <f t="shared" si="52"/>
        <v>0.6</v>
      </c>
      <c r="N455" s="353">
        <v>0.26</v>
      </c>
      <c r="O455" s="353">
        <f t="shared" si="53"/>
        <v>0.61</v>
      </c>
      <c r="P455" s="353">
        <v>0.34620000000000001</v>
      </c>
      <c r="Q455" s="353">
        <v>0.69640000000000002</v>
      </c>
      <c r="R455" s="353">
        <v>0.6</v>
      </c>
      <c r="S455" s="353">
        <v>0.61</v>
      </c>
    </row>
    <row r="456" spans="1:19" s="78" customFormat="1">
      <c r="A456" s="77">
        <f t="shared" si="56"/>
        <v>51317</v>
      </c>
      <c r="B456" s="77">
        <f t="shared" si="55"/>
        <v>51681</v>
      </c>
      <c r="C456" s="86">
        <f t="shared" si="57"/>
        <v>0.28100000000000003</v>
      </c>
      <c r="D456" s="86">
        <f t="shared" si="57"/>
        <v>0.32600000000000001</v>
      </c>
      <c r="E456" s="86">
        <f t="shared" si="57"/>
        <v>6.0999999999999999E-2</v>
      </c>
      <c r="F456" s="86">
        <f t="shared" si="57"/>
        <v>2.5999999999999999E-2</v>
      </c>
      <c r="G456" s="87">
        <v>0.28100000000000003</v>
      </c>
      <c r="H456" s="87">
        <v>0.32600000000000001</v>
      </c>
      <c r="I456" s="87">
        <v>6.0999999999999999E-2</v>
      </c>
      <c r="J456" s="87">
        <v>2.5999999999999999E-2</v>
      </c>
      <c r="K456" s="76">
        <f>((2/3)*L446)+((10/3)*L458)</f>
        <v>23913</v>
      </c>
      <c r="L456" s="94"/>
      <c r="M456" s="353">
        <f t="shared" si="52"/>
        <v>0.6</v>
      </c>
      <c r="N456" s="353">
        <v>0.26</v>
      </c>
      <c r="O456" s="353">
        <f t="shared" si="53"/>
        <v>0.61</v>
      </c>
      <c r="P456" s="353">
        <v>0.34620000000000001</v>
      </c>
      <c r="Q456" s="353">
        <v>0.69640000000000002</v>
      </c>
      <c r="R456" s="353">
        <v>0.6</v>
      </c>
      <c r="S456" s="353">
        <v>0.61</v>
      </c>
    </row>
    <row r="457" spans="1:19" s="78" customFormat="1">
      <c r="A457" s="77">
        <f t="shared" si="56"/>
        <v>51348</v>
      </c>
      <c r="B457" s="77">
        <f t="shared" si="55"/>
        <v>51712</v>
      </c>
      <c r="C457" s="86">
        <f t="shared" si="57"/>
        <v>0.28100000000000003</v>
      </c>
      <c r="D457" s="86">
        <f t="shared" si="57"/>
        <v>0.32600000000000001</v>
      </c>
      <c r="E457" s="86">
        <f t="shared" si="57"/>
        <v>6.0999999999999999E-2</v>
      </c>
      <c r="F457" s="86">
        <f t="shared" si="57"/>
        <v>2.5999999999999999E-2</v>
      </c>
      <c r="G457" s="87">
        <v>0.28100000000000003</v>
      </c>
      <c r="H457" s="87">
        <v>0.32600000000000001</v>
      </c>
      <c r="I457" s="87">
        <v>6.0999999999999999E-2</v>
      </c>
      <c r="J457" s="87">
        <v>2.5999999999999999E-2</v>
      </c>
      <c r="K457" s="76">
        <f>((1/3)*L446)+((11/3)*L458)</f>
        <v>24009</v>
      </c>
      <c r="L457" s="94"/>
      <c r="M457" s="353">
        <f t="shared" si="52"/>
        <v>0.6</v>
      </c>
      <c r="N457" s="353">
        <v>0.26</v>
      </c>
      <c r="O457" s="353">
        <f t="shared" si="53"/>
        <v>0.61</v>
      </c>
      <c r="P457" s="353">
        <v>0.34620000000000001</v>
      </c>
      <c r="Q457" s="353">
        <v>0.69640000000000002</v>
      </c>
      <c r="R457" s="353">
        <v>0.6</v>
      </c>
      <c r="S457" s="353">
        <v>0.61</v>
      </c>
    </row>
    <row r="458" spans="1:19">
      <c r="A458" s="19">
        <f t="shared" si="56"/>
        <v>51379</v>
      </c>
      <c r="B458" s="19">
        <f t="shared" si="55"/>
        <v>51743</v>
      </c>
      <c r="C458" s="84">
        <f t="shared" si="57"/>
        <v>0.28100000000000003</v>
      </c>
      <c r="D458" s="84">
        <f t="shared" si="57"/>
        <v>0.32600000000000001</v>
      </c>
      <c r="E458" s="84">
        <f t="shared" si="57"/>
        <v>6.0999999999999999E-2</v>
      </c>
      <c r="F458" s="84">
        <f t="shared" si="57"/>
        <v>2.5999999999999999E-2</v>
      </c>
      <c r="G458" s="85">
        <v>0.28100000000000003</v>
      </c>
      <c r="H458" s="85">
        <v>0.32600000000000001</v>
      </c>
      <c r="I458" s="85">
        <v>6.0999999999999999E-2</v>
      </c>
      <c r="J458" s="85">
        <v>2.5999999999999999E-2</v>
      </c>
      <c r="K458" s="25">
        <f>(L458*4)</f>
        <v>24105</v>
      </c>
      <c r="L458" s="93">
        <f>L446*1.05</f>
        <v>6026.17</v>
      </c>
      <c r="M458" s="80">
        <f t="shared" si="52"/>
        <v>0.6</v>
      </c>
      <c r="N458" s="80">
        <v>0.26</v>
      </c>
      <c r="O458" s="80">
        <f t="shared" si="53"/>
        <v>0.61</v>
      </c>
      <c r="P458" s="80">
        <v>0.34620000000000001</v>
      </c>
      <c r="Q458" s="80">
        <v>0.69640000000000002</v>
      </c>
      <c r="R458" s="80">
        <v>0.6</v>
      </c>
      <c r="S458" s="80">
        <v>0.61</v>
      </c>
    </row>
    <row r="459" spans="1:19">
      <c r="A459" s="19">
        <f t="shared" si="56"/>
        <v>51409</v>
      </c>
      <c r="B459" s="19">
        <f t="shared" si="55"/>
        <v>51773</v>
      </c>
      <c r="C459" s="84">
        <f t="shared" si="57"/>
        <v>0.28100000000000003</v>
      </c>
      <c r="D459" s="84">
        <f t="shared" si="57"/>
        <v>0.32600000000000001</v>
      </c>
      <c r="E459" s="84">
        <f t="shared" si="57"/>
        <v>6.0999999999999999E-2</v>
      </c>
      <c r="F459" s="84">
        <f t="shared" si="57"/>
        <v>2.5999999999999999E-2</v>
      </c>
      <c r="G459" s="85">
        <v>0.28100000000000003</v>
      </c>
      <c r="H459" s="85">
        <v>0.32600000000000001</v>
      </c>
      <c r="I459" s="85">
        <v>6.0999999999999999E-2</v>
      </c>
      <c r="J459" s="85">
        <v>2.5999999999999999E-2</v>
      </c>
      <c r="K459" s="25">
        <f>((11/3)*L458)+((1/3)*L470)</f>
        <v>24205</v>
      </c>
      <c r="L459" s="93"/>
      <c r="M459" s="80">
        <f t="shared" si="52"/>
        <v>0.6</v>
      </c>
      <c r="N459" s="80">
        <v>0.26</v>
      </c>
      <c r="O459" s="80">
        <f t="shared" si="53"/>
        <v>0.61</v>
      </c>
      <c r="P459" s="80">
        <v>0.34620000000000001</v>
      </c>
      <c r="Q459" s="80">
        <v>0.69640000000000002</v>
      </c>
      <c r="R459" s="80">
        <v>0.6</v>
      </c>
      <c r="S459" s="80">
        <v>0.61</v>
      </c>
    </row>
    <row r="460" spans="1:19">
      <c r="A460" s="19">
        <f t="shared" si="56"/>
        <v>51440</v>
      </c>
      <c r="B460" s="19">
        <f t="shared" si="55"/>
        <v>51804</v>
      </c>
      <c r="C460" s="84">
        <f t="shared" si="57"/>
        <v>0.28100000000000003</v>
      </c>
      <c r="D460" s="84">
        <f t="shared" si="57"/>
        <v>0.32600000000000001</v>
      </c>
      <c r="E460" s="84">
        <f t="shared" si="57"/>
        <v>6.0999999999999999E-2</v>
      </c>
      <c r="F460" s="84">
        <f t="shared" si="57"/>
        <v>2.5999999999999999E-2</v>
      </c>
      <c r="G460" s="85">
        <v>0.28100000000000003</v>
      </c>
      <c r="H460" s="85">
        <v>0.32600000000000001</v>
      </c>
      <c r="I460" s="85">
        <v>6.0999999999999999E-2</v>
      </c>
      <c r="J460" s="85">
        <v>2.5999999999999999E-2</v>
      </c>
      <c r="K460" s="25">
        <f>((10/3)*L458)+((2/3)*L470)</f>
        <v>24306</v>
      </c>
      <c r="L460" s="93"/>
      <c r="M460" s="80">
        <f t="shared" si="52"/>
        <v>0.6</v>
      </c>
      <c r="N460" s="80">
        <v>0.26</v>
      </c>
      <c r="O460" s="80">
        <f t="shared" si="53"/>
        <v>0.61</v>
      </c>
      <c r="P460" s="80">
        <v>0.34620000000000001</v>
      </c>
      <c r="Q460" s="80">
        <v>0.69640000000000002</v>
      </c>
      <c r="R460" s="80">
        <v>0.6</v>
      </c>
      <c r="S460" s="80">
        <v>0.61</v>
      </c>
    </row>
    <row r="461" spans="1:19">
      <c r="A461" s="19">
        <f t="shared" si="56"/>
        <v>51470</v>
      </c>
      <c r="B461" s="19">
        <f t="shared" si="55"/>
        <v>51834</v>
      </c>
      <c r="C461" s="84">
        <f t="shared" si="57"/>
        <v>0.28100000000000003</v>
      </c>
      <c r="D461" s="84">
        <f t="shared" si="57"/>
        <v>0.32600000000000001</v>
      </c>
      <c r="E461" s="84">
        <f t="shared" si="57"/>
        <v>6.0999999999999999E-2</v>
      </c>
      <c r="F461" s="84">
        <f t="shared" si="57"/>
        <v>2.5999999999999999E-2</v>
      </c>
      <c r="G461" s="85">
        <v>0.28100000000000003</v>
      </c>
      <c r="H461" s="85">
        <v>0.32600000000000001</v>
      </c>
      <c r="I461" s="85">
        <v>6.0999999999999999E-2</v>
      </c>
      <c r="J461" s="85">
        <v>2.5999999999999999E-2</v>
      </c>
      <c r="K461" s="25">
        <f>((9/3)*L458)+((3/3)*L470)</f>
        <v>24406</v>
      </c>
      <c r="L461" s="93"/>
      <c r="M461" s="80">
        <f t="shared" si="52"/>
        <v>0.6</v>
      </c>
      <c r="N461" s="80">
        <v>0.26</v>
      </c>
      <c r="O461" s="80">
        <f t="shared" si="53"/>
        <v>0.61</v>
      </c>
      <c r="P461" s="80">
        <v>0.34620000000000001</v>
      </c>
      <c r="Q461" s="80">
        <v>0.69640000000000002</v>
      </c>
      <c r="R461" s="80">
        <v>0.6</v>
      </c>
      <c r="S461" s="80">
        <v>0.61</v>
      </c>
    </row>
    <row r="462" spans="1:19">
      <c r="A462" s="19">
        <f t="shared" si="56"/>
        <v>51501</v>
      </c>
      <c r="B462" s="19">
        <f t="shared" si="55"/>
        <v>51865</v>
      </c>
      <c r="C462" s="84">
        <f t="shared" si="57"/>
        <v>0.28100000000000003</v>
      </c>
      <c r="D462" s="84">
        <f t="shared" si="57"/>
        <v>0.32600000000000001</v>
      </c>
      <c r="E462" s="84">
        <f t="shared" si="57"/>
        <v>6.0999999999999999E-2</v>
      </c>
      <c r="F462" s="84">
        <f t="shared" si="57"/>
        <v>2.5999999999999999E-2</v>
      </c>
      <c r="G462" s="85">
        <v>0.28100000000000003</v>
      </c>
      <c r="H462" s="85">
        <v>0.32600000000000001</v>
      </c>
      <c r="I462" s="85">
        <v>6.0999999999999999E-2</v>
      </c>
      <c r="J462" s="85">
        <v>2.5999999999999999E-2</v>
      </c>
      <c r="K462" s="25">
        <f>((8/3)*L458)+((4/3)*L470)</f>
        <v>24506</v>
      </c>
      <c r="L462" s="93"/>
      <c r="M462" s="80">
        <f t="shared" si="52"/>
        <v>0.6</v>
      </c>
      <c r="N462" s="80">
        <v>0.26</v>
      </c>
      <c r="O462" s="80">
        <f t="shared" si="53"/>
        <v>0.61</v>
      </c>
      <c r="P462" s="80">
        <v>0.34620000000000001</v>
      </c>
      <c r="Q462" s="80">
        <v>0.69640000000000002</v>
      </c>
      <c r="R462" s="80">
        <v>0.6</v>
      </c>
      <c r="S462" s="80">
        <v>0.61</v>
      </c>
    </row>
    <row r="463" spans="1:19">
      <c r="A463" s="19">
        <f t="shared" si="56"/>
        <v>51532</v>
      </c>
      <c r="B463" s="19">
        <f t="shared" si="55"/>
        <v>51896</v>
      </c>
      <c r="C463" s="84">
        <f t="shared" si="57"/>
        <v>0.28100000000000003</v>
      </c>
      <c r="D463" s="84">
        <f t="shared" si="57"/>
        <v>0.32600000000000001</v>
      </c>
      <c r="E463" s="84">
        <f t="shared" si="57"/>
        <v>6.0999999999999999E-2</v>
      </c>
      <c r="F463" s="84">
        <f t="shared" si="57"/>
        <v>2.5999999999999999E-2</v>
      </c>
      <c r="G463" s="85">
        <v>0.28100000000000003</v>
      </c>
      <c r="H463" s="85">
        <v>0.32600000000000001</v>
      </c>
      <c r="I463" s="85">
        <v>6.0999999999999999E-2</v>
      </c>
      <c r="J463" s="85">
        <v>2.5999999999999999E-2</v>
      </c>
      <c r="K463" s="25">
        <f>((7/3)*L458)+((5/3)*L470)</f>
        <v>24607</v>
      </c>
      <c r="L463" s="93"/>
      <c r="M463" s="80">
        <f t="shared" si="52"/>
        <v>0.6</v>
      </c>
      <c r="N463" s="80">
        <v>0.26</v>
      </c>
      <c r="O463" s="80">
        <f t="shared" si="53"/>
        <v>0.61</v>
      </c>
      <c r="P463" s="80">
        <v>0.34620000000000001</v>
      </c>
      <c r="Q463" s="80">
        <v>0.69640000000000002</v>
      </c>
      <c r="R463" s="80">
        <v>0.6</v>
      </c>
      <c r="S463" s="80">
        <v>0.61</v>
      </c>
    </row>
    <row r="464" spans="1:19">
      <c r="A464" s="19">
        <f t="shared" si="56"/>
        <v>51560</v>
      </c>
      <c r="B464" s="19">
        <f t="shared" si="55"/>
        <v>51924</v>
      </c>
      <c r="C464" s="84">
        <f t="shared" si="57"/>
        <v>0.28100000000000003</v>
      </c>
      <c r="D464" s="84">
        <f t="shared" si="57"/>
        <v>0.32600000000000001</v>
      </c>
      <c r="E464" s="84">
        <f t="shared" si="57"/>
        <v>6.0999999999999999E-2</v>
      </c>
      <c r="F464" s="84">
        <f t="shared" si="57"/>
        <v>2.5999999999999999E-2</v>
      </c>
      <c r="G464" s="85">
        <v>0.28100000000000003</v>
      </c>
      <c r="H464" s="85">
        <v>0.32600000000000001</v>
      </c>
      <c r="I464" s="85">
        <v>6.0999999999999999E-2</v>
      </c>
      <c r="J464" s="85">
        <v>2.5999999999999999E-2</v>
      </c>
      <c r="K464" s="25">
        <f>((6/3)*L458)+((6/3)*L470)</f>
        <v>24707</v>
      </c>
      <c r="L464" s="93"/>
      <c r="M464" s="80">
        <f t="shared" si="52"/>
        <v>0.6</v>
      </c>
      <c r="N464" s="80">
        <v>0.26</v>
      </c>
      <c r="O464" s="80">
        <f t="shared" si="53"/>
        <v>0.61</v>
      </c>
      <c r="P464" s="80">
        <v>0.34620000000000001</v>
      </c>
      <c r="Q464" s="80">
        <v>0.69640000000000002</v>
      </c>
      <c r="R464" s="80">
        <v>0.6</v>
      </c>
      <c r="S464" s="80">
        <v>0.61</v>
      </c>
    </row>
    <row r="465" spans="1:19">
      <c r="A465" s="19">
        <f t="shared" si="56"/>
        <v>51591</v>
      </c>
      <c r="B465" s="19">
        <f t="shared" si="55"/>
        <v>51955</v>
      </c>
      <c r="C465" s="84">
        <f t="shared" si="57"/>
        <v>0.28100000000000003</v>
      </c>
      <c r="D465" s="84">
        <f t="shared" si="57"/>
        <v>0.32600000000000001</v>
      </c>
      <c r="E465" s="84">
        <f t="shared" si="57"/>
        <v>6.0999999999999999E-2</v>
      </c>
      <c r="F465" s="84">
        <f t="shared" si="57"/>
        <v>2.5999999999999999E-2</v>
      </c>
      <c r="G465" s="85">
        <v>0.28100000000000003</v>
      </c>
      <c r="H465" s="85">
        <v>0.32600000000000001</v>
      </c>
      <c r="I465" s="85">
        <v>6.0999999999999999E-2</v>
      </c>
      <c r="J465" s="85">
        <v>2.5999999999999999E-2</v>
      </c>
      <c r="K465" s="25">
        <f>((5/3)*L458)+((7/3)*L470)</f>
        <v>24808</v>
      </c>
      <c r="L465" s="93"/>
      <c r="M465" s="80">
        <f t="shared" si="52"/>
        <v>0.6</v>
      </c>
      <c r="N465" s="80">
        <v>0.26</v>
      </c>
      <c r="O465" s="80">
        <f t="shared" si="53"/>
        <v>0.61</v>
      </c>
      <c r="P465" s="80">
        <v>0.34620000000000001</v>
      </c>
      <c r="Q465" s="80">
        <v>0.69640000000000002</v>
      </c>
      <c r="R465" s="80">
        <v>0.6</v>
      </c>
      <c r="S465" s="80">
        <v>0.61</v>
      </c>
    </row>
    <row r="466" spans="1:19">
      <c r="A466" s="19">
        <f t="shared" si="56"/>
        <v>51621</v>
      </c>
      <c r="B466" s="19">
        <f t="shared" si="55"/>
        <v>51985</v>
      </c>
      <c r="C466" s="84">
        <f t="shared" si="57"/>
        <v>0.28100000000000003</v>
      </c>
      <c r="D466" s="84">
        <f t="shared" si="57"/>
        <v>0.32600000000000001</v>
      </c>
      <c r="E466" s="84">
        <f t="shared" si="57"/>
        <v>6.0999999999999999E-2</v>
      </c>
      <c r="F466" s="84">
        <f t="shared" si="57"/>
        <v>2.5999999999999999E-2</v>
      </c>
      <c r="G466" s="85">
        <v>0.28100000000000003</v>
      </c>
      <c r="H466" s="85">
        <v>0.32600000000000001</v>
      </c>
      <c r="I466" s="85">
        <v>6.0999999999999999E-2</v>
      </c>
      <c r="J466" s="85">
        <v>2.5999999999999999E-2</v>
      </c>
      <c r="K466" s="25">
        <f>((4/3)*L458)+((8/3)*L470)</f>
        <v>24908</v>
      </c>
      <c r="L466" s="93"/>
      <c r="M466" s="80">
        <f t="shared" si="52"/>
        <v>0.6</v>
      </c>
      <c r="N466" s="80">
        <v>0.26</v>
      </c>
      <c r="O466" s="80">
        <f t="shared" si="53"/>
        <v>0.61</v>
      </c>
      <c r="P466" s="80">
        <v>0.34620000000000001</v>
      </c>
      <c r="Q466" s="80">
        <v>0.69640000000000002</v>
      </c>
      <c r="R466" s="80">
        <v>0.6</v>
      </c>
      <c r="S466" s="80">
        <v>0.61</v>
      </c>
    </row>
    <row r="467" spans="1:19">
      <c r="A467" s="19">
        <f t="shared" si="56"/>
        <v>51652</v>
      </c>
      <c r="B467" s="19">
        <f t="shared" si="55"/>
        <v>52016</v>
      </c>
      <c r="C467" s="84">
        <f t="shared" ref="C467:F482" si="58">AVERAGE(G467:G478)</f>
        <v>0.28100000000000003</v>
      </c>
      <c r="D467" s="84">
        <f t="shared" si="58"/>
        <v>0.32600000000000001</v>
      </c>
      <c r="E467" s="84">
        <f t="shared" si="58"/>
        <v>6.0999999999999999E-2</v>
      </c>
      <c r="F467" s="84">
        <f t="shared" si="58"/>
        <v>2.5999999999999999E-2</v>
      </c>
      <c r="G467" s="85">
        <v>0.28100000000000003</v>
      </c>
      <c r="H467" s="85">
        <v>0.32600000000000001</v>
      </c>
      <c r="I467" s="85">
        <v>6.0999999999999999E-2</v>
      </c>
      <c r="J467" s="85">
        <v>2.5999999999999999E-2</v>
      </c>
      <c r="K467" s="25">
        <f>((3/3)*L458)+((9/3)*L470)</f>
        <v>25009</v>
      </c>
      <c r="L467" s="93"/>
      <c r="M467" s="80">
        <f t="shared" si="52"/>
        <v>0.6</v>
      </c>
      <c r="N467" s="80">
        <v>0.26</v>
      </c>
      <c r="O467" s="80">
        <f t="shared" si="53"/>
        <v>0.61</v>
      </c>
      <c r="P467" s="80">
        <v>0.34620000000000001</v>
      </c>
      <c r="Q467" s="80">
        <v>0.69640000000000002</v>
      </c>
      <c r="R467" s="80">
        <v>0.6</v>
      </c>
      <c r="S467" s="80">
        <v>0.61</v>
      </c>
    </row>
    <row r="468" spans="1:19">
      <c r="A468" s="19">
        <f t="shared" si="56"/>
        <v>51682</v>
      </c>
      <c r="B468" s="19">
        <f t="shared" si="55"/>
        <v>52046</v>
      </c>
      <c r="C468" s="84">
        <f t="shared" si="58"/>
        <v>0.28100000000000003</v>
      </c>
      <c r="D468" s="84">
        <f t="shared" si="58"/>
        <v>0.32600000000000001</v>
      </c>
      <c r="E468" s="84">
        <f t="shared" si="58"/>
        <v>6.0999999999999999E-2</v>
      </c>
      <c r="F468" s="84">
        <f t="shared" si="58"/>
        <v>2.5999999999999999E-2</v>
      </c>
      <c r="G468" s="85">
        <v>0.28100000000000003</v>
      </c>
      <c r="H468" s="85">
        <v>0.32600000000000001</v>
      </c>
      <c r="I468" s="85">
        <v>6.0999999999999999E-2</v>
      </c>
      <c r="J468" s="85">
        <v>2.5999999999999999E-2</v>
      </c>
      <c r="K468" s="25">
        <f>((2/3)*L458)+((10/3)*L470)</f>
        <v>25109</v>
      </c>
      <c r="L468" s="93"/>
      <c r="M468" s="80">
        <f t="shared" si="52"/>
        <v>0.6</v>
      </c>
      <c r="N468" s="80">
        <v>0.26</v>
      </c>
      <c r="O468" s="80">
        <f t="shared" si="53"/>
        <v>0.61</v>
      </c>
      <c r="P468" s="80">
        <v>0.34620000000000001</v>
      </c>
      <c r="Q468" s="80">
        <v>0.69640000000000002</v>
      </c>
      <c r="R468" s="80">
        <v>0.6</v>
      </c>
      <c r="S468" s="80">
        <v>0.61</v>
      </c>
    </row>
    <row r="469" spans="1:19">
      <c r="A469" s="19">
        <f t="shared" si="56"/>
        <v>51713</v>
      </c>
      <c r="B469" s="19">
        <f t="shared" si="55"/>
        <v>52077</v>
      </c>
      <c r="C469" s="81">
        <f t="shared" si="58"/>
        <v>0.28100000000000003</v>
      </c>
      <c r="D469" s="81">
        <f t="shared" si="58"/>
        <v>0.32600000000000001</v>
      </c>
      <c r="E469" s="81">
        <f t="shared" si="58"/>
        <v>6.0999999999999999E-2</v>
      </c>
      <c r="F469" s="81">
        <f t="shared" si="58"/>
        <v>2.5999999999999999E-2</v>
      </c>
      <c r="G469" s="85">
        <v>0.28100000000000003</v>
      </c>
      <c r="H469" s="85">
        <v>0.32600000000000001</v>
      </c>
      <c r="I469" s="85">
        <v>6.0999999999999999E-2</v>
      </c>
      <c r="J469" s="85">
        <v>2.5999999999999999E-2</v>
      </c>
      <c r="K469" s="25">
        <f>((1/3)*L458)+((11/3)*L470)</f>
        <v>25209</v>
      </c>
      <c r="L469" s="93"/>
      <c r="M469" s="80">
        <f t="shared" si="52"/>
        <v>0.6</v>
      </c>
      <c r="N469" s="80">
        <v>0.26</v>
      </c>
      <c r="O469" s="80">
        <f t="shared" si="53"/>
        <v>0.61</v>
      </c>
      <c r="P469" s="80">
        <v>0.34620000000000001</v>
      </c>
      <c r="Q469" s="80">
        <v>0.69640000000000002</v>
      </c>
      <c r="R469" s="80">
        <v>0.6</v>
      </c>
      <c r="S469" s="80">
        <v>0.61</v>
      </c>
    </row>
    <row r="470" spans="1:19" s="78" customFormat="1">
      <c r="A470" s="77">
        <f t="shared" si="56"/>
        <v>51744</v>
      </c>
      <c r="B470" s="77">
        <f t="shared" si="55"/>
        <v>52108</v>
      </c>
      <c r="C470" s="86">
        <f t="shared" si="58"/>
        <v>0.28100000000000003</v>
      </c>
      <c r="D470" s="86">
        <f t="shared" si="58"/>
        <v>0.32600000000000001</v>
      </c>
      <c r="E470" s="86">
        <f t="shared" si="58"/>
        <v>6.0999999999999999E-2</v>
      </c>
      <c r="F470" s="86">
        <f t="shared" si="58"/>
        <v>2.5999999999999999E-2</v>
      </c>
      <c r="G470" s="87">
        <v>0.28100000000000003</v>
      </c>
      <c r="H470" s="87">
        <v>0.32600000000000001</v>
      </c>
      <c r="I470" s="87">
        <v>6.0999999999999999E-2</v>
      </c>
      <c r="J470" s="87">
        <v>2.5999999999999999E-2</v>
      </c>
      <c r="K470" s="76">
        <f>(L470*4)</f>
        <v>25310</v>
      </c>
      <c r="L470" s="94">
        <f>L458*1.05</f>
        <v>6327.48</v>
      </c>
      <c r="M470" s="353">
        <f t="shared" si="52"/>
        <v>0.6</v>
      </c>
      <c r="N470" s="353">
        <v>0.26</v>
      </c>
      <c r="O470" s="353">
        <f t="shared" si="53"/>
        <v>0.61</v>
      </c>
      <c r="P470" s="353">
        <v>0.34620000000000001</v>
      </c>
      <c r="Q470" s="353">
        <v>0.69640000000000002</v>
      </c>
      <c r="R470" s="353">
        <v>0.6</v>
      </c>
      <c r="S470" s="353">
        <v>0.61</v>
      </c>
    </row>
    <row r="471" spans="1:19" s="78" customFormat="1">
      <c r="A471" s="77">
        <f t="shared" si="56"/>
        <v>51774</v>
      </c>
      <c r="B471" s="77">
        <f t="shared" si="55"/>
        <v>52138</v>
      </c>
      <c r="C471" s="86">
        <f t="shared" si="58"/>
        <v>0.28100000000000003</v>
      </c>
      <c r="D471" s="86">
        <f t="shared" si="58"/>
        <v>0.32600000000000001</v>
      </c>
      <c r="E471" s="86">
        <f t="shared" si="58"/>
        <v>6.0999999999999999E-2</v>
      </c>
      <c r="F471" s="86">
        <f t="shared" si="58"/>
        <v>2.5999999999999999E-2</v>
      </c>
      <c r="G471" s="87">
        <v>0.28100000000000003</v>
      </c>
      <c r="H471" s="87">
        <v>0.32600000000000001</v>
      </c>
      <c r="I471" s="87">
        <v>6.0999999999999999E-2</v>
      </c>
      <c r="J471" s="87">
        <v>2.5999999999999999E-2</v>
      </c>
      <c r="K471" s="76">
        <f>((11/3)*L470)+((1/3)*L482)</f>
        <v>25415</v>
      </c>
      <c r="L471" s="94"/>
      <c r="M471" s="353">
        <f t="shared" si="52"/>
        <v>0.6</v>
      </c>
      <c r="N471" s="353">
        <v>0.26</v>
      </c>
      <c r="O471" s="353">
        <f t="shared" si="53"/>
        <v>0.61</v>
      </c>
      <c r="P471" s="353">
        <v>0.34620000000000001</v>
      </c>
      <c r="Q471" s="353">
        <v>0.69640000000000002</v>
      </c>
      <c r="R471" s="353">
        <v>0.6</v>
      </c>
      <c r="S471" s="353">
        <v>0.61</v>
      </c>
    </row>
    <row r="472" spans="1:19" s="78" customFormat="1">
      <c r="A472" s="77">
        <f t="shared" si="56"/>
        <v>51805</v>
      </c>
      <c r="B472" s="77">
        <f t="shared" si="55"/>
        <v>52169</v>
      </c>
      <c r="C472" s="86">
        <f t="shared" si="58"/>
        <v>0.28100000000000003</v>
      </c>
      <c r="D472" s="86">
        <f t="shared" si="58"/>
        <v>0.32600000000000001</v>
      </c>
      <c r="E472" s="86">
        <f t="shared" si="58"/>
        <v>6.0999999999999999E-2</v>
      </c>
      <c r="F472" s="86">
        <f t="shared" si="58"/>
        <v>2.5999999999999999E-2</v>
      </c>
      <c r="G472" s="87">
        <v>0.28100000000000003</v>
      </c>
      <c r="H472" s="87">
        <v>0.32600000000000001</v>
      </c>
      <c r="I472" s="87">
        <v>6.0999999999999999E-2</v>
      </c>
      <c r="J472" s="87">
        <v>2.5999999999999999E-2</v>
      </c>
      <c r="K472" s="76">
        <f>((10/3)*L470)+((2/3)*L482)</f>
        <v>25521</v>
      </c>
      <c r="L472" s="94"/>
      <c r="M472" s="353">
        <f t="shared" si="52"/>
        <v>0.6</v>
      </c>
      <c r="N472" s="353">
        <v>0.26</v>
      </c>
      <c r="O472" s="353">
        <f t="shared" si="53"/>
        <v>0.61</v>
      </c>
      <c r="P472" s="353">
        <v>0.34620000000000001</v>
      </c>
      <c r="Q472" s="353">
        <v>0.69640000000000002</v>
      </c>
      <c r="R472" s="353">
        <v>0.6</v>
      </c>
      <c r="S472" s="353">
        <v>0.61</v>
      </c>
    </row>
    <row r="473" spans="1:19" s="78" customFormat="1">
      <c r="A473" s="77">
        <f t="shared" si="56"/>
        <v>51835</v>
      </c>
      <c r="B473" s="77">
        <f t="shared" si="55"/>
        <v>52199</v>
      </c>
      <c r="C473" s="86">
        <f t="shared" si="58"/>
        <v>0.28100000000000003</v>
      </c>
      <c r="D473" s="86">
        <f t="shared" si="58"/>
        <v>0.32600000000000001</v>
      </c>
      <c r="E473" s="86">
        <f t="shared" si="58"/>
        <v>6.0999999999999999E-2</v>
      </c>
      <c r="F473" s="86">
        <f t="shared" si="58"/>
        <v>2.5999999999999999E-2</v>
      </c>
      <c r="G473" s="87">
        <v>0.28100000000000003</v>
      </c>
      <c r="H473" s="87">
        <v>0.32600000000000001</v>
      </c>
      <c r="I473" s="87">
        <v>6.0999999999999999E-2</v>
      </c>
      <c r="J473" s="87">
        <v>2.5999999999999999E-2</v>
      </c>
      <c r="K473" s="76">
        <f>((9/3)*L470)+((3/3)*L482)</f>
        <v>25626</v>
      </c>
      <c r="L473" s="94"/>
      <c r="M473" s="353">
        <f t="shared" si="52"/>
        <v>0.6</v>
      </c>
      <c r="N473" s="353">
        <v>0.26</v>
      </c>
      <c r="O473" s="353">
        <f t="shared" si="53"/>
        <v>0.61</v>
      </c>
      <c r="P473" s="353">
        <v>0.34620000000000001</v>
      </c>
      <c r="Q473" s="353">
        <v>0.69640000000000002</v>
      </c>
      <c r="R473" s="353">
        <v>0.6</v>
      </c>
      <c r="S473" s="353">
        <v>0.61</v>
      </c>
    </row>
    <row r="474" spans="1:19" s="78" customFormat="1">
      <c r="A474" s="77">
        <f t="shared" si="56"/>
        <v>51866</v>
      </c>
      <c r="B474" s="77">
        <f t="shared" si="55"/>
        <v>52230</v>
      </c>
      <c r="C474" s="86">
        <f t="shared" si="58"/>
        <v>0.28100000000000003</v>
      </c>
      <c r="D474" s="86">
        <f t="shared" si="58"/>
        <v>0.32600000000000001</v>
      </c>
      <c r="E474" s="86">
        <f t="shared" si="58"/>
        <v>6.0999999999999999E-2</v>
      </c>
      <c r="F474" s="86">
        <f t="shared" si="58"/>
        <v>2.5999999999999999E-2</v>
      </c>
      <c r="G474" s="87">
        <v>0.28100000000000003</v>
      </c>
      <c r="H474" s="87">
        <v>0.32600000000000001</v>
      </c>
      <c r="I474" s="87">
        <v>6.0999999999999999E-2</v>
      </c>
      <c r="J474" s="87">
        <v>2.5999999999999999E-2</v>
      </c>
      <c r="K474" s="76">
        <f>((8/3)*L470)+((4/3)*L482)</f>
        <v>25732</v>
      </c>
      <c r="L474" s="94"/>
      <c r="M474" s="353">
        <f t="shared" si="52"/>
        <v>0.6</v>
      </c>
      <c r="N474" s="353">
        <v>0.26</v>
      </c>
      <c r="O474" s="353">
        <f t="shared" si="53"/>
        <v>0.61</v>
      </c>
      <c r="P474" s="353">
        <v>0.34620000000000001</v>
      </c>
      <c r="Q474" s="353">
        <v>0.69640000000000002</v>
      </c>
      <c r="R474" s="353">
        <v>0.6</v>
      </c>
      <c r="S474" s="353">
        <v>0.61</v>
      </c>
    </row>
    <row r="475" spans="1:19" s="78" customFormat="1">
      <c r="A475" s="77">
        <f t="shared" si="56"/>
        <v>51897</v>
      </c>
      <c r="B475" s="77">
        <f t="shared" si="55"/>
        <v>52261</v>
      </c>
      <c r="C475" s="86">
        <f t="shared" si="58"/>
        <v>0.28100000000000003</v>
      </c>
      <c r="D475" s="86">
        <f t="shared" si="58"/>
        <v>0.32600000000000001</v>
      </c>
      <c r="E475" s="86">
        <f t="shared" si="58"/>
        <v>6.0999999999999999E-2</v>
      </c>
      <c r="F475" s="86">
        <f t="shared" si="58"/>
        <v>2.5999999999999999E-2</v>
      </c>
      <c r="G475" s="87">
        <v>0.28100000000000003</v>
      </c>
      <c r="H475" s="87">
        <v>0.32600000000000001</v>
      </c>
      <c r="I475" s="87">
        <v>6.0999999999999999E-2</v>
      </c>
      <c r="J475" s="87">
        <v>2.5999999999999999E-2</v>
      </c>
      <c r="K475" s="76">
        <f>((7/3)*L470)+((5/3)*L482)</f>
        <v>25837</v>
      </c>
      <c r="L475" s="94"/>
      <c r="M475" s="353">
        <f t="shared" si="52"/>
        <v>0.6</v>
      </c>
      <c r="N475" s="353">
        <v>0.26</v>
      </c>
      <c r="O475" s="353">
        <f t="shared" si="53"/>
        <v>0.61</v>
      </c>
      <c r="P475" s="353">
        <v>0.34620000000000001</v>
      </c>
      <c r="Q475" s="353">
        <v>0.69640000000000002</v>
      </c>
      <c r="R475" s="353">
        <v>0.6</v>
      </c>
      <c r="S475" s="353">
        <v>0.61</v>
      </c>
    </row>
    <row r="476" spans="1:19" s="78" customFormat="1">
      <c r="A476" s="77">
        <f t="shared" si="56"/>
        <v>51925</v>
      </c>
      <c r="B476" s="77">
        <f t="shared" si="55"/>
        <v>52289</v>
      </c>
      <c r="C476" s="86">
        <f t="shared" si="58"/>
        <v>0.28100000000000003</v>
      </c>
      <c r="D476" s="86">
        <f t="shared" si="58"/>
        <v>0.32600000000000001</v>
      </c>
      <c r="E476" s="86">
        <f t="shared" si="58"/>
        <v>6.0999999999999999E-2</v>
      </c>
      <c r="F476" s="86">
        <f t="shared" si="58"/>
        <v>2.5999999999999999E-2</v>
      </c>
      <c r="G476" s="87">
        <v>0.28100000000000003</v>
      </c>
      <c r="H476" s="87">
        <v>0.32600000000000001</v>
      </c>
      <c r="I476" s="87">
        <v>6.0999999999999999E-2</v>
      </c>
      <c r="J476" s="87">
        <v>2.5999999999999999E-2</v>
      </c>
      <c r="K476" s="76">
        <f>((6/3)*L470)+((6/3)*L482)</f>
        <v>25943</v>
      </c>
      <c r="L476" s="94"/>
      <c r="M476" s="353">
        <f t="shared" si="52"/>
        <v>0.6</v>
      </c>
      <c r="N476" s="353">
        <v>0.26</v>
      </c>
      <c r="O476" s="353">
        <f t="shared" si="53"/>
        <v>0.61</v>
      </c>
      <c r="P476" s="353">
        <v>0.34620000000000001</v>
      </c>
      <c r="Q476" s="353">
        <v>0.69640000000000002</v>
      </c>
      <c r="R476" s="353">
        <v>0.6</v>
      </c>
      <c r="S476" s="353">
        <v>0.61</v>
      </c>
    </row>
    <row r="477" spans="1:19" s="78" customFormat="1">
      <c r="A477" s="77">
        <f t="shared" si="56"/>
        <v>51956</v>
      </c>
      <c r="B477" s="77">
        <f t="shared" si="55"/>
        <v>52320</v>
      </c>
      <c r="C477" s="86">
        <f t="shared" si="58"/>
        <v>0.28100000000000003</v>
      </c>
      <c r="D477" s="86">
        <f t="shared" si="58"/>
        <v>0.32600000000000001</v>
      </c>
      <c r="E477" s="86">
        <f t="shared" si="58"/>
        <v>6.0999999999999999E-2</v>
      </c>
      <c r="F477" s="86">
        <f t="shared" si="58"/>
        <v>2.5999999999999999E-2</v>
      </c>
      <c r="G477" s="87">
        <v>0.28100000000000003</v>
      </c>
      <c r="H477" s="87">
        <v>0.32600000000000001</v>
      </c>
      <c r="I477" s="87">
        <v>6.0999999999999999E-2</v>
      </c>
      <c r="J477" s="87">
        <v>2.5999999999999999E-2</v>
      </c>
      <c r="K477" s="76">
        <f>((5/3)*L470)+((7/3)*L482)</f>
        <v>26048</v>
      </c>
      <c r="L477" s="94"/>
      <c r="M477" s="353">
        <f t="shared" si="52"/>
        <v>0.6</v>
      </c>
      <c r="N477" s="353">
        <v>0.26</v>
      </c>
      <c r="O477" s="353">
        <f t="shared" si="53"/>
        <v>0.61</v>
      </c>
      <c r="P477" s="353">
        <v>0.34620000000000001</v>
      </c>
      <c r="Q477" s="353">
        <v>0.69640000000000002</v>
      </c>
      <c r="R477" s="353">
        <v>0.6</v>
      </c>
      <c r="S477" s="353">
        <v>0.61</v>
      </c>
    </row>
    <row r="478" spans="1:19" s="78" customFormat="1">
      <c r="A478" s="77">
        <f t="shared" si="56"/>
        <v>51986</v>
      </c>
      <c r="B478" s="77">
        <f t="shared" si="55"/>
        <v>52350</v>
      </c>
      <c r="C478" s="86">
        <f t="shared" si="58"/>
        <v>0.28100000000000003</v>
      </c>
      <c r="D478" s="86">
        <f t="shared" si="58"/>
        <v>0.32600000000000001</v>
      </c>
      <c r="E478" s="86">
        <f t="shared" si="58"/>
        <v>6.0999999999999999E-2</v>
      </c>
      <c r="F478" s="86">
        <f t="shared" si="58"/>
        <v>2.5999999999999999E-2</v>
      </c>
      <c r="G478" s="87">
        <v>0.28100000000000003</v>
      </c>
      <c r="H478" s="87">
        <v>0.32600000000000001</v>
      </c>
      <c r="I478" s="87">
        <v>6.0999999999999999E-2</v>
      </c>
      <c r="J478" s="87">
        <v>2.5999999999999999E-2</v>
      </c>
      <c r="K478" s="76">
        <f>((4/3)*L470)+((8/3)*L482)</f>
        <v>26154</v>
      </c>
      <c r="L478" s="94"/>
      <c r="M478" s="353">
        <f t="shared" si="52"/>
        <v>0.6</v>
      </c>
      <c r="N478" s="353">
        <v>0.26</v>
      </c>
      <c r="O478" s="353">
        <f t="shared" si="53"/>
        <v>0.61</v>
      </c>
      <c r="P478" s="353">
        <v>0.34620000000000001</v>
      </c>
      <c r="Q478" s="353">
        <v>0.69640000000000002</v>
      </c>
      <c r="R478" s="353">
        <v>0.6</v>
      </c>
      <c r="S478" s="353">
        <v>0.61</v>
      </c>
    </row>
    <row r="479" spans="1:19" s="78" customFormat="1">
      <c r="A479" s="77">
        <f t="shared" si="56"/>
        <v>52017</v>
      </c>
      <c r="B479" s="77">
        <f t="shared" si="55"/>
        <v>52381</v>
      </c>
      <c r="C479" s="86">
        <f t="shared" si="58"/>
        <v>0.28100000000000003</v>
      </c>
      <c r="D479" s="86">
        <f t="shared" si="58"/>
        <v>0.32600000000000001</v>
      </c>
      <c r="E479" s="86">
        <f t="shared" si="58"/>
        <v>6.0999999999999999E-2</v>
      </c>
      <c r="F479" s="86">
        <f t="shared" si="58"/>
        <v>2.5999999999999999E-2</v>
      </c>
      <c r="G479" s="87">
        <v>0.28100000000000003</v>
      </c>
      <c r="H479" s="87">
        <v>0.32600000000000001</v>
      </c>
      <c r="I479" s="87">
        <v>6.0999999999999999E-2</v>
      </c>
      <c r="J479" s="87">
        <v>2.5999999999999999E-2</v>
      </c>
      <c r="K479" s="76">
        <f>((3/3)*L470)+((9/3)*L482)</f>
        <v>26259</v>
      </c>
      <c r="L479" s="94"/>
      <c r="M479" s="353">
        <f t="shared" si="52"/>
        <v>0.6</v>
      </c>
      <c r="N479" s="353">
        <v>0.26</v>
      </c>
      <c r="O479" s="353">
        <f t="shared" si="53"/>
        <v>0.61</v>
      </c>
      <c r="P479" s="353">
        <v>0.34620000000000001</v>
      </c>
      <c r="Q479" s="353">
        <v>0.69640000000000002</v>
      </c>
      <c r="R479" s="353">
        <v>0.6</v>
      </c>
      <c r="S479" s="353">
        <v>0.61</v>
      </c>
    </row>
    <row r="480" spans="1:19" s="78" customFormat="1">
      <c r="A480" s="77">
        <f t="shared" si="56"/>
        <v>52047</v>
      </c>
      <c r="B480" s="77">
        <f t="shared" si="55"/>
        <v>52411</v>
      </c>
      <c r="C480" s="86">
        <f t="shared" si="58"/>
        <v>0.28100000000000003</v>
      </c>
      <c r="D480" s="86">
        <f t="shared" si="58"/>
        <v>0.32600000000000001</v>
      </c>
      <c r="E480" s="86">
        <f t="shared" si="58"/>
        <v>6.0999999999999999E-2</v>
      </c>
      <c r="F480" s="86">
        <f t="shared" si="58"/>
        <v>2.5999999999999999E-2</v>
      </c>
      <c r="G480" s="87">
        <v>0.28100000000000003</v>
      </c>
      <c r="H480" s="87">
        <v>0.32600000000000001</v>
      </c>
      <c r="I480" s="87">
        <v>6.0999999999999999E-2</v>
      </c>
      <c r="J480" s="87">
        <v>2.5999999999999999E-2</v>
      </c>
      <c r="K480" s="76">
        <f>((2/3)*L470)+((10/3)*L482)</f>
        <v>26364</v>
      </c>
      <c r="L480" s="94"/>
      <c r="M480" s="353">
        <f t="shared" si="52"/>
        <v>0.6</v>
      </c>
      <c r="N480" s="353">
        <v>0.26</v>
      </c>
      <c r="O480" s="353">
        <f t="shared" si="53"/>
        <v>0.61</v>
      </c>
      <c r="P480" s="353">
        <v>0.34620000000000001</v>
      </c>
      <c r="Q480" s="353">
        <v>0.69640000000000002</v>
      </c>
      <c r="R480" s="353">
        <v>0.6</v>
      </c>
      <c r="S480" s="353">
        <v>0.61</v>
      </c>
    </row>
    <row r="481" spans="1:19" s="78" customFormat="1">
      <c r="A481" s="77">
        <f t="shared" si="56"/>
        <v>52078</v>
      </c>
      <c r="B481" s="77">
        <f t="shared" si="55"/>
        <v>52442</v>
      </c>
      <c r="C481" s="86">
        <f t="shared" si="58"/>
        <v>0.28100000000000003</v>
      </c>
      <c r="D481" s="86">
        <f t="shared" si="58"/>
        <v>0.32600000000000001</v>
      </c>
      <c r="E481" s="86">
        <f t="shared" si="58"/>
        <v>6.0999999999999999E-2</v>
      </c>
      <c r="F481" s="86">
        <f t="shared" si="58"/>
        <v>2.5999999999999999E-2</v>
      </c>
      <c r="G481" s="87">
        <v>0.28100000000000003</v>
      </c>
      <c r="H481" s="87">
        <v>0.32600000000000001</v>
      </c>
      <c r="I481" s="87">
        <v>6.0999999999999999E-2</v>
      </c>
      <c r="J481" s="87">
        <v>2.5999999999999999E-2</v>
      </c>
      <c r="K481" s="76">
        <f>((1/3)*L470)+((11/3)*L482)</f>
        <v>26470</v>
      </c>
      <c r="L481" s="94"/>
      <c r="M481" s="353">
        <f t="shared" si="52"/>
        <v>0.6</v>
      </c>
      <c r="N481" s="353">
        <v>0.26</v>
      </c>
      <c r="O481" s="353">
        <f t="shared" si="53"/>
        <v>0.61</v>
      </c>
      <c r="P481" s="353">
        <v>0.34620000000000001</v>
      </c>
      <c r="Q481" s="353">
        <v>0.69640000000000002</v>
      </c>
      <c r="R481" s="353">
        <v>0.6</v>
      </c>
      <c r="S481" s="353">
        <v>0.61</v>
      </c>
    </row>
    <row r="482" spans="1:19">
      <c r="A482" s="19">
        <f t="shared" si="56"/>
        <v>52109</v>
      </c>
      <c r="B482" s="19">
        <f t="shared" si="55"/>
        <v>52473</v>
      </c>
      <c r="C482" s="84">
        <f t="shared" si="58"/>
        <v>0.28100000000000003</v>
      </c>
      <c r="D482" s="84">
        <f t="shared" si="58"/>
        <v>0.32600000000000001</v>
      </c>
      <c r="E482" s="84">
        <f t="shared" si="58"/>
        <v>6.0999999999999999E-2</v>
      </c>
      <c r="F482" s="84">
        <f t="shared" si="58"/>
        <v>2.5999999999999999E-2</v>
      </c>
      <c r="G482" s="85">
        <v>0.28100000000000003</v>
      </c>
      <c r="H482" s="85">
        <v>0.32600000000000001</v>
      </c>
      <c r="I482" s="85">
        <v>6.0999999999999999E-2</v>
      </c>
      <c r="J482" s="85">
        <v>2.5999999999999999E-2</v>
      </c>
      <c r="K482" s="25">
        <f>(L482*4)</f>
        <v>26575</v>
      </c>
      <c r="L482" s="93">
        <f>L470*1.05</f>
        <v>6643.85</v>
      </c>
      <c r="M482" s="80">
        <f t="shared" si="52"/>
        <v>0.6</v>
      </c>
      <c r="N482" s="80">
        <v>0.26</v>
      </c>
      <c r="O482" s="80">
        <f t="shared" si="53"/>
        <v>0.61</v>
      </c>
      <c r="P482" s="80">
        <v>0.34620000000000001</v>
      </c>
      <c r="Q482" s="80">
        <v>0.69640000000000002</v>
      </c>
      <c r="R482" s="80">
        <v>0.6</v>
      </c>
      <c r="S482" s="80">
        <v>0.61</v>
      </c>
    </row>
    <row r="483" spans="1:19">
      <c r="A483" s="19">
        <f t="shared" si="56"/>
        <v>52139</v>
      </c>
      <c r="B483" s="19">
        <f t="shared" si="55"/>
        <v>52503</v>
      </c>
      <c r="C483" s="84">
        <f t="shared" ref="C483:F498" si="59">AVERAGE(G483:G494)</f>
        <v>0.28100000000000003</v>
      </c>
      <c r="D483" s="84">
        <f t="shared" si="59"/>
        <v>0.32600000000000001</v>
      </c>
      <c r="E483" s="84">
        <f t="shared" si="59"/>
        <v>6.0999999999999999E-2</v>
      </c>
      <c r="F483" s="84">
        <f t="shared" si="59"/>
        <v>2.5999999999999999E-2</v>
      </c>
      <c r="G483" s="85">
        <v>0.28100000000000003</v>
      </c>
      <c r="H483" s="85">
        <v>0.32600000000000001</v>
      </c>
      <c r="I483" s="85">
        <v>6.0999999999999999E-2</v>
      </c>
      <c r="J483" s="85">
        <v>2.5999999999999999E-2</v>
      </c>
      <c r="K483" s="25">
        <f>((11/3)*L482)+((1/3)*L494)</f>
        <v>26686</v>
      </c>
      <c r="L483" s="93"/>
      <c r="M483" s="80">
        <f t="shared" si="52"/>
        <v>0.6</v>
      </c>
      <c r="N483" s="80">
        <v>0.26</v>
      </c>
      <c r="O483" s="80">
        <f t="shared" si="53"/>
        <v>0.61</v>
      </c>
      <c r="P483" s="80">
        <v>0.34620000000000001</v>
      </c>
      <c r="Q483" s="80">
        <v>0.69640000000000002</v>
      </c>
      <c r="R483" s="80">
        <v>0.6</v>
      </c>
      <c r="S483" s="80">
        <v>0.61</v>
      </c>
    </row>
    <row r="484" spans="1:19">
      <c r="A484" s="19">
        <f t="shared" si="56"/>
        <v>52170</v>
      </c>
      <c r="B484" s="19">
        <f t="shared" si="55"/>
        <v>52534</v>
      </c>
      <c r="C484" s="84">
        <f t="shared" si="59"/>
        <v>0.28100000000000003</v>
      </c>
      <c r="D484" s="84">
        <f t="shared" si="59"/>
        <v>0.32600000000000001</v>
      </c>
      <c r="E484" s="84">
        <f t="shared" si="59"/>
        <v>6.0999999999999999E-2</v>
      </c>
      <c r="F484" s="84">
        <f t="shared" si="59"/>
        <v>2.5999999999999999E-2</v>
      </c>
      <c r="G484" s="85">
        <v>0.28100000000000003</v>
      </c>
      <c r="H484" s="85">
        <v>0.32600000000000001</v>
      </c>
      <c r="I484" s="85">
        <v>6.0999999999999999E-2</v>
      </c>
      <c r="J484" s="85">
        <v>2.5999999999999999E-2</v>
      </c>
      <c r="K484" s="25">
        <f>((10/3)*L482)+((2/3)*L494)</f>
        <v>26797</v>
      </c>
      <c r="L484" s="93"/>
      <c r="M484" s="80">
        <f t="shared" si="52"/>
        <v>0.6</v>
      </c>
      <c r="N484" s="80">
        <v>0.26</v>
      </c>
      <c r="O484" s="80">
        <f t="shared" si="53"/>
        <v>0.61</v>
      </c>
      <c r="P484" s="80">
        <v>0.34620000000000001</v>
      </c>
      <c r="Q484" s="80">
        <v>0.69640000000000002</v>
      </c>
      <c r="R484" s="80">
        <v>0.6</v>
      </c>
      <c r="S484" s="80">
        <v>0.61</v>
      </c>
    </row>
    <row r="485" spans="1:19">
      <c r="A485" s="19">
        <f t="shared" si="56"/>
        <v>52200</v>
      </c>
      <c r="B485" s="19">
        <f t="shared" si="55"/>
        <v>52564</v>
      </c>
      <c r="C485" s="84">
        <f t="shared" si="59"/>
        <v>0.28100000000000003</v>
      </c>
      <c r="D485" s="84">
        <f t="shared" si="59"/>
        <v>0.32600000000000001</v>
      </c>
      <c r="E485" s="84">
        <f t="shared" si="59"/>
        <v>6.0999999999999999E-2</v>
      </c>
      <c r="F485" s="84">
        <f t="shared" si="59"/>
        <v>2.5999999999999999E-2</v>
      </c>
      <c r="G485" s="85">
        <v>0.28100000000000003</v>
      </c>
      <c r="H485" s="85">
        <v>0.32600000000000001</v>
      </c>
      <c r="I485" s="85">
        <v>6.0999999999999999E-2</v>
      </c>
      <c r="J485" s="85">
        <v>2.5999999999999999E-2</v>
      </c>
      <c r="K485" s="25">
        <f>((9/3)*L482)+((3/3)*L494)</f>
        <v>26908</v>
      </c>
      <c r="L485" s="93"/>
      <c r="M485" s="80">
        <f t="shared" si="52"/>
        <v>0.6</v>
      </c>
      <c r="N485" s="80">
        <v>0.26</v>
      </c>
      <c r="O485" s="80">
        <f t="shared" si="53"/>
        <v>0.61</v>
      </c>
      <c r="P485" s="80">
        <v>0.34620000000000001</v>
      </c>
      <c r="Q485" s="80">
        <v>0.69640000000000002</v>
      </c>
      <c r="R485" s="80">
        <v>0.6</v>
      </c>
      <c r="S485" s="80">
        <v>0.61</v>
      </c>
    </row>
    <row r="486" spans="1:19">
      <c r="A486" s="19">
        <f t="shared" si="56"/>
        <v>52231</v>
      </c>
      <c r="B486" s="19">
        <f t="shared" si="55"/>
        <v>52595</v>
      </c>
      <c r="C486" s="84">
        <f t="shared" si="59"/>
        <v>0.28100000000000003</v>
      </c>
      <c r="D486" s="84">
        <f t="shared" si="59"/>
        <v>0.32600000000000001</v>
      </c>
      <c r="E486" s="84">
        <f t="shared" si="59"/>
        <v>6.0999999999999999E-2</v>
      </c>
      <c r="F486" s="84">
        <f t="shared" si="59"/>
        <v>2.5999999999999999E-2</v>
      </c>
      <c r="G486" s="85">
        <v>0.28100000000000003</v>
      </c>
      <c r="H486" s="85">
        <v>0.32600000000000001</v>
      </c>
      <c r="I486" s="85">
        <v>6.0999999999999999E-2</v>
      </c>
      <c r="J486" s="85">
        <v>2.5999999999999999E-2</v>
      </c>
      <c r="K486" s="25">
        <f>((8/3)*L482)+((4/3)*L494)</f>
        <v>27018</v>
      </c>
      <c r="L486" s="93"/>
      <c r="M486" s="80">
        <f t="shared" si="52"/>
        <v>0.6</v>
      </c>
      <c r="N486" s="80">
        <v>0.26</v>
      </c>
      <c r="O486" s="80">
        <f t="shared" si="53"/>
        <v>0.61</v>
      </c>
      <c r="P486" s="80">
        <v>0.34620000000000001</v>
      </c>
      <c r="Q486" s="80">
        <v>0.69640000000000002</v>
      </c>
      <c r="R486" s="80">
        <v>0.6</v>
      </c>
      <c r="S486" s="80">
        <v>0.61</v>
      </c>
    </row>
    <row r="487" spans="1:19">
      <c r="A487" s="19">
        <f t="shared" si="56"/>
        <v>52262</v>
      </c>
      <c r="B487" s="19">
        <f t="shared" si="55"/>
        <v>52626</v>
      </c>
      <c r="C487" s="84">
        <f t="shared" si="59"/>
        <v>0.28100000000000003</v>
      </c>
      <c r="D487" s="84">
        <f t="shared" si="59"/>
        <v>0.32600000000000001</v>
      </c>
      <c r="E487" s="84">
        <f t="shared" si="59"/>
        <v>6.0999999999999999E-2</v>
      </c>
      <c r="F487" s="84">
        <f t="shared" si="59"/>
        <v>2.5999999999999999E-2</v>
      </c>
      <c r="G487" s="85">
        <v>0.28100000000000003</v>
      </c>
      <c r="H487" s="85">
        <v>0.32600000000000001</v>
      </c>
      <c r="I487" s="85">
        <v>6.0999999999999999E-2</v>
      </c>
      <c r="J487" s="85">
        <v>2.5999999999999999E-2</v>
      </c>
      <c r="K487" s="25">
        <f>((7/3)*L482)+((5/3)*L494)</f>
        <v>27129</v>
      </c>
      <c r="L487" s="93"/>
      <c r="M487" s="80">
        <f t="shared" si="52"/>
        <v>0.6</v>
      </c>
      <c r="N487" s="80">
        <v>0.26</v>
      </c>
      <c r="O487" s="80">
        <f t="shared" si="53"/>
        <v>0.61</v>
      </c>
      <c r="P487" s="80">
        <v>0.34620000000000001</v>
      </c>
      <c r="Q487" s="80">
        <v>0.69640000000000002</v>
      </c>
      <c r="R487" s="80">
        <v>0.6</v>
      </c>
      <c r="S487" s="80">
        <v>0.61</v>
      </c>
    </row>
    <row r="488" spans="1:19">
      <c r="A488" s="19">
        <f t="shared" si="56"/>
        <v>52290</v>
      </c>
      <c r="B488" s="19">
        <f t="shared" si="55"/>
        <v>52655</v>
      </c>
      <c r="C488" s="84">
        <f t="shared" si="59"/>
        <v>0.28100000000000003</v>
      </c>
      <c r="D488" s="84">
        <f t="shared" si="59"/>
        <v>0.32600000000000001</v>
      </c>
      <c r="E488" s="84">
        <f t="shared" si="59"/>
        <v>6.0999999999999999E-2</v>
      </c>
      <c r="F488" s="84">
        <f t="shared" si="59"/>
        <v>2.5999999999999999E-2</v>
      </c>
      <c r="G488" s="85">
        <v>0.28100000000000003</v>
      </c>
      <c r="H488" s="85">
        <v>0.32600000000000001</v>
      </c>
      <c r="I488" s="85">
        <v>6.0999999999999999E-2</v>
      </c>
      <c r="J488" s="85">
        <v>2.5999999999999999E-2</v>
      </c>
      <c r="K488" s="25">
        <f>((6/3)*L482)+((6/3)*L494)</f>
        <v>27240</v>
      </c>
      <c r="L488" s="93"/>
      <c r="M488" s="80">
        <f t="shared" si="52"/>
        <v>0.6</v>
      </c>
      <c r="N488" s="80">
        <v>0.26</v>
      </c>
      <c r="O488" s="80">
        <f t="shared" si="53"/>
        <v>0.61</v>
      </c>
      <c r="P488" s="80">
        <v>0.34620000000000001</v>
      </c>
      <c r="Q488" s="80">
        <v>0.69640000000000002</v>
      </c>
      <c r="R488" s="80">
        <v>0.6</v>
      </c>
      <c r="S488" s="80">
        <v>0.61</v>
      </c>
    </row>
    <row r="489" spans="1:19">
      <c r="A489" s="19">
        <f t="shared" si="56"/>
        <v>52321</v>
      </c>
      <c r="B489" s="19">
        <f t="shared" si="55"/>
        <v>52686</v>
      </c>
      <c r="C489" s="84">
        <f t="shared" si="59"/>
        <v>0.28100000000000003</v>
      </c>
      <c r="D489" s="84">
        <f t="shared" si="59"/>
        <v>0.32600000000000001</v>
      </c>
      <c r="E489" s="84">
        <f t="shared" si="59"/>
        <v>6.0999999999999999E-2</v>
      </c>
      <c r="F489" s="84">
        <f t="shared" si="59"/>
        <v>2.5999999999999999E-2</v>
      </c>
      <c r="G489" s="85">
        <v>0.28100000000000003</v>
      </c>
      <c r="H489" s="85">
        <v>0.32600000000000001</v>
      </c>
      <c r="I489" s="85">
        <v>6.0999999999999999E-2</v>
      </c>
      <c r="J489" s="85">
        <v>2.5999999999999999E-2</v>
      </c>
      <c r="K489" s="25">
        <f>((5/3)*L482)+((7/3)*L494)</f>
        <v>27351</v>
      </c>
      <c r="L489" s="93"/>
      <c r="M489" s="80">
        <f t="shared" si="52"/>
        <v>0.6</v>
      </c>
      <c r="N489" s="80">
        <v>0.26</v>
      </c>
      <c r="O489" s="80">
        <f t="shared" si="53"/>
        <v>0.61</v>
      </c>
      <c r="P489" s="80">
        <v>0.34620000000000001</v>
      </c>
      <c r="Q489" s="80">
        <v>0.69640000000000002</v>
      </c>
      <c r="R489" s="80">
        <v>0.6</v>
      </c>
      <c r="S489" s="80">
        <v>0.61</v>
      </c>
    </row>
    <row r="490" spans="1:19">
      <c r="A490" s="19">
        <f t="shared" si="56"/>
        <v>52351</v>
      </c>
      <c r="B490" s="19">
        <f t="shared" si="55"/>
        <v>52716</v>
      </c>
      <c r="C490" s="84">
        <f t="shared" si="59"/>
        <v>0.28100000000000003</v>
      </c>
      <c r="D490" s="84">
        <f t="shared" si="59"/>
        <v>0.32600000000000001</v>
      </c>
      <c r="E490" s="84">
        <f t="shared" si="59"/>
        <v>6.0999999999999999E-2</v>
      </c>
      <c r="F490" s="84">
        <f t="shared" si="59"/>
        <v>2.5999999999999999E-2</v>
      </c>
      <c r="G490" s="85">
        <v>0.28100000000000003</v>
      </c>
      <c r="H490" s="85">
        <v>0.32600000000000001</v>
      </c>
      <c r="I490" s="85">
        <v>6.0999999999999999E-2</v>
      </c>
      <c r="J490" s="85">
        <v>2.5999999999999999E-2</v>
      </c>
      <c r="K490" s="25">
        <f>((4/3)*L482)+((8/3)*L494)</f>
        <v>27461</v>
      </c>
      <c r="L490" s="93"/>
      <c r="M490" s="80">
        <f t="shared" si="52"/>
        <v>0.6</v>
      </c>
      <c r="N490" s="80">
        <v>0.26</v>
      </c>
      <c r="O490" s="80">
        <f t="shared" si="53"/>
        <v>0.61</v>
      </c>
      <c r="P490" s="80">
        <v>0.34620000000000001</v>
      </c>
      <c r="Q490" s="80">
        <v>0.69640000000000002</v>
      </c>
      <c r="R490" s="80">
        <v>0.6</v>
      </c>
      <c r="S490" s="80">
        <v>0.61</v>
      </c>
    </row>
    <row r="491" spans="1:19">
      <c r="A491" s="19">
        <f t="shared" si="56"/>
        <v>52382</v>
      </c>
      <c r="B491" s="19">
        <f t="shared" si="55"/>
        <v>52747</v>
      </c>
      <c r="C491" s="84">
        <f t="shared" si="59"/>
        <v>0.28100000000000003</v>
      </c>
      <c r="D491" s="84">
        <f t="shared" si="59"/>
        <v>0.32600000000000001</v>
      </c>
      <c r="E491" s="84">
        <f t="shared" si="59"/>
        <v>6.0999999999999999E-2</v>
      </c>
      <c r="F491" s="84">
        <f t="shared" si="59"/>
        <v>2.5999999999999999E-2</v>
      </c>
      <c r="G491" s="85">
        <v>0.28100000000000003</v>
      </c>
      <c r="H491" s="85">
        <v>0.32600000000000001</v>
      </c>
      <c r="I491" s="85">
        <v>6.0999999999999999E-2</v>
      </c>
      <c r="J491" s="85">
        <v>2.5999999999999999E-2</v>
      </c>
      <c r="K491" s="25">
        <f>((3/3)*L482)+((9/3)*L494)</f>
        <v>27572</v>
      </c>
      <c r="L491" s="93"/>
      <c r="M491" s="80">
        <f t="shared" si="52"/>
        <v>0.6</v>
      </c>
      <c r="N491" s="80">
        <v>0.26</v>
      </c>
      <c r="O491" s="80">
        <f t="shared" si="53"/>
        <v>0.61</v>
      </c>
      <c r="P491" s="80">
        <v>0.34620000000000001</v>
      </c>
      <c r="Q491" s="80">
        <v>0.69640000000000002</v>
      </c>
      <c r="R491" s="80">
        <v>0.6</v>
      </c>
      <c r="S491" s="80">
        <v>0.61</v>
      </c>
    </row>
    <row r="492" spans="1:19">
      <c r="A492" s="19">
        <f t="shared" si="56"/>
        <v>52412</v>
      </c>
      <c r="B492" s="19">
        <f t="shared" si="55"/>
        <v>52777</v>
      </c>
      <c r="C492" s="84">
        <f t="shared" si="59"/>
        <v>0.28100000000000003</v>
      </c>
      <c r="D492" s="84">
        <f t="shared" si="59"/>
        <v>0.32600000000000001</v>
      </c>
      <c r="E492" s="84">
        <f t="shared" si="59"/>
        <v>6.0999999999999999E-2</v>
      </c>
      <c r="F492" s="84">
        <f t="shared" si="59"/>
        <v>2.5999999999999999E-2</v>
      </c>
      <c r="G492" s="85">
        <v>0.28100000000000003</v>
      </c>
      <c r="H492" s="85">
        <v>0.32600000000000001</v>
      </c>
      <c r="I492" s="85">
        <v>6.0999999999999999E-2</v>
      </c>
      <c r="J492" s="85">
        <v>2.5999999999999999E-2</v>
      </c>
      <c r="K492" s="25">
        <f>((2/3)*L482)+((10/3)*L494)</f>
        <v>27683</v>
      </c>
      <c r="L492" s="93"/>
      <c r="M492" s="80">
        <f t="shared" si="52"/>
        <v>0.6</v>
      </c>
      <c r="N492" s="80">
        <v>0.26</v>
      </c>
      <c r="O492" s="80">
        <f t="shared" si="53"/>
        <v>0.61</v>
      </c>
      <c r="P492" s="80">
        <v>0.34620000000000001</v>
      </c>
      <c r="Q492" s="80">
        <v>0.69640000000000002</v>
      </c>
      <c r="R492" s="80">
        <v>0.6</v>
      </c>
      <c r="S492" s="80">
        <v>0.61</v>
      </c>
    </row>
    <row r="493" spans="1:19">
      <c r="A493" s="19">
        <f t="shared" si="56"/>
        <v>52443</v>
      </c>
      <c r="B493" s="19">
        <f t="shared" si="55"/>
        <v>52808</v>
      </c>
      <c r="C493" s="81">
        <f t="shared" si="59"/>
        <v>0.28100000000000003</v>
      </c>
      <c r="D493" s="81">
        <f t="shared" si="59"/>
        <v>0.32600000000000001</v>
      </c>
      <c r="E493" s="81">
        <f t="shared" si="59"/>
        <v>6.0999999999999999E-2</v>
      </c>
      <c r="F493" s="81">
        <f t="shared" si="59"/>
        <v>2.5999999999999999E-2</v>
      </c>
      <c r="G493" s="85">
        <v>0.28100000000000003</v>
      </c>
      <c r="H493" s="85">
        <v>0.32600000000000001</v>
      </c>
      <c r="I493" s="85">
        <v>6.0999999999999999E-2</v>
      </c>
      <c r="J493" s="85">
        <v>2.5999999999999999E-2</v>
      </c>
      <c r="K493" s="25">
        <f>((1/3)*L482)+((11/3)*L494)</f>
        <v>27793</v>
      </c>
      <c r="L493" s="93"/>
      <c r="M493" s="80">
        <f t="shared" si="52"/>
        <v>0.6</v>
      </c>
      <c r="N493" s="80">
        <v>0.26</v>
      </c>
      <c r="O493" s="80">
        <f t="shared" si="53"/>
        <v>0.61</v>
      </c>
      <c r="P493" s="80">
        <v>0.34620000000000001</v>
      </c>
      <c r="Q493" s="80">
        <v>0.69640000000000002</v>
      </c>
      <c r="R493" s="80">
        <v>0.6</v>
      </c>
      <c r="S493" s="80">
        <v>0.61</v>
      </c>
    </row>
    <row r="494" spans="1:19" s="78" customFormat="1">
      <c r="A494" s="77">
        <f t="shared" si="56"/>
        <v>52474</v>
      </c>
      <c r="B494" s="77">
        <f t="shared" si="55"/>
        <v>52839</v>
      </c>
      <c r="C494" s="86">
        <f t="shared" si="59"/>
        <v>0.28100000000000003</v>
      </c>
      <c r="D494" s="86">
        <f t="shared" si="59"/>
        <v>0.32600000000000001</v>
      </c>
      <c r="E494" s="86">
        <f t="shared" si="59"/>
        <v>6.0999999999999999E-2</v>
      </c>
      <c r="F494" s="86">
        <f t="shared" si="59"/>
        <v>2.5999999999999999E-2</v>
      </c>
      <c r="G494" s="87">
        <v>0.28100000000000003</v>
      </c>
      <c r="H494" s="87">
        <v>0.32600000000000001</v>
      </c>
      <c r="I494" s="87">
        <v>6.0999999999999999E-2</v>
      </c>
      <c r="J494" s="87">
        <v>2.5999999999999999E-2</v>
      </c>
      <c r="K494" s="76">
        <f>(L494*4)</f>
        <v>27904</v>
      </c>
      <c r="L494" s="94">
        <f>L482*1.05</f>
        <v>6976.04</v>
      </c>
      <c r="M494" s="353">
        <f t="shared" si="52"/>
        <v>0.6</v>
      </c>
      <c r="N494" s="353">
        <v>0.26</v>
      </c>
      <c r="O494" s="353">
        <f t="shared" si="53"/>
        <v>0.61</v>
      </c>
      <c r="P494" s="353">
        <v>0.34620000000000001</v>
      </c>
      <c r="Q494" s="353">
        <v>0.69640000000000002</v>
      </c>
      <c r="R494" s="353">
        <v>0.6</v>
      </c>
      <c r="S494" s="353">
        <v>0.61</v>
      </c>
    </row>
    <row r="495" spans="1:19" s="78" customFormat="1">
      <c r="A495" s="77">
        <f t="shared" si="56"/>
        <v>52504</v>
      </c>
      <c r="B495" s="77">
        <f t="shared" si="55"/>
        <v>52869</v>
      </c>
      <c r="C495" s="86">
        <f t="shared" si="59"/>
        <v>0.28100000000000003</v>
      </c>
      <c r="D495" s="86">
        <f t="shared" si="59"/>
        <v>0.32600000000000001</v>
      </c>
      <c r="E495" s="86">
        <f t="shared" si="59"/>
        <v>6.0999999999999999E-2</v>
      </c>
      <c r="F495" s="86">
        <f t="shared" si="59"/>
        <v>2.5999999999999999E-2</v>
      </c>
      <c r="G495" s="87">
        <v>0.28100000000000003</v>
      </c>
      <c r="H495" s="87">
        <v>0.32600000000000001</v>
      </c>
      <c r="I495" s="87">
        <v>6.0999999999999999E-2</v>
      </c>
      <c r="J495" s="87">
        <v>2.5999999999999999E-2</v>
      </c>
      <c r="K495" s="76">
        <f>((11/3)*L494)+((1/3)*L506)</f>
        <v>28020</v>
      </c>
      <c r="L495" s="94"/>
      <c r="M495" s="353">
        <f t="shared" ref="M495:M558" si="60">AVERAGE(R495:R506)</f>
        <v>0.6</v>
      </c>
      <c r="N495" s="353">
        <v>0.26</v>
      </c>
      <c r="O495" s="353">
        <f t="shared" ref="O495:O558" si="61">AVERAGE(S495:S506)</f>
        <v>0.61</v>
      </c>
      <c r="P495" s="353">
        <v>0.34620000000000001</v>
      </c>
      <c r="Q495" s="353">
        <v>0.69640000000000002</v>
      </c>
      <c r="R495" s="353">
        <v>0.6</v>
      </c>
      <c r="S495" s="353">
        <v>0.61</v>
      </c>
    </row>
    <row r="496" spans="1:19" s="78" customFormat="1">
      <c r="A496" s="77">
        <f t="shared" si="56"/>
        <v>52535</v>
      </c>
      <c r="B496" s="77">
        <f t="shared" si="55"/>
        <v>52900</v>
      </c>
      <c r="C496" s="86">
        <f t="shared" si="59"/>
        <v>0.28100000000000003</v>
      </c>
      <c r="D496" s="86">
        <f t="shared" si="59"/>
        <v>0.32600000000000001</v>
      </c>
      <c r="E496" s="86">
        <f t="shared" si="59"/>
        <v>6.0999999999999999E-2</v>
      </c>
      <c r="F496" s="86">
        <f t="shared" si="59"/>
        <v>2.5999999999999999E-2</v>
      </c>
      <c r="G496" s="87">
        <v>0.28100000000000003</v>
      </c>
      <c r="H496" s="87">
        <v>0.32600000000000001</v>
      </c>
      <c r="I496" s="87">
        <v>6.0999999999999999E-2</v>
      </c>
      <c r="J496" s="87">
        <v>2.5999999999999999E-2</v>
      </c>
      <c r="K496" s="76">
        <f>((10/3)*L494)+((2/3)*L506)</f>
        <v>28137</v>
      </c>
      <c r="L496" s="94"/>
      <c r="M496" s="353">
        <f t="shared" si="60"/>
        <v>0.6</v>
      </c>
      <c r="N496" s="353">
        <v>0.26</v>
      </c>
      <c r="O496" s="353">
        <f t="shared" si="61"/>
        <v>0.61</v>
      </c>
      <c r="P496" s="353">
        <v>0.34620000000000001</v>
      </c>
      <c r="Q496" s="353">
        <v>0.69640000000000002</v>
      </c>
      <c r="R496" s="353">
        <v>0.6</v>
      </c>
      <c r="S496" s="353">
        <v>0.61</v>
      </c>
    </row>
    <row r="497" spans="1:19" s="78" customFormat="1">
      <c r="A497" s="77">
        <f t="shared" si="56"/>
        <v>52565</v>
      </c>
      <c r="B497" s="77">
        <f t="shared" si="55"/>
        <v>52930</v>
      </c>
      <c r="C497" s="86">
        <f t="shared" si="59"/>
        <v>0.28100000000000003</v>
      </c>
      <c r="D497" s="86">
        <f t="shared" si="59"/>
        <v>0.32600000000000001</v>
      </c>
      <c r="E497" s="86">
        <f t="shared" si="59"/>
        <v>6.0999999999999999E-2</v>
      </c>
      <c r="F497" s="86">
        <f t="shared" si="59"/>
        <v>2.5999999999999999E-2</v>
      </c>
      <c r="G497" s="87">
        <v>0.28100000000000003</v>
      </c>
      <c r="H497" s="87">
        <v>0.32600000000000001</v>
      </c>
      <c r="I497" s="87">
        <v>6.0999999999999999E-2</v>
      </c>
      <c r="J497" s="87">
        <v>2.5999999999999999E-2</v>
      </c>
      <c r="K497" s="76">
        <f>((9/3)*L494)+((3/3)*L506)</f>
        <v>28253</v>
      </c>
      <c r="L497" s="94"/>
      <c r="M497" s="353">
        <f t="shared" si="60"/>
        <v>0.6</v>
      </c>
      <c r="N497" s="353">
        <v>0.26</v>
      </c>
      <c r="O497" s="353">
        <f t="shared" si="61"/>
        <v>0.61</v>
      </c>
      <c r="P497" s="353">
        <v>0.34620000000000001</v>
      </c>
      <c r="Q497" s="353">
        <v>0.69640000000000002</v>
      </c>
      <c r="R497" s="353">
        <v>0.6</v>
      </c>
      <c r="S497" s="353">
        <v>0.61</v>
      </c>
    </row>
    <row r="498" spans="1:19" s="78" customFormat="1">
      <c r="A498" s="77">
        <f t="shared" si="56"/>
        <v>52596</v>
      </c>
      <c r="B498" s="77">
        <f t="shared" si="55"/>
        <v>52961</v>
      </c>
      <c r="C498" s="86">
        <f t="shared" si="59"/>
        <v>0.28100000000000003</v>
      </c>
      <c r="D498" s="86">
        <f t="shared" si="59"/>
        <v>0.32600000000000001</v>
      </c>
      <c r="E498" s="86">
        <f t="shared" si="59"/>
        <v>6.0999999999999999E-2</v>
      </c>
      <c r="F498" s="86">
        <f t="shared" si="59"/>
        <v>2.5999999999999999E-2</v>
      </c>
      <c r="G498" s="87">
        <v>0.28100000000000003</v>
      </c>
      <c r="H498" s="87">
        <v>0.32600000000000001</v>
      </c>
      <c r="I498" s="87">
        <v>6.0999999999999999E-2</v>
      </c>
      <c r="J498" s="87">
        <v>2.5999999999999999E-2</v>
      </c>
      <c r="K498" s="76">
        <f>((8/3)*L494)+((4/3)*L506)</f>
        <v>28369</v>
      </c>
      <c r="L498" s="94"/>
      <c r="M498" s="353">
        <f t="shared" si="60"/>
        <v>0.6</v>
      </c>
      <c r="N498" s="353">
        <v>0.26</v>
      </c>
      <c r="O498" s="353">
        <f t="shared" si="61"/>
        <v>0.61</v>
      </c>
      <c r="P498" s="353">
        <v>0.34620000000000001</v>
      </c>
      <c r="Q498" s="353">
        <v>0.69640000000000002</v>
      </c>
      <c r="R498" s="353">
        <v>0.6</v>
      </c>
      <c r="S498" s="353">
        <v>0.61</v>
      </c>
    </row>
    <row r="499" spans="1:19" s="78" customFormat="1">
      <c r="A499" s="77">
        <f t="shared" si="56"/>
        <v>52627</v>
      </c>
      <c r="B499" s="77">
        <f t="shared" si="55"/>
        <v>52992</v>
      </c>
      <c r="C499" s="86">
        <f t="shared" ref="C499:F514" si="62">AVERAGE(G499:G510)</f>
        <v>0.28100000000000003</v>
      </c>
      <c r="D499" s="86">
        <f t="shared" si="62"/>
        <v>0.32600000000000001</v>
      </c>
      <c r="E499" s="86">
        <f t="shared" si="62"/>
        <v>6.0999999999999999E-2</v>
      </c>
      <c r="F499" s="86">
        <f t="shared" si="62"/>
        <v>2.5999999999999999E-2</v>
      </c>
      <c r="G499" s="87">
        <v>0.28100000000000003</v>
      </c>
      <c r="H499" s="87">
        <v>0.32600000000000001</v>
      </c>
      <c r="I499" s="87">
        <v>6.0999999999999999E-2</v>
      </c>
      <c r="J499" s="87">
        <v>2.5999999999999999E-2</v>
      </c>
      <c r="K499" s="76">
        <f>((7/3)*L494)+((5/3)*L506)</f>
        <v>28485</v>
      </c>
      <c r="L499" s="94"/>
      <c r="M499" s="353">
        <f t="shared" si="60"/>
        <v>0.6</v>
      </c>
      <c r="N499" s="353">
        <v>0.26</v>
      </c>
      <c r="O499" s="353">
        <f t="shared" si="61"/>
        <v>0.61</v>
      </c>
      <c r="P499" s="353">
        <v>0.34620000000000001</v>
      </c>
      <c r="Q499" s="353">
        <v>0.69640000000000002</v>
      </c>
      <c r="R499" s="353">
        <v>0.6</v>
      </c>
      <c r="S499" s="353">
        <v>0.61</v>
      </c>
    </row>
    <row r="500" spans="1:19" s="78" customFormat="1">
      <c r="A500" s="77">
        <f t="shared" si="56"/>
        <v>52656</v>
      </c>
      <c r="B500" s="77">
        <f t="shared" si="55"/>
        <v>53020</v>
      </c>
      <c r="C500" s="86">
        <f t="shared" si="62"/>
        <v>0.28100000000000003</v>
      </c>
      <c r="D500" s="86">
        <f t="shared" si="62"/>
        <v>0.32600000000000001</v>
      </c>
      <c r="E500" s="86">
        <f t="shared" si="62"/>
        <v>6.0999999999999999E-2</v>
      </c>
      <c r="F500" s="86">
        <f t="shared" si="62"/>
        <v>2.5999999999999999E-2</v>
      </c>
      <c r="G500" s="87">
        <v>0.28100000000000003</v>
      </c>
      <c r="H500" s="87">
        <v>0.32600000000000001</v>
      </c>
      <c r="I500" s="87">
        <v>6.0999999999999999E-2</v>
      </c>
      <c r="J500" s="87">
        <v>2.5999999999999999E-2</v>
      </c>
      <c r="K500" s="76">
        <f>((6/3)*L494)+((6/3)*L506)</f>
        <v>28602</v>
      </c>
      <c r="L500" s="94"/>
      <c r="M500" s="353">
        <f t="shared" si="60"/>
        <v>0.6</v>
      </c>
      <c r="N500" s="353">
        <v>0.26</v>
      </c>
      <c r="O500" s="353">
        <f t="shared" si="61"/>
        <v>0.61</v>
      </c>
      <c r="P500" s="353">
        <v>0.34620000000000001</v>
      </c>
      <c r="Q500" s="353">
        <v>0.69640000000000002</v>
      </c>
      <c r="R500" s="353">
        <v>0.6</v>
      </c>
      <c r="S500" s="353">
        <v>0.61</v>
      </c>
    </row>
    <row r="501" spans="1:19" s="78" customFormat="1">
      <c r="A501" s="77">
        <f t="shared" si="56"/>
        <v>52687</v>
      </c>
      <c r="B501" s="77">
        <f t="shared" si="55"/>
        <v>53051</v>
      </c>
      <c r="C501" s="86">
        <f t="shared" si="62"/>
        <v>0.28100000000000003</v>
      </c>
      <c r="D501" s="86">
        <f t="shared" si="62"/>
        <v>0.32600000000000001</v>
      </c>
      <c r="E501" s="86">
        <f t="shared" si="62"/>
        <v>6.0999999999999999E-2</v>
      </c>
      <c r="F501" s="86">
        <f t="shared" si="62"/>
        <v>2.5999999999999999E-2</v>
      </c>
      <c r="G501" s="87">
        <v>0.28100000000000003</v>
      </c>
      <c r="H501" s="87">
        <v>0.32600000000000001</v>
      </c>
      <c r="I501" s="87">
        <v>6.0999999999999999E-2</v>
      </c>
      <c r="J501" s="87">
        <v>2.5999999999999999E-2</v>
      </c>
      <c r="K501" s="76">
        <f>((5/3)*L494)+((7/3)*L506)</f>
        <v>28718</v>
      </c>
      <c r="L501" s="94"/>
      <c r="M501" s="353">
        <f t="shared" si="60"/>
        <v>0.6</v>
      </c>
      <c r="N501" s="353">
        <v>0.26</v>
      </c>
      <c r="O501" s="353">
        <f t="shared" si="61"/>
        <v>0.61</v>
      </c>
      <c r="P501" s="353">
        <v>0.34620000000000001</v>
      </c>
      <c r="Q501" s="353">
        <v>0.69640000000000002</v>
      </c>
      <c r="R501" s="353">
        <v>0.6</v>
      </c>
      <c r="S501" s="353">
        <v>0.61</v>
      </c>
    </row>
    <row r="502" spans="1:19" s="78" customFormat="1">
      <c r="A502" s="77">
        <f t="shared" si="56"/>
        <v>52717</v>
      </c>
      <c r="B502" s="77">
        <f t="shared" si="55"/>
        <v>53081</v>
      </c>
      <c r="C502" s="86">
        <f t="shared" si="62"/>
        <v>0.28100000000000003</v>
      </c>
      <c r="D502" s="86">
        <f t="shared" si="62"/>
        <v>0.32600000000000001</v>
      </c>
      <c r="E502" s="86">
        <f t="shared" si="62"/>
        <v>6.0999999999999999E-2</v>
      </c>
      <c r="F502" s="86">
        <f t="shared" si="62"/>
        <v>2.5999999999999999E-2</v>
      </c>
      <c r="G502" s="87">
        <v>0.28100000000000003</v>
      </c>
      <c r="H502" s="87">
        <v>0.32600000000000001</v>
      </c>
      <c r="I502" s="87">
        <v>6.0999999999999999E-2</v>
      </c>
      <c r="J502" s="87">
        <v>2.5999999999999999E-2</v>
      </c>
      <c r="K502" s="76">
        <f>((4/3)*L494)+((8/3)*L506)</f>
        <v>28834</v>
      </c>
      <c r="L502" s="94"/>
      <c r="M502" s="353">
        <f t="shared" si="60"/>
        <v>0.6</v>
      </c>
      <c r="N502" s="353">
        <v>0.26</v>
      </c>
      <c r="O502" s="353">
        <f t="shared" si="61"/>
        <v>0.61</v>
      </c>
      <c r="P502" s="353">
        <v>0.34620000000000001</v>
      </c>
      <c r="Q502" s="353">
        <v>0.69640000000000002</v>
      </c>
      <c r="R502" s="353">
        <v>0.6</v>
      </c>
      <c r="S502" s="353">
        <v>0.61</v>
      </c>
    </row>
    <row r="503" spans="1:19" s="78" customFormat="1">
      <c r="A503" s="77">
        <f t="shared" si="56"/>
        <v>52748</v>
      </c>
      <c r="B503" s="77">
        <f t="shared" si="55"/>
        <v>53112</v>
      </c>
      <c r="C503" s="86">
        <f t="shared" si="62"/>
        <v>0.28100000000000003</v>
      </c>
      <c r="D503" s="86">
        <f t="shared" si="62"/>
        <v>0.32600000000000001</v>
      </c>
      <c r="E503" s="86">
        <f t="shared" si="62"/>
        <v>6.0999999999999999E-2</v>
      </c>
      <c r="F503" s="86">
        <f t="shared" si="62"/>
        <v>2.5999999999999999E-2</v>
      </c>
      <c r="G503" s="87">
        <v>0.28100000000000003</v>
      </c>
      <c r="H503" s="87">
        <v>0.32600000000000001</v>
      </c>
      <c r="I503" s="87">
        <v>6.0999999999999999E-2</v>
      </c>
      <c r="J503" s="87">
        <v>2.5999999999999999E-2</v>
      </c>
      <c r="K503" s="76">
        <f>((3/3)*L494)+((9/3)*L506)</f>
        <v>28951</v>
      </c>
      <c r="L503" s="94"/>
      <c r="M503" s="353">
        <f t="shared" si="60"/>
        <v>0.6</v>
      </c>
      <c r="N503" s="353">
        <v>0.26</v>
      </c>
      <c r="O503" s="353">
        <f t="shared" si="61"/>
        <v>0.61</v>
      </c>
      <c r="P503" s="353">
        <v>0.34620000000000001</v>
      </c>
      <c r="Q503" s="353">
        <v>0.69640000000000002</v>
      </c>
      <c r="R503" s="353">
        <v>0.6</v>
      </c>
      <c r="S503" s="353">
        <v>0.61</v>
      </c>
    </row>
    <row r="504" spans="1:19" s="78" customFormat="1">
      <c r="A504" s="77">
        <f t="shared" si="56"/>
        <v>52778</v>
      </c>
      <c r="B504" s="77">
        <f t="shared" si="55"/>
        <v>53142</v>
      </c>
      <c r="C504" s="86">
        <f t="shared" si="62"/>
        <v>0.28100000000000003</v>
      </c>
      <c r="D504" s="86">
        <f t="shared" si="62"/>
        <v>0.32600000000000001</v>
      </c>
      <c r="E504" s="86">
        <f t="shared" si="62"/>
        <v>6.0999999999999999E-2</v>
      </c>
      <c r="F504" s="86">
        <f t="shared" si="62"/>
        <v>2.5999999999999999E-2</v>
      </c>
      <c r="G504" s="87">
        <v>0.28100000000000003</v>
      </c>
      <c r="H504" s="87">
        <v>0.32600000000000001</v>
      </c>
      <c r="I504" s="87">
        <v>6.0999999999999999E-2</v>
      </c>
      <c r="J504" s="87">
        <v>2.5999999999999999E-2</v>
      </c>
      <c r="K504" s="76">
        <f>((2/3)*L494)+((10/3)*L506)</f>
        <v>29067</v>
      </c>
      <c r="L504" s="94"/>
      <c r="M504" s="353">
        <f t="shared" si="60"/>
        <v>0.6</v>
      </c>
      <c r="N504" s="353">
        <v>0.26</v>
      </c>
      <c r="O504" s="353">
        <f t="shared" si="61"/>
        <v>0.61</v>
      </c>
      <c r="P504" s="353">
        <v>0.34620000000000001</v>
      </c>
      <c r="Q504" s="353">
        <v>0.69640000000000002</v>
      </c>
      <c r="R504" s="353">
        <v>0.6</v>
      </c>
      <c r="S504" s="353">
        <v>0.61</v>
      </c>
    </row>
    <row r="505" spans="1:19" s="78" customFormat="1">
      <c r="A505" s="77">
        <f t="shared" si="56"/>
        <v>52809</v>
      </c>
      <c r="B505" s="77">
        <f t="shared" si="55"/>
        <v>53173</v>
      </c>
      <c r="C505" s="86">
        <f t="shared" si="62"/>
        <v>0.28100000000000003</v>
      </c>
      <c r="D505" s="86">
        <f t="shared" si="62"/>
        <v>0.32600000000000001</v>
      </c>
      <c r="E505" s="86">
        <f t="shared" si="62"/>
        <v>6.0999999999999999E-2</v>
      </c>
      <c r="F505" s="86">
        <f t="shared" si="62"/>
        <v>2.5999999999999999E-2</v>
      </c>
      <c r="G505" s="87">
        <v>0.28100000000000003</v>
      </c>
      <c r="H505" s="87">
        <v>0.32600000000000001</v>
      </c>
      <c r="I505" s="87">
        <v>6.0999999999999999E-2</v>
      </c>
      <c r="J505" s="87">
        <v>2.5999999999999999E-2</v>
      </c>
      <c r="K505" s="76">
        <f>((1/3)*L494)+((11/3)*L506)</f>
        <v>29183</v>
      </c>
      <c r="L505" s="94"/>
      <c r="M505" s="353">
        <f t="shared" si="60"/>
        <v>0.6</v>
      </c>
      <c r="N505" s="353">
        <v>0.26</v>
      </c>
      <c r="O505" s="353">
        <f t="shared" si="61"/>
        <v>0.61</v>
      </c>
      <c r="P505" s="353">
        <v>0.34620000000000001</v>
      </c>
      <c r="Q505" s="353">
        <v>0.69640000000000002</v>
      </c>
      <c r="R505" s="353">
        <v>0.6</v>
      </c>
      <c r="S505" s="353">
        <v>0.61</v>
      </c>
    </row>
    <row r="506" spans="1:19">
      <c r="A506" s="19">
        <f t="shared" si="56"/>
        <v>52840</v>
      </c>
      <c r="B506" s="19">
        <f t="shared" si="55"/>
        <v>53204</v>
      </c>
      <c r="C506" s="84">
        <f t="shared" si="62"/>
        <v>0.28100000000000003</v>
      </c>
      <c r="D506" s="84">
        <f t="shared" si="62"/>
        <v>0.32600000000000001</v>
      </c>
      <c r="E506" s="84">
        <f t="shared" si="62"/>
        <v>6.0999999999999999E-2</v>
      </c>
      <c r="F506" s="84">
        <f t="shared" si="62"/>
        <v>2.5999999999999999E-2</v>
      </c>
      <c r="G506" s="85">
        <v>0.28100000000000003</v>
      </c>
      <c r="H506" s="85">
        <v>0.32600000000000001</v>
      </c>
      <c r="I506" s="85">
        <v>6.0999999999999999E-2</v>
      </c>
      <c r="J506" s="85">
        <v>2.5999999999999999E-2</v>
      </c>
      <c r="K506" s="25">
        <f>(L506*4)</f>
        <v>29299</v>
      </c>
      <c r="L506" s="93">
        <f>L494*1.05</f>
        <v>7324.84</v>
      </c>
      <c r="M506" s="80">
        <f t="shared" si="60"/>
        <v>0.6</v>
      </c>
      <c r="N506" s="80">
        <v>0.26</v>
      </c>
      <c r="O506" s="80">
        <f t="shared" si="61"/>
        <v>0.61</v>
      </c>
      <c r="P506" s="80">
        <v>0.34620000000000001</v>
      </c>
      <c r="Q506" s="80">
        <v>0.69640000000000002</v>
      </c>
      <c r="R506" s="80">
        <v>0.6</v>
      </c>
      <c r="S506" s="80">
        <v>0.61</v>
      </c>
    </row>
    <row r="507" spans="1:19">
      <c r="A507" s="19">
        <f t="shared" si="56"/>
        <v>52870</v>
      </c>
      <c r="B507" s="19">
        <f t="shared" si="55"/>
        <v>53234</v>
      </c>
      <c r="C507" s="84">
        <f t="shared" si="62"/>
        <v>0.28100000000000003</v>
      </c>
      <c r="D507" s="84">
        <f t="shared" si="62"/>
        <v>0.32600000000000001</v>
      </c>
      <c r="E507" s="84">
        <f t="shared" si="62"/>
        <v>6.0999999999999999E-2</v>
      </c>
      <c r="F507" s="84">
        <f t="shared" si="62"/>
        <v>2.5999999999999999E-2</v>
      </c>
      <c r="G507" s="85">
        <v>0.28100000000000003</v>
      </c>
      <c r="H507" s="85">
        <v>0.32600000000000001</v>
      </c>
      <c r="I507" s="85">
        <v>6.0999999999999999E-2</v>
      </c>
      <c r="J507" s="85">
        <v>2.5999999999999999E-2</v>
      </c>
      <c r="K507" s="25">
        <f>((11/3)*L506)+((1/3)*L518)</f>
        <v>29421</v>
      </c>
      <c r="L507" s="93"/>
      <c r="M507" s="80">
        <f t="shared" si="60"/>
        <v>0.6</v>
      </c>
      <c r="N507" s="80">
        <v>0.26</v>
      </c>
      <c r="O507" s="80">
        <f t="shared" si="61"/>
        <v>0.61</v>
      </c>
      <c r="P507" s="80">
        <v>0.34620000000000001</v>
      </c>
      <c r="Q507" s="80">
        <v>0.69640000000000002</v>
      </c>
      <c r="R507" s="80">
        <v>0.6</v>
      </c>
      <c r="S507" s="80">
        <v>0.61</v>
      </c>
    </row>
    <row r="508" spans="1:19">
      <c r="A508" s="19">
        <f t="shared" si="56"/>
        <v>52901</v>
      </c>
      <c r="B508" s="19">
        <f t="shared" si="55"/>
        <v>53265</v>
      </c>
      <c r="C508" s="84">
        <f t="shared" si="62"/>
        <v>0.28100000000000003</v>
      </c>
      <c r="D508" s="84">
        <f t="shared" si="62"/>
        <v>0.32600000000000001</v>
      </c>
      <c r="E508" s="84">
        <f t="shared" si="62"/>
        <v>6.0999999999999999E-2</v>
      </c>
      <c r="F508" s="84">
        <f t="shared" si="62"/>
        <v>2.5999999999999999E-2</v>
      </c>
      <c r="G508" s="85">
        <v>0.28100000000000003</v>
      </c>
      <c r="H508" s="85">
        <v>0.32600000000000001</v>
      </c>
      <c r="I508" s="85">
        <v>6.0999999999999999E-2</v>
      </c>
      <c r="J508" s="85">
        <v>2.5999999999999999E-2</v>
      </c>
      <c r="K508" s="25">
        <f>((10/3)*L506)+((2/3)*L518)</f>
        <v>29544</v>
      </c>
      <c r="L508" s="93"/>
      <c r="M508" s="80">
        <f t="shared" si="60"/>
        <v>0.6</v>
      </c>
      <c r="N508" s="80">
        <v>0.26</v>
      </c>
      <c r="O508" s="80">
        <f t="shared" si="61"/>
        <v>0.61</v>
      </c>
      <c r="P508" s="80">
        <v>0.34620000000000001</v>
      </c>
      <c r="Q508" s="80">
        <v>0.69640000000000002</v>
      </c>
      <c r="R508" s="80">
        <v>0.6</v>
      </c>
      <c r="S508" s="80">
        <v>0.61</v>
      </c>
    </row>
    <row r="509" spans="1:19">
      <c r="A509" s="19">
        <f t="shared" si="56"/>
        <v>52931</v>
      </c>
      <c r="B509" s="19">
        <f t="shared" si="55"/>
        <v>53295</v>
      </c>
      <c r="C509" s="84">
        <f t="shared" si="62"/>
        <v>0.28100000000000003</v>
      </c>
      <c r="D509" s="84">
        <f t="shared" si="62"/>
        <v>0.32600000000000001</v>
      </c>
      <c r="E509" s="84">
        <f t="shared" si="62"/>
        <v>6.0999999999999999E-2</v>
      </c>
      <c r="F509" s="84">
        <f t="shared" si="62"/>
        <v>2.5999999999999999E-2</v>
      </c>
      <c r="G509" s="85">
        <v>0.28100000000000003</v>
      </c>
      <c r="H509" s="85">
        <v>0.32600000000000001</v>
      </c>
      <c r="I509" s="85">
        <v>6.0999999999999999E-2</v>
      </c>
      <c r="J509" s="85">
        <v>2.5999999999999999E-2</v>
      </c>
      <c r="K509" s="25">
        <f>((9/3)*L506)+((3/3)*L518)</f>
        <v>29666</v>
      </c>
      <c r="L509" s="93"/>
      <c r="M509" s="80">
        <f t="shared" si="60"/>
        <v>0.6</v>
      </c>
      <c r="N509" s="80">
        <v>0.26</v>
      </c>
      <c r="O509" s="80">
        <f t="shared" si="61"/>
        <v>0.61</v>
      </c>
      <c r="P509" s="80">
        <v>0.34620000000000001</v>
      </c>
      <c r="Q509" s="80">
        <v>0.69640000000000002</v>
      </c>
      <c r="R509" s="80">
        <v>0.6</v>
      </c>
      <c r="S509" s="80">
        <v>0.61</v>
      </c>
    </row>
    <row r="510" spans="1:19">
      <c r="A510" s="19">
        <f t="shared" si="56"/>
        <v>52962</v>
      </c>
      <c r="B510" s="19">
        <f t="shared" si="55"/>
        <v>53326</v>
      </c>
      <c r="C510" s="84">
        <f t="shared" si="62"/>
        <v>0.28100000000000003</v>
      </c>
      <c r="D510" s="84">
        <f t="shared" si="62"/>
        <v>0.32600000000000001</v>
      </c>
      <c r="E510" s="84">
        <f t="shared" si="62"/>
        <v>6.0999999999999999E-2</v>
      </c>
      <c r="F510" s="84">
        <f t="shared" si="62"/>
        <v>2.5999999999999999E-2</v>
      </c>
      <c r="G510" s="85">
        <v>0.28100000000000003</v>
      </c>
      <c r="H510" s="85">
        <v>0.32600000000000001</v>
      </c>
      <c r="I510" s="85">
        <v>6.0999999999999999E-2</v>
      </c>
      <c r="J510" s="85">
        <v>2.5999999999999999E-2</v>
      </c>
      <c r="K510" s="25">
        <f>((8/3)*L506)+((4/3)*L518)</f>
        <v>29788</v>
      </c>
      <c r="L510" s="93"/>
      <c r="M510" s="80">
        <f t="shared" si="60"/>
        <v>0.6</v>
      </c>
      <c r="N510" s="80">
        <v>0.26</v>
      </c>
      <c r="O510" s="80">
        <f t="shared" si="61"/>
        <v>0.61</v>
      </c>
      <c r="P510" s="80">
        <v>0.34620000000000001</v>
      </c>
      <c r="Q510" s="80">
        <v>0.69640000000000002</v>
      </c>
      <c r="R510" s="80">
        <v>0.6</v>
      </c>
      <c r="S510" s="80">
        <v>0.61</v>
      </c>
    </row>
    <row r="511" spans="1:19">
      <c r="A511" s="19">
        <f t="shared" si="56"/>
        <v>52993</v>
      </c>
      <c r="B511" s="19">
        <f t="shared" si="55"/>
        <v>53357</v>
      </c>
      <c r="C511" s="84">
        <f t="shared" si="62"/>
        <v>0.28100000000000003</v>
      </c>
      <c r="D511" s="84">
        <f t="shared" si="62"/>
        <v>0.32600000000000001</v>
      </c>
      <c r="E511" s="84">
        <f t="shared" si="62"/>
        <v>6.0999999999999999E-2</v>
      </c>
      <c r="F511" s="84">
        <f t="shared" si="62"/>
        <v>2.5999999999999999E-2</v>
      </c>
      <c r="G511" s="85">
        <v>0.28100000000000003</v>
      </c>
      <c r="H511" s="85">
        <v>0.32600000000000001</v>
      </c>
      <c r="I511" s="85">
        <v>6.0999999999999999E-2</v>
      </c>
      <c r="J511" s="85">
        <v>2.5999999999999999E-2</v>
      </c>
      <c r="K511" s="25">
        <f>((7/3)*L506)+((5/3)*L518)</f>
        <v>29910</v>
      </c>
      <c r="L511" s="93"/>
      <c r="M511" s="80">
        <f t="shared" si="60"/>
        <v>0.6</v>
      </c>
      <c r="N511" s="80">
        <v>0.26</v>
      </c>
      <c r="O511" s="80">
        <f t="shared" si="61"/>
        <v>0.61</v>
      </c>
      <c r="P511" s="80">
        <v>0.34620000000000001</v>
      </c>
      <c r="Q511" s="80">
        <v>0.69640000000000002</v>
      </c>
      <c r="R511" s="80">
        <v>0.6</v>
      </c>
      <c r="S511" s="80">
        <v>0.61</v>
      </c>
    </row>
    <row r="512" spans="1:19">
      <c r="A512" s="19">
        <f t="shared" si="56"/>
        <v>53021</v>
      </c>
      <c r="B512" s="19">
        <f t="shared" si="55"/>
        <v>53385</v>
      </c>
      <c r="C512" s="84">
        <f t="shared" si="62"/>
        <v>0.28100000000000003</v>
      </c>
      <c r="D512" s="84">
        <f t="shared" si="62"/>
        <v>0.32600000000000001</v>
      </c>
      <c r="E512" s="84">
        <f t="shared" si="62"/>
        <v>6.0999999999999999E-2</v>
      </c>
      <c r="F512" s="84">
        <f t="shared" si="62"/>
        <v>2.5999999999999999E-2</v>
      </c>
      <c r="G512" s="85">
        <v>0.28100000000000003</v>
      </c>
      <c r="H512" s="85">
        <v>0.32600000000000001</v>
      </c>
      <c r="I512" s="85">
        <v>6.0999999999999999E-2</v>
      </c>
      <c r="J512" s="85">
        <v>2.5999999999999999E-2</v>
      </c>
      <c r="K512" s="25">
        <f>((6/3)*L506)+((6/3)*L518)</f>
        <v>30032</v>
      </c>
      <c r="L512" s="93"/>
      <c r="M512" s="80">
        <f t="shared" si="60"/>
        <v>0.6</v>
      </c>
      <c r="N512" s="80">
        <v>0.26</v>
      </c>
      <c r="O512" s="80">
        <f t="shared" si="61"/>
        <v>0.61</v>
      </c>
      <c r="P512" s="80">
        <v>0.34620000000000001</v>
      </c>
      <c r="Q512" s="80">
        <v>0.69640000000000002</v>
      </c>
      <c r="R512" s="80">
        <v>0.6</v>
      </c>
      <c r="S512" s="80">
        <v>0.61</v>
      </c>
    </row>
    <row r="513" spans="1:19">
      <c r="A513" s="19">
        <f t="shared" si="56"/>
        <v>53052</v>
      </c>
      <c r="B513" s="19">
        <f t="shared" si="55"/>
        <v>53416</v>
      </c>
      <c r="C513" s="84">
        <f t="shared" si="62"/>
        <v>0.28100000000000003</v>
      </c>
      <c r="D513" s="84">
        <f t="shared" si="62"/>
        <v>0.32600000000000001</v>
      </c>
      <c r="E513" s="84">
        <f t="shared" si="62"/>
        <v>6.0999999999999999E-2</v>
      </c>
      <c r="F513" s="84">
        <f t="shared" si="62"/>
        <v>2.5999999999999999E-2</v>
      </c>
      <c r="G513" s="85">
        <v>0.28100000000000003</v>
      </c>
      <c r="H513" s="85">
        <v>0.32600000000000001</v>
      </c>
      <c r="I513" s="85">
        <v>6.0999999999999999E-2</v>
      </c>
      <c r="J513" s="85">
        <v>2.5999999999999999E-2</v>
      </c>
      <c r="K513" s="25">
        <f>((5/3)*L506)+((7/3)*L518)</f>
        <v>30154</v>
      </c>
      <c r="L513" s="93"/>
      <c r="M513" s="80">
        <f t="shared" si="60"/>
        <v>0.6</v>
      </c>
      <c r="N513" s="80">
        <v>0.26</v>
      </c>
      <c r="O513" s="80">
        <f t="shared" si="61"/>
        <v>0.61</v>
      </c>
      <c r="P513" s="80">
        <v>0.34620000000000001</v>
      </c>
      <c r="Q513" s="80">
        <v>0.69640000000000002</v>
      </c>
      <c r="R513" s="80">
        <v>0.6</v>
      </c>
      <c r="S513" s="80">
        <v>0.61</v>
      </c>
    </row>
    <row r="514" spans="1:19">
      <c r="A514" s="19">
        <f t="shared" si="56"/>
        <v>53082</v>
      </c>
      <c r="B514" s="19">
        <f t="shared" ref="B514:B577" si="63">EDATE(A514,12)-1</f>
        <v>53446</v>
      </c>
      <c r="C514" s="84">
        <f t="shared" si="62"/>
        <v>0.28100000000000003</v>
      </c>
      <c r="D514" s="84">
        <f t="shared" si="62"/>
        <v>0.32600000000000001</v>
      </c>
      <c r="E514" s="84">
        <f t="shared" si="62"/>
        <v>6.0999999999999999E-2</v>
      </c>
      <c r="F514" s="84">
        <f t="shared" si="62"/>
        <v>2.5999999999999999E-2</v>
      </c>
      <c r="G514" s="85">
        <v>0.28100000000000003</v>
      </c>
      <c r="H514" s="85">
        <v>0.32600000000000001</v>
      </c>
      <c r="I514" s="85">
        <v>6.0999999999999999E-2</v>
      </c>
      <c r="J514" s="85">
        <v>2.5999999999999999E-2</v>
      </c>
      <c r="K514" s="25">
        <f>((4/3)*L506)+((8/3)*L518)</f>
        <v>30276</v>
      </c>
      <c r="L514" s="93"/>
      <c r="M514" s="80">
        <f t="shared" si="60"/>
        <v>0.6</v>
      </c>
      <c r="N514" s="80">
        <v>0.26</v>
      </c>
      <c r="O514" s="80">
        <f t="shared" si="61"/>
        <v>0.61</v>
      </c>
      <c r="P514" s="80">
        <v>0.34620000000000001</v>
      </c>
      <c r="Q514" s="80">
        <v>0.69640000000000002</v>
      </c>
      <c r="R514" s="80">
        <v>0.6</v>
      </c>
      <c r="S514" s="80">
        <v>0.61</v>
      </c>
    </row>
    <row r="515" spans="1:19">
      <c r="A515" s="19">
        <f t="shared" ref="A515:A578" si="64">EDATE(A514,1)</f>
        <v>53113</v>
      </c>
      <c r="B515" s="19">
        <f t="shared" si="63"/>
        <v>53477</v>
      </c>
      <c r="C515" s="84">
        <f t="shared" ref="C515:F530" si="65">AVERAGE(G515:G526)</f>
        <v>0.28100000000000003</v>
      </c>
      <c r="D515" s="84">
        <f t="shared" si="65"/>
        <v>0.32600000000000001</v>
      </c>
      <c r="E515" s="84">
        <f t="shared" si="65"/>
        <v>6.0999999999999999E-2</v>
      </c>
      <c r="F515" s="84">
        <f t="shared" si="65"/>
        <v>2.5999999999999999E-2</v>
      </c>
      <c r="G515" s="85">
        <v>0.28100000000000003</v>
      </c>
      <c r="H515" s="85">
        <v>0.32600000000000001</v>
      </c>
      <c r="I515" s="85">
        <v>6.0999999999999999E-2</v>
      </c>
      <c r="J515" s="85">
        <v>2.5999999999999999E-2</v>
      </c>
      <c r="K515" s="25">
        <f>((3/3)*L506)+((9/3)*L518)</f>
        <v>30398</v>
      </c>
      <c r="L515" s="93"/>
      <c r="M515" s="80">
        <f t="shared" si="60"/>
        <v>0.6</v>
      </c>
      <c r="N515" s="80">
        <v>0.26</v>
      </c>
      <c r="O515" s="80">
        <f t="shared" si="61"/>
        <v>0.61</v>
      </c>
      <c r="P515" s="80">
        <v>0.34620000000000001</v>
      </c>
      <c r="Q515" s="80">
        <v>0.69640000000000002</v>
      </c>
      <c r="R515" s="80">
        <v>0.6</v>
      </c>
      <c r="S515" s="80">
        <v>0.61</v>
      </c>
    </row>
    <row r="516" spans="1:19">
      <c r="A516" s="19">
        <f t="shared" si="64"/>
        <v>53143</v>
      </c>
      <c r="B516" s="19">
        <f t="shared" si="63"/>
        <v>53507</v>
      </c>
      <c r="C516" s="84">
        <f t="shared" si="65"/>
        <v>0.28100000000000003</v>
      </c>
      <c r="D516" s="84">
        <f t="shared" si="65"/>
        <v>0.32600000000000001</v>
      </c>
      <c r="E516" s="84">
        <f t="shared" si="65"/>
        <v>6.0999999999999999E-2</v>
      </c>
      <c r="F516" s="84">
        <f t="shared" si="65"/>
        <v>2.5999999999999999E-2</v>
      </c>
      <c r="G516" s="85">
        <v>0.28100000000000003</v>
      </c>
      <c r="H516" s="85">
        <v>0.32600000000000001</v>
      </c>
      <c r="I516" s="85">
        <v>6.0999999999999999E-2</v>
      </c>
      <c r="J516" s="85">
        <v>2.5999999999999999E-2</v>
      </c>
      <c r="K516" s="25">
        <f>((2/3)*L506)+((10/3)*L518)</f>
        <v>30520</v>
      </c>
      <c r="L516" s="93"/>
      <c r="M516" s="80">
        <f t="shared" si="60"/>
        <v>0.6</v>
      </c>
      <c r="N516" s="80">
        <v>0.26</v>
      </c>
      <c r="O516" s="80">
        <f t="shared" si="61"/>
        <v>0.61</v>
      </c>
      <c r="P516" s="80">
        <v>0.34620000000000001</v>
      </c>
      <c r="Q516" s="80">
        <v>0.69640000000000002</v>
      </c>
      <c r="R516" s="80">
        <v>0.6</v>
      </c>
      <c r="S516" s="80">
        <v>0.61</v>
      </c>
    </row>
    <row r="517" spans="1:19">
      <c r="A517" s="19">
        <f t="shared" si="64"/>
        <v>53174</v>
      </c>
      <c r="B517" s="19">
        <f t="shared" si="63"/>
        <v>53538</v>
      </c>
      <c r="C517" s="81">
        <f t="shared" si="65"/>
        <v>0.28100000000000003</v>
      </c>
      <c r="D517" s="81">
        <f t="shared" si="65"/>
        <v>0.32600000000000001</v>
      </c>
      <c r="E517" s="81">
        <f t="shared" si="65"/>
        <v>6.0999999999999999E-2</v>
      </c>
      <c r="F517" s="81">
        <f t="shared" si="65"/>
        <v>2.5999999999999999E-2</v>
      </c>
      <c r="G517" s="85">
        <v>0.28100000000000003</v>
      </c>
      <c r="H517" s="85">
        <v>0.32600000000000001</v>
      </c>
      <c r="I517" s="85">
        <v>6.0999999999999999E-2</v>
      </c>
      <c r="J517" s="85">
        <v>2.5999999999999999E-2</v>
      </c>
      <c r="K517" s="25">
        <f>((1/3)*L506)+((11/3)*L518)</f>
        <v>30642</v>
      </c>
      <c r="L517" s="93"/>
      <c r="M517" s="80">
        <f t="shared" si="60"/>
        <v>0.6</v>
      </c>
      <c r="N517" s="80">
        <v>0.26</v>
      </c>
      <c r="O517" s="80">
        <f t="shared" si="61"/>
        <v>0.61</v>
      </c>
      <c r="P517" s="80">
        <v>0.34620000000000001</v>
      </c>
      <c r="Q517" s="80">
        <v>0.69640000000000002</v>
      </c>
      <c r="R517" s="80">
        <v>0.6</v>
      </c>
      <c r="S517" s="80">
        <v>0.61</v>
      </c>
    </row>
    <row r="518" spans="1:19" s="78" customFormat="1">
      <c r="A518" s="77">
        <f t="shared" si="64"/>
        <v>53205</v>
      </c>
      <c r="B518" s="77">
        <f t="shared" si="63"/>
        <v>53569</v>
      </c>
      <c r="C518" s="86">
        <f t="shared" si="65"/>
        <v>0.28100000000000003</v>
      </c>
      <c r="D518" s="86">
        <f t="shared" si="65"/>
        <v>0.32600000000000001</v>
      </c>
      <c r="E518" s="86">
        <f t="shared" si="65"/>
        <v>6.0999999999999999E-2</v>
      </c>
      <c r="F518" s="86">
        <f t="shared" si="65"/>
        <v>2.5999999999999999E-2</v>
      </c>
      <c r="G518" s="87">
        <v>0.28100000000000003</v>
      </c>
      <c r="H518" s="87">
        <v>0.32600000000000001</v>
      </c>
      <c r="I518" s="87">
        <v>6.0999999999999999E-2</v>
      </c>
      <c r="J518" s="87">
        <v>2.5999999999999999E-2</v>
      </c>
      <c r="K518" s="76">
        <f>(L518*4)</f>
        <v>30764</v>
      </c>
      <c r="L518" s="94">
        <f>L506*1.05</f>
        <v>7691.08</v>
      </c>
      <c r="M518" s="353">
        <f t="shared" si="60"/>
        <v>0.6</v>
      </c>
      <c r="N518" s="353">
        <v>0.26</v>
      </c>
      <c r="O518" s="353">
        <f t="shared" si="61"/>
        <v>0.61</v>
      </c>
      <c r="P518" s="353">
        <v>0.34620000000000001</v>
      </c>
      <c r="Q518" s="353">
        <v>0.69640000000000002</v>
      </c>
      <c r="R518" s="353">
        <v>0.6</v>
      </c>
      <c r="S518" s="353">
        <v>0.61</v>
      </c>
    </row>
    <row r="519" spans="1:19" s="78" customFormat="1">
      <c r="A519" s="77">
        <f t="shared" si="64"/>
        <v>53235</v>
      </c>
      <c r="B519" s="77">
        <f t="shared" si="63"/>
        <v>53599</v>
      </c>
      <c r="C519" s="86">
        <f t="shared" si="65"/>
        <v>0.28100000000000003</v>
      </c>
      <c r="D519" s="86">
        <f t="shared" si="65"/>
        <v>0.32600000000000001</v>
      </c>
      <c r="E519" s="86">
        <f t="shared" si="65"/>
        <v>6.0999999999999999E-2</v>
      </c>
      <c r="F519" s="86">
        <f t="shared" si="65"/>
        <v>2.5999999999999999E-2</v>
      </c>
      <c r="G519" s="87">
        <v>0.28100000000000003</v>
      </c>
      <c r="H519" s="87">
        <v>0.32600000000000001</v>
      </c>
      <c r="I519" s="87">
        <v>6.0999999999999999E-2</v>
      </c>
      <c r="J519" s="87">
        <v>2.5999999999999999E-2</v>
      </c>
      <c r="K519" s="76">
        <f>((11/3)*L518)+((1/3)*L530)</f>
        <v>30893</v>
      </c>
      <c r="L519" s="94"/>
      <c r="M519" s="353">
        <f t="shared" si="60"/>
        <v>0.6</v>
      </c>
      <c r="N519" s="353">
        <v>0.26</v>
      </c>
      <c r="O519" s="353">
        <f t="shared" si="61"/>
        <v>0.61</v>
      </c>
      <c r="P519" s="353">
        <v>0.34620000000000001</v>
      </c>
      <c r="Q519" s="353">
        <v>0.69640000000000002</v>
      </c>
      <c r="R519" s="353">
        <v>0.6</v>
      </c>
      <c r="S519" s="353">
        <v>0.61</v>
      </c>
    </row>
    <row r="520" spans="1:19" s="78" customFormat="1">
      <c r="A520" s="77">
        <f t="shared" si="64"/>
        <v>53266</v>
      </c>
      <c r="B520" s="77">
        <f t="shared" si="63"/>
        <v>53630</v>
      </c>
      <c r="C520" s="86">
        <f t="shared" si="65"/>
        <v>0.28100000000000003</v>
      </c>
      <c r="D520" s="86">
        <f t="shared" si="65"/>
        <v>0.32600000000000001</v>
      </c>
      <c r="E520" s="86">
        <f t="shared" si="65"/>
        <v>6.0999999999999999E-2</v>
      </c>
      <c r="F520" s="86">
        <f t="shared" si="65"/>
        <v>2.5999999999999999E-2</v>
      </c>
      <c r="G520" s="87">
        <v>0.28100000000000003</v>
      </c>
      <c r="H520" s="87">
        <v>0.32600000000000001</v>
      </c>
      <c r="I520" s="87">
        <v>6.0999999999999999E-2</v>
      </c>
      <c r="J520" s="87">
        <v>2.5999999999999999E-2</v>
      </c>
      <c r="K520" s="76">
        <f>((10/3)*L518)+((2/3)*L530)</f>
        <v>31021</v>
      </c>
      <c r="L520" s="94"/>
      <c r="M520" s="353">
        <f t="shared" si="60"/>
        <v>0.6</v>
      </c>
      <c r="N520" s="353">
        <v>0.26</v>
      </c>
      <c r="O520" s="353">
        <f t="shared" si="61"/>
        <v>0.61</v>
      </c>
      <c r="P520" s="353">
        <v>0.34620000000000001</v>
      </c>
      <c r="Q520" s="353">
        <v>0.69640000000000002</v>
      </c>
      <c r="R520" s="353">
        <v>0.6</v>
      </c>
      <c r="S520" s="353">
        <v>0.61</v>
      </c>
    </row>
    <row r="521" spans="1:19" s="78" customFormat="1">
      <c r="A521" s="77">
        <f t="shared" si="64"/>
        <v>53296</v>
      </c>
      <c r="B521" s="77">
        <f t="shared" si="63"/>
        <v>53660</v>
      </c>
      <c r="C521" s="86">
        <f t="shared" si="65"/>
        <v>0.28100000000000003</v>
      </c>
      <c r="D521" s="86">
        <f t="shared" si="65"/>
        <v>0.32600000000000001</v>
      </c>
      <c r="E521" s="86">
        <f t="shared" si="65"/>
        <v>6.0999999999999999E-2</v>
      </c>
      <c r="F521" s="86">
        <f t="shared" si="65"/>
        <v>2.5999999999999999E-2</v>
      </c>
      <c r="G521" s="87">
        <v>0.28100000000000003</v>
      </c>
      <c r="H521" s="87">
        <v>0.32600000000000001</v>
      </c>
      <c r="I521" s="87">
        <v>6.0999999999999999E-2</v>
      </c>
      <c r="J521" s="87">
        <v>2.5999999999999999E-2</v>
      </c>
      <c r="K521" s="76">
        <f>((9/3)*L518)+((3/3)*L530)</f>
        <v>31149</v>
      </c>
      <c r="L521" s="94"/>
      <c r="M521" s="353">
        <f t="shared" si="60"/>
        <v>0.6</v>
      </c>
      <c r="N521" s="353">
        <v>0.26</v>
      </c>
      <c r="O521" s="353">
        <f t="shared" si="61"/>
        <v>0.61</v>
      </c>
      <c r="P521" s="353">
        <v>0.34620000000000001</v>
      </c>
      <c r="Q521" s="353">
        <v>0.69640000000000002</v>
      </c>
      <c r="R521" s="353">
        <v>0.6</v>
      </c>
      <c r="S521" s="353">
        <v>0.61</v>
      </c>
    </row>
    <row r="522" spans="1:19" s="78" customFormat="1">
      <c r="A522" s="77">
        <f t="shared" si="64"/>
        <v>53327</v>
      </c>
      <c r="B522" s="77">
        <f t="shared" si="63"/>
        <v>53691</v>
      </c>
      <c r="C522" s="86">
        <f t="shared" si="65"/>
        <v>0.28100000000000003</v>
      </c>
      <c r="D522" s="86">
        <f t="shared" si="65"/>
        <v>0.32600000000000001</v>
      </c>
      <c r="E522" s="86">
        <f t="shared" si="65"/>
        <v>6.0999999999999999E-2</v>
      </c>
      <c r="F522" s="86">
        <f t="shared" si="65"/>
        <v>2.5999999999999999E-2</v>
      </c>
      <c r="G522" s="87">
        <v>0.28100000000000003</v>
      </c>
      <c r="H522" s="87">
        <v>0.32600000000000001</v>
      </c>
      <c r="I522" s="87">
        <v>6.0999999999999999E-2</v>
      </c>
      <c r="J522" s="87">
        <v>2.5999999999999999E-2</v>
      </c>
      <c r="K522" s="76">
        <f>((8/3)*L518)+((4/3)*L530)</f>
        <v>31277</v>
      </c>
      <c r="L522" s="94"/>
      <c r="M522" s="353">
        <f t="shared" si="60"/>
        <v>0.6</v>
      </c>
      <c r="N522" s="353">
        <v>0.26</v>
      </c>
      <c r="O522" s="353">
        <f t="shared" si="61"/>
        <v>0.61</v>
      </c>
      <c r="P522" s="353">
        <v>0.34620000000000001</v>
      </c>
      <c r="Q522" s="353">
        <v>0.69640000000000002</v>
      </c>
      <c r="R522" s="353">
        <v>0.6</v>
      </c>
      <c r="S522" s="353">
        <v>0.61</v>
      </c>
    </row>
    <row r="523" spans="1:19" s="78" customFormat="1">
      <c r="A523" s="77">
        <f t="shared" si="64"/>
        <v>53358</v>
      </c>
      <c r="B523" s="77">
        <f t="shared" si="63"/>
        <v>53722</v>
      </c>
      <c r="C523" s="86">
        <f t="shared" si="65"/>
        <v>0.28100000000000003</v>
      </c>
      <c r="D523" s="86">
        <f t="shared" si="65"/>
        <v>0.32600000000000001</v>
      </c>
      <c r="E523" s="86">
        <f t="shared" si="65"/>
        <v>6.0999999999999999E-2</v>
      </c>
      <c r="F523" s="86">
        <f t="shared" si="65"/>
        <v>2.5999999999999999E-2</v>
      </c>
      <c r="G523" s="87">
        <v>0.28100000000000003</v>
      </c>
      <c r="H523" s="87">
        <v>0.32600000000000001</v>
      </c>
      <c r="I523" s="87">
        <v>6.0999999999999999E-2</v>
      </c>
      <c r="J523" s="87">
        <v>2.5999999999999999E-2</v>
      </c>
      <c r="K523" s="76">
        <f>((7/3)*L518)+((5/3)*L530)</f>
        <v>31405</v>
      </c>
      <c r="L523" s="94"/>
      <c r="M523" s="353">
        <f t="shared" si="60"/>
        <v>0.6</v>
      </c>
      <c r="N523" s="353">
        <v>0.26</v>
      </c>
      <c r="O523" s="353">
        <f t="shared" si="61"/>
        <v>0.61</v>
      </c>
      <c r="P523" s="353">
        <v>0.34620000000000001</v>
      </c>
      <c r="Q523" s="353">
        <v>0.69640000000000002</v>
      </c>
      <c r="R523" s="353">
        <v>0.6</v>
      </c>
      <c r="S523" s="353">
        <v>0.61</v>
      </c>
    </row>
    <row r="524" spans="1:19" s="78" customFormat="1">
      <c r="A524" s="77">
        <f t="shared" si="64"/>
        <v>53386</v>
      </c>
      <c r="B524" s="77">
        <f t="shared" si="63"/>
        <v>53750</v>
      </c>
      <c r="C524" s="86">
        <f t="shared" si="65"/>
        <v>0.28100000000000003</v>
      </c>
      <c r="D524" s="86">
        <f t="shared" si="65"/>
        <v>0.32600000000000001</v>
      </c>
      <c r="E524" s="86">
        <f t="shared" si="65"/>
        <v>6.0999999999999999E-2</v>
      </c>
      <c r="F524" s="86">
        <f t="shared" si="65"/>
        <v>2.5999999999999999E-2</v>
      </c>
      <c r="G524" s="87">
        <v>0.28100000000000003</v>
      </c>
      <c r="H524" s="87">
        <v>0.32600000000000001</v>
      </c>
      <c r="I524" s="87">
        <v>6.0999999999999999E-2</v>
      </c>
      <c r="J524" s="87">
        <v>2.5999999999999999E-2</v>
      </c>
      <c r="K524" s="76">
        <f>((6/3)*L518)+((6/3)*L530)</f>
        <v>31533</v>
      </c>
      <c r="L524" s="94"/>
      <c r="M524" s="353">
        <f t="shared" si="60"/>
        <v>0.6</v>
      </c>
      <c r="N524" s="353">
        <v>0.26</v>
      </c>
      <c r="O524" s="353">
        <f t="shared" si="61"/>
        <v>0.61</v>
      </c>
      <c r="P524" s="353">
        <v>0.34620000000000001</v>
      </c>
      <c r="Q524" s="353">
        <v>0.69640000000000002</v>
      </c>
      <c r="R524" s="353">
        <v>0.6</v>
      </c>
      <c r="S524" s="353">
        <v>0.61</v>
      </c>
    </row>
    <row r="525" spans="1:19" s="78" customFormat="1">
      <c r="A525" s="77">
        <f t="shared" si="64"/>
        <v>53417</v>
      </c>
      <c r="B525" s="77">
        <f t="shared" si="63"/>
        <v>53781</v>
      </c>
      <c r="C525" s="86">
        <f t="shared" si="65"/>
        <v>0.28100000000000003</v>
      </c>
      <c r="D525" s="86">
        <f t="shared" si="65"/>
        <v>0.32600000000000001</v>
      </c>
      <c r="E525" s="86">
        <f t="shared" si="65"/>
        <v>6.0999999999999999E-2</v>
      </c>
      <c r="F525" s="86">
        <f t="shared" si="65"/>
        <v>2.5999999999999999E-2</v>
      </c>
      <c r="G525" s="87">
        <v>0.28100000000000003</v>
      </c>
      <c r="H525" s="87">
        <v>0.32600000000000001</v>
      </c>
      <c r="I525" s="87">
        <v>6.0999999999999999E-2</v>
      </c>
      <c r="J525" s="87">
        <v>2.5999999999999999E-2</v>
      </c>
      <c r="K525" s="76">
        <f>((5/3)*L518)+((7/3)*L530)</f>
        <v>31662</v>
      </c>
      <c r="L525" s="94"/>
      <c r="M525" s="353">
        <f t="shared" si="60"/>
        <v>0.6</v>
      </c>
      <c r="N525" s="353">
        <v>0.26</v>
      </c>
      <c r="O525" s="353">
        <f t="shared" si="61"/>
        <v>0.61</v>
      </c>
      <c r="P525" s="353">
        <v>0.34620000000000001</v>
      </c>
      <c r="Q525" s="353">
        <v>0.69640000000000002</v>
      </c>
      <c r="R525" s="353">
        <v>0.6</v>
      </c>
      <c r="S525" s="353">
        <v>0.61</v>
      </c>
    </row>
    <row r="526" spans="1:19" s="78" customFormat="1">
      <c r="A526" s="77">
        <f t="shared" si="64"/>
        <v>53447</v>
      </c>
      <c r="B526" s="77">
        <f t="shared" si="63"/>
        <v>53811</v>
      </c>
      <c r="C526" s="86">
        <f t="shared" si="65"/>
        <v>0.28100000000000003</v>
      </c>
      <c r="D526" s="86">
        <f t="shared" si="65"/>
        <v>0.32600000000000001</v>
      </c>
      <c r="E526" s="86">
        <f t="shared" si="65"/>
        <v>6.0999999999999999E-2</v>
      </c>
      <c r="F526" s="86">
        <f t="shared" si="65"/>
        <v>2.5999999999999999E-2</v>
      </c>
      <c r="G526" s="87">
        <v>0.28100000000000003</v>
      </c>
      <c r="H526" s="87">
        <v>0.32600000000000001</v>
      </c>
      <c r="I526" s="87">
        <v>6.0999999999999999E-2</v>
      </c>
      <c r="J526" s="87">
        <v>2.5999999999999999E-2</v>
      </c>
      <c r="K526" s="76">
        <f>((4/3)*L518)+((8/3)*L530)</f>
        <v>31790</v>
      </c>
      <c r="L526" s="94"/>
      <c r="M526" s="353">
        <f t="shared" si="60"/>
        <v>0.6</v>
      </c>
      <c r="N526" s="353">
        <v>0.26</v>
      </c>
      <c r="O526" s="353">
        <f t="shared" si="61"/>
        <v>0.61</v>
      </c>
      <c r="P526" s="353">
        <v>0.34620000000000001</v>
      </c>
      <c r="Q526" s="353">
        <v>0.69640000000000002</v>
      </c>
      <c r="R526" s="353">
        <v>0.6</v>
      </c>
      <c r="S526" s="353">
        <v>0.61</v>
      </c>
    </row>
    <row r="527" spans="1:19" s="78" customFormat="1">
      <c r="A527" s="77">
        <f t="shared" si="64"/>
        <v>53478</v>
      </c>
      <c r="B527" s="77">
        <f t="shared" si="63"/>
        <v>53842</v>
      </c>
      <c r="C527" s="86">
        <f t="shared" si="65"/>
        <v>0.28100000000000003</v>
      </c>
      <c r="D527" s="86">
        <f t="shared" si="65"/>
        <v>0.32600000000000001</v>
      </c>
      <c r="E527" s="86">
        <f t="shared" si="65"/>
        <v>6.0999999999999999E-2</v>
      </c>
      <c r="F527" s="86">
        <f t="shared" si="65"/>
        <v>2.5999999999999999E-2</v>
      </c>
      <c r="G527" s="87">
        <v>0.28100000000000003</v>
      </c>
      <c r="H527" s="87">
        <v>0.32600000000000001</v>
      </c>
      <c r="I527" s="87">
        <v>6.0999999999999999E-2</v>
      </c>
      <c r="J527" s="87">
        <v>2.5999999999999999E-2</v>
      </c>
      <c r="K527" s="76">
        <f>((3/3)*L518)+((9/3)*L530)</f>
        <v>31918</v>
      </c>
      <c r="L527" s="94"/>
      <c r="M527" s="353">
        <f t="shared" si="60"/>
        <v>0.6</v>
      </c>
      <c r="N527" s="353">
        <v>0.26</v>
      </c>
      <c r="O527" s="353">
        <f t="shared" si="61"/>
        <v>0.61</v>
      </c>
      <c r="P527" s="353">
        <v>0.34620000000000001</v>
      </c>
      <c r="Q527" s="353">
        <v>0.69640000000000002</v>
      </c>
      <c r="R527" s="353">
        <v>0.6</v>
      </c>
      <c r="S527" s="353">
        <v>0.61</v>
      </c>
    </row>
    <row r="528" spans="1:19" s="78" customFormat="1">
      <c r="A528" s="77">
        <f t="shared" si="64"/>
        <v>53508</v>
      </c>
      <c r="B528" s="77">
        <f t="shared" si="63"/>
        <v>53872</v>
      </c>
      <c r="C528" s="86">
        <f t="shared" si="65"/>
        <v>0.28100000000000003</v>
      </c>
      <c r="D528" s="86">
        <f t="shared" si="65"/>
        <v>0.32600000000000001</v>
      </c>
      <c r="E528" s="86">
        <f t="shared" si="65"/>
        <v>6.0999999999999999E-2</v>
      </c>
      <c r="F528" s="86">
        <f t="shared" si="65"/>
        <v>2.5999999999999999E-2</v>
      </c>
      <c r="G528" s="87">
        <v>0.28100000000000003</v>
      </c>
      <c r="H528" s="87">
        <v>0.32600000000000001</v>
      </c>
      <c r="I528" s="87">
        <v>6.0999999999999999E-2</v>
      </c>
      <c r="J528" s="87">
        <v>2.5999999999999999E-2</v>
      </c>
      <c r="K528" s="76">
        <f>((2/3)*L518)+((10/3)*L530)</f>
        <v>32046</v>
      </c>
      <c r="L528" s="94"/>
      <c r="M528" s="353">
        <f t="shared" si="60"/>
        <v>0.6</v>
      </c>
      <c r="N528" s="353">
        <v>0.26</v>
      </c>
      <c r="O528" s="353">
        <f t="shared" si="61"/>
        <v>0.61</v>
      </c>
      <c r="P528" s="353">
        <v>0.34620000000000001</v>
      </c>
      <c r="Q528" s="353">
        <v>0.69640000000000002</v>
      </c>
      <c r="R528" s="353">
        <v>0.6</v>
      </c>
      <c r="S528" s="353">
        <v>0.61</v>
      </c>
    </row>
    <row r="529" spans="1:19" s="78" customFormat="1">
      <c r="A529" s="77">
        <f t="shared" si="64"/>
        <v>53539</v>
      </c>
      <c r="B529" s="77">
        <f t="shared" si="63"/>
        <v>53903</v>
      </c>
      <c r="C529" s="86">
        <f t="shared" si="65"/>
        <v>0.28100000000000003</v>
      </c>
      <c r="D529" s="86">
        <f t="shared" si="65"/>
        <v>0.32600000000000001</v>
      </c>
      <c r="E529" s="86">
        <f t="shared" si="65"/>
        <v>6.0999999999999999E-2</v>
      </c>
      <c r="F529" s="86">
        <f t="shared" si="65"/>
        <v>2.5999999999999999E-2</v>
      </c>
      <c r="G529" s="87">
        <v>0.28100000000000003</v>
      </c>
      <c r="H529" s="87">
        <v>0.32600000000000001</v>
      </c>
      <c r="I529" s="87">
        <v>6.0999999999999999E-2</v>
      </c>
      <c r="J529" s="87">
        <v>2.5999999999999999E-2</v>
      </c>
      <c r="K529" s="76">
        <f>((1/3)*L518)+((11/3)*L530)</f>
        <v>32174</v>
      </c>
      <c r="L529" s="94"/>
      <c r="M529" s="353">
        <f t="shared" si="60"/>
        <v>0.6</v>
      </c>
      <c r="N529" s="353">
        <v>0.26</v>
      </c>
      <c r="O529" s="353">
        <f t="shared" si="61"/>
        <v>0.61</v>
      </c>
      <c r="P529" s="353">
        <v>0.34620000000000001</v>
      </c>
      <c r="Q529" s="353">
        <v>0.69640000000000002</v>
      </c>
      <c r="R529" s="353">
        <v>0.6</v>
      </c>
      <c r="S529" s="353">
        <v>0.61</v>
      </c>
    </row>
    <row r="530" spans="1:19">
      <c r="A530" s="19">
        <f t="shared" si="64"/>
        <v>53570</v>
      </c>
      <c r="B530" s="19">
        <f t="shared" si="63"/>
        <v>53934</v>
      </c>
      <c r="C530" s="84">
        <f t="shared" si="65"/>
        <v>0.28100000000000003</v>
      </c>
      <c r="D530" s="84">
        <f t="shared" si="65"/>
        <v>0.32600000000000001</v>
      </c>
      <c r="E530" s="84">
        <f t="shared" si="65"/>
        <v>6.0999999999999999E-2</v>
      </c>
      <c r="F530" s="84">
        <f t="shared" si="65"/>
        <v>2.5999999999999999E-2</v>
      </c>
      <c r="G530" s="85">
        <v>0.28100000000000003</v>
      </c>
      <c r="H530" s="85">
        <v>0.32600000000000001</v>
      </c>
      <c r="I530" s="85">
        <v>6.0999999999999999E-2</v>
      </c>
      <c r="J530" s="85">
        <v>2.5999999999999999E-2</v>
      </c>
      <c r="K530" s="25">
        <f>(L530*4)</f>
        <v>32303</v>
      </c>
      <c r="L530" s="93">
        <f>L518*1.05</f>
        <v>8075.63</v>
      </c>
      <c r="M530" s="80">
        <f t="shared" si="60"/>
        <v>0.6</v>
      </c>
      <c r="N530" s="80">
        <v>0.26</v>
      </c>
      <c r="O530" s="80">
        <f t="shared" si="61"/>
        <v>0.61</v>
      </c>
      <c r="P530" s="80">
        <v>0.34620000000000001</v>
      </c>
      <c r="Q530" s="80">
        <v>0.69640000000000002</v>
      </c>
      <c r="R530" s="80">
        <v>0.6</v>
      </c>
      <c r="S530" s="80">
        <v>0.61</v>
      </c>
    </row>
    <row r="531" spans="1:19">
      <c r="A531" s="19">
        <f t="shared" si="64"/>
        <v>53600</v>
      </c>
      <c r="B531" s="19">
        <f t="shared" si="63"/>
        <v>53964</v>
      </c>
      <c r="C531" s="84">
        <f t="shared" ref="C531:F546" si="66">AVERAGE(G531:G542)</f>
        <v>0.28100000000000003</v>
      </c>
      <c r="D531" s="84">
        <f t="shared" si="66"/>
        <v>0.32600000000000001</v>
      </c>
      <c r="E531" s="84">
        <f t="shared" si="66"/>
        <v>6.0999999999999999E-2</v>
      </c>
      <c r="F531" s="84">
        <f t="shared" si="66"/>
        <v>2.5999999999999999E-2</v>
      </c>
      <c r="G531" s="85">
        <v>0.28100000000000003</v>
      </c>
      <c r="H531" s="85">
        <v>0.32600000000000001</v>
      </c>
      <c r="I531" s="85">
        <v>6.0999999999999999E-2</v>
      </c>
      <c r="J531" s="85">
        <v>2.5999999999999999E-2</v>
      </c>
      <c r="K531" s="25">
        <f>((11/3)*L530)+((1/3)*L542)</f>
        <v>32437</v>
      </c>
      <c r="L531" s="93"/>
      <c r="M531" s="80">
        <f t="shared" si="60"/>
        <v>0.6</v>
      </c>
      <c r="N531" s="80">
        <v>0.26</v>
      </c>
      <c r="O531" s="80">
        <f t="shared" si="61"/>
        <v>0.61</v>
      </c>
      <c r="P531" s="80">
        <v>0.34620000000000001</v>
      </c>
      <c r="Q531" s="80">
        <v>0.69640000000000002</v>
      </c>
      <c r="R531" s="80">
        <v>0.6</v>
      </c>
      <c r="S531" s="80">
        <v>0.61</v>
      </c>
    </row>
    <row r="532" spans="1:19">
      <c r="A532" s="19">
        <f t="shared" si="64"/>
        <v>53631</v>
      </c>
      <c r="B532" s="19">
        <f t="shared" si="63"/>
        <v>53995</v>
      </c>
      <c r="C532" s="84">
        <f t="shared" si="66"/>
        <v>0.28100000000000003</v>
      </c>
      <c r="D532" s="84">
        <f t="shared" si="66"/>
        <v>0.32600000000000001</v>
      </c>
      <c r="E532" s="84">
        <f t="shared" si="66"/>
        <v>6.0999999999999999E-2</v>
      </c>
      <c r="F532" s="84">
        <f t="shared" si="66"/>
        <v>2.5999999999999999E-2</v>
      </c>
      <c r="G532" s="85">
        <v>0.28100000000000003</v>
      </c>
      <c r="H532" s="85">
        <v>0.32600000000000001</v>
      </c>
      <c r="I532" s="85">
        <v>6.0999999999999999E-2</v>
      </c>
      <c r="J532" s="85">
        <v>2.5999999999999999E-2</v>
      </c>
      <c r="K532" s="25">
        <f>((10/3)*L530)+((2/3)*L542)</f>
        <v>32572</v>
      </c>
      <c r="L532" s="93"/>
      <c r="M532" s="80">
        <f t="shared" si="60"/>
        <v>0.6</v>
      </c>
      <c r="N532" s="80">
        <v>0.26</v>
      </c>
      <c r="O532" s="80">
        <f t="shared" si="61"/>
        <v>0.61</v>
      </c>
      <c r="P532" s="80">
        <v>0.34620000000000001</v>
      </c>
      <c r="Q532" s="80">
        <v>0.69640000000000002</v>
      </c>
      <c r="R532" s="80">
        <v>0.6</v>
      </c>
      <c r="S532" s="80">
        <v>0.61</v>
      </c>
    </row>
    <row r="533" spans="1:19">
      <c r="A533" s="19">
        <f t="shared" si="64"/>
        <v>53661</v>
      </c>
      <c r="B533" s="19">
        <f t="shared" si="63"/>
        <v>54025</v>
      </c>
      <c r="C533" s="84">
        <f t="shared" si="66"/>
        <v>0.28100000000000003</v>
      </c>
      <c r="D533" s="84">
        <f t="shared" si="66"/>
        <v>0.32600000000000001</v>
      </c>
      <c r="E533" s="84">
        <f t="shared" si="66"/>
        <v>6.0999999999999999E-2</v>
      </c>
      <c r="F533" s="84">
        <f t="shared" si="66"/>
        <v>2.5999999999999999E-2</v>
      </c>
      <c r="G533" s="85">
        <v>0.28100000000000003</v>
      </c>
      <c r="H533" s="85">
        <v>0.32600000000000001</v>
      </c>
      <c r="I533" s="85">
        <v>6.0999999999999999E-2</v>
      </c>
      <c r="J533" s="85">
        <v>2.5999999999999999E-2</v>
      </c>
      <c r="K533" s="25">
        <f>((9/3)*L530)+((3/3)*L542)</f>
        <v>32706</v>
      </c>
      <c r="L533" s="93"/>
      <c r="M533" s="80">
        <f t="shared" si="60"/>
        <v>0.6</v>
      </c>
      <c r="N533" s="80">
        <v>0.26</v>
      </c>
      <c r="O533" s="80">
        <f t="shared" si="61"/>
        <v>0.61</v>
      </c>
      <c r="P533" s="80">
        <v>0.34620000000000001</v>
      </c>
      <c r="Q533" s="80">
        <v>0.69640000000000002</v>
      </c>
      <c r="R533" s="80">
        <v>0.6</v>
      </c>
      <c r="S533" s="80">
        <v>0.61</v>
      </c>
    </row>
    <row r="534" spans="1:19">
      <c r="A534" s="19">
        <f t="shared" si="64"/>
        <v>53692</v>
      </c>
      <c r="B534" s="19">
        <f t="shared" si="63"/>
        <v>54056</v>
      </c>
      <c r="C534" s="84">
        <f t="shared" si="66"/>
        <v>0.28100000000000003</v>
      </c>
      <c r="D534" s="84">
        <f t="shared" si="66"/>
        <v>0.32600000000000001</v>
      </c>
      <c r="E534" s="84">
        <f t="shared" si="66"/>
        <v>6.0999999999999999E-2</v>
      </c>
      <c r="F534" s="84">
        <f t="shared" si="66"/>
        <v>2.5999999999999999E-2</v>
      </c>
      <c r="G534" s="85">
        <v>0.28100000000000003</v>
      </c>
      <c r="H534" s="85">
        <v>0.32600000000000001</v>
      </c>
      <c r="I534" s="85">
        <v>6.0999999999999999E-2</v>
      </c>
      <c r="J534" s="85">
        <v>2.5999999999999999E-2</v>
      </c>
      <c r="K534" s="25">
        <f>((8/3)*L530)+((4/3)*L542)</f>
        <v>32841</v>
      </c>
      <c r="L534" s="93"/>
      <c r="M534" s="80">
        <f t="shared" si="60"/>
        <v>0.6</v>
      </c>
      <c r="N534" s="80">
        <v>0.26</v>
      </c>
      <c r="O534" s="80">
        <f t="shared" si="61"/>
        <v>0.61</v>
      </c>
      <c r="P534" s="80">
        <v>0.34620000000000001</v>
      </c>
      <c r="Q534" s="80">
        <v>0.69640000000000002</v>
      </c>
      <c r="R534" s="80">
        <v>0.6</v>
      </c>
      <c r="S534" s="80">
        <v>0.61</v>
      </c>
    </row>
    <row r="535" spans="1:19">
      <c r="A535" s="19">
        <f t="shared" si="64"/>
        <v>53723</v>
      </c>
      <c r="B535" s="19">
        <f t="shared" si="63"/>
        <v>54087</v>
      </c>
      <c r="C535" s="84">
        <f t="shared" si="66"/>
        <v>0.28100000000000003</v>
      </c>
      <c r="D535" s="84">
        <f t="shared" si="66"/>
        <v>0.32600000000000001</v>
      </c>
      <c r="E535" s="84">
        <f t="shared" si="66"/>
        <v>6.0999999999999999E-2</v>
      </c>
      <c r="F535" s="84">
        <f t="shared" si="66"/>
        <v>2.5999999999999999E-2</v>
      </c>
      <c r="G535" s="85">
        <v>0.28100000000000003</v>
      </c>
      <c r="H535" s="85">
        <v>0.32600000000000001</v>
      </c>
      <c r="I535" s="85">
        <v>6.0999999999999999E-2</v>
      </c>
      <c r="J535" s="85">
        <v>2.5999999999999999E-2</v>
      </c>
      <c r="K535" s="25">
        <f>((7/3)*L530)+((5/3)*L542)</f>
        <v>32975</v>
      </c>
      <c r="L535" s="93"/>
      <c r="M535" s="80">
        <f t="shared" si="60"/>
        <v>0.6</v>
      </c>
      <c r="N535" s="80">
        <v>0.26</v>
      </c>
      <c r="O535" s="80">
        <f t="shared" si="61"/>
        <v>0.61</v>
      </c>
      <c r="P535" s="80">
        <v>0.34620000000000001</v>
      </c>
      <c r="Q535" s="80">
        <v>0.69640000000000002</v>
      </c>
      <c r="R535" s="80">
        <v>0.6</v>
      </c>
      <c r="S535" s="80">
        <v>0.61</v>
      </c>
    </row>
    <row r="536" spans="1:19">
      <c r="A536" s="19">
        <f t="shared" si="64"/>
        <v>53751</v>
      </c>
      <c r="B536" s="19">
        <f t="shared" si="63"/>
        <v>54116</v>
      </c>
      <c r="C536" s="84">
        <f t="shared" si="66"/>
        <v>0.28100000000000003</v>
      </c>
      <c r="D536" s="84">
        <f t="shared" si="66"/>
        <v>0.32600000000000001</v>
      </c>
      <c r="E536" s="84">
        <f t="shared" si="66"/>
        <v>6.0999999999999999E-2</v>
      </c>
      <c r="F536" s="84">
        <f t="shared" si="66"/>
        <v>2.5999999999999999E-2</v>
      </c>
      <c r="G536" s="85">
        <v>0.28100000000000003</v>
      </c>
      <c r="H536" s="85">
        <v>0.32600000000000001</v>
      </c>
      <c r="I536" s="85">
        <v>6.0999999999999999E-2</v>
      </c>
      <c r="J536" s="85">
        <v>2.5999999999999999E-2</v>
      </c>
      <c r="K536" s="25">
        <f>((6/3)*L530)+((6/3)*L542)</f>
        <v>33110</v>
      </c>
      <c r="L536" s="93"/>
      <c r="M536" s="80">
        <f t="shared" si="60"/>
        <v>0.6</v>
      </c>
      <c r="N536" s="80">
        <v>0.26</v>
      </c>
      <c r="O536" s="80">
        <f t="shared" si="61"/>
        <v>0.61</v>
      </c>
      <c r="P536" s="80">
        <v>0.34620000000000001</v>
      </c>
      <c r="Q536" s="80">
        <v>0.69640000000000002</v>
      </c>
      <c r="R536" s="80">
        <v>0.6</v>
      </c>
      <c r="S536" s="80">
        <v>0.61</v>
      </c>
    </row>
    <row r="537" spans="1:19">
      <c r="A537" s="19">
        <f t="shared" si="64"/>
        <v>53782</v>
      </c>
      <c r="B537" s="19">
        <f t="shared" si="63"/>
        <v>54147</v>
      </c>
      <c r="C537" s="84">
        <f t="shared" si="66"/>
        <v>0.28100000000000003</v>
      </c>
      <c r="D537" s="84">
        <f t="shared" si="66"/>
        <v>0.32600000000000001</v>
      </c>
      <c r="E537" s="84">
        <f t="shared" si="66"/>
        <v>6.0999999999999999E-2</v>
      </c>
      <c r="F537" s="84">
        <f t="shared" si="66"/>
        <v>2.5999999999999999E-2</v>
      </c>
      <c r="G537" s="85">
        <v>0.28100000000000003</v>
      </c>
      <c r="H537" s="85">
        <v>0.32600000000000001</v>
      </c>
      <c r="I537" s="85">
        <v>6.0999999999999999E-2</v>
      </c>
      <c r="J537" s="85">
        <v>2.5999999999999999E-2</v>
      </c>
      <c r="K537" s="25">
        <f>((5/3)*L530)+((7/3)*L542)</f>
        <v>33245</v>
      </c>
      <c r="L537" s="93"/>
      <c r="M537" s="80">
        <f t="shared" si="60"/>
        <v>0.6</v>
      </c>
      <c r="N537" s="80">
        <v>0.26</v>
      </c>
      <c r="O537" s="80">
        <f t="shared" si="61"/>
        <v>0.61</v>
      </c>
      <c r="P537" s="80">
        <v>0.34620000000000001</v>
      </c>
      <c r="Q537" s="80">
        <v>0.69640000000000002</v>
      </c>
      <c r="R537" s="80">
        <v>0.6</v>
      </c>
      <c r="S537" s="80">
        <v>0.61</v>
      </c>
    </row>
    <row r="538" spans="1:19">
      <c r="A538" s="19">
        <f t="shared" si="64"/>
        <v>53812</v>
      </c>
      <c r="B538" s="19">
        <f t="shared" si="63"/>
        <v>54177</v>
      </c>
      <c r="C538" s="84">
        <f t="shared" si="66"/>
        <v>0.28100000000000003</v>
      </c>
      <c r="D538" s="84">
        <f t="shared" si="66"/>
        <v>0.32600000000000001</v>
      </c>
      <c r="E538" s="84">
        <f t="shared" si="66"/>
        <v>6.0999999999999999E-2</v>
      </c>
      <c r="F538" s="84">
        <f t="shared" si="66"/>
        <v>2.5999999999999999E-2</v>
      </c>
      <c r="G538" s="85">
        <v>0.28100000000000003</v>
      </c>
      <c r="H538" s="85">
        <v>0.32600000000000001</v>
      </c>
      <c r="I538" s="85">
        <v>6.0999999999999999E-2</v>
      </c>
      <c r="J538" s="85">
        <v>2.5999999999999999E-2</v>
      </c>
      <c r="K538" s="25">
        <f>((4/3)*L530)+((8/3)*L542)</f>
        <v>33379</v>
      </c>
      <c r="L538" s="93"/>
      <c r="M538" s="80">
        <f t="shared" si="60"/>
        <v>0.6</v>
      </c>
      <c r="N538" s="80">
        <v>0.26</v>
      </c>
      <c r="O538" s="80">
        <f t="shared" si="61"/>
        <v>0.61</v>
      </c>
      <c r="P538" s="80">
        <v>0.34620000000000001</v>
      </c>
      <c r="Q538" s="80">
        <v>0.69640000000000002</v>
      </c>
      <c r="R538" s="80">
        <v>0.6</v>
      </c>
      <c r="S538" s="80">
        <v>0.61</v>
      </c>
    </row>
    <row r="539" spans="1:19">
      <c r="A539" s="19">
        <f t="shared" si="64"/>
        <v>53843</v>
      </c>
      <c r="B539" s="19">
        <f t="shared" si="63"/>
        <v>54208</v>
      </c>
      <c r="C539" s="84">
        <f t="shared" si="66"/>
        <v>0.28100000000000003</v>
      </c>
      <c r="D539" s="84">
        <f t="shared" si="66"/>
        <v>0.32600000000000001</v>
      </c>
      <c r="E539" s="84">
        <f t="shared" si="66"/>
        <v>6.0999999999999999E-2</v>
      </c>
      <c r="F539" s="84">
        <f t="shared" si="66"/>
        <v>2.5999999999999999E-2</v>
      </c>
      <c r="G539" s="85">
        <v>0.28100000000000003</v>
      </c>
      <c r="H539" s="85">
        <v>0.32600000000000001</v>
      </c>
      <c r="I539" s="85">
        <v>6.0999999999999999E-2</v>
      </c>
      <c r="J539" s="85">
        <v>2.5999999999999999E-2</v>
      </c>
      <c r="K539" s="25">
        <f>((3/3)*L530)+((9/3)*L542)</f>
        <v>33514</v>
      </c>
      <c r="L539" s="93"/>
      <c r="M539" s="80">
        <f t="shared" si="60"/>
        <v>0.6</v>
      </c>
      <c r="N539" s="80">
        <v>0.26</v>
      </c>
      <c r="O539" s="80">
        <f t="shared" si="61"/>
        <v>0.61</v>
      </c>
      <c r="P539" s="80">
        <v>0.34620000000000001</v>
      </c>
      <c r="Q539" s="80">
        <v>0.69640000000000002</v>
      </c>
      <c r="R539" s="80">
        <v>0.6</v>
      </c>
      <c r="S539" s="80">
        <v>0.61</v>
      </c>
    </row>
    <row r="540" spans="1:19">
      <c r="A540" s="19">
        <f t="shared" si="64"/>
        <v>53873</v>
      </c>
      <c r="B540" s="19">
        <f t="shared" si="63"/>
        <v>54238</v>
      </c>
      <c r="C540" s="84">
        <f t="shared" si="66"/>
        <v>0.28100000000000003</v>
      </c>
      <c r="D540" s="84">
        <f t="shared" si="66"/>
        <v>0.32600000000000001</v>
      </c>
      <c r="E540" s="84">
        <f t="shared" si="66"/>
        <v>6.0999999999999999E-2</v>
      </c>
      <c r="F540" s="84">
        <f t="shared" si="66"/>
        <v>2.5999999999999999E-2</v>
      </c>
      <c r="G540" s="85">
        <v>0.28100000000000003</v>
      </c>
      <c r="H540" s="85">
        <v>0.32600000000000001</v>
      </c>
      <c r="I540" s="85">
        <v>6.0999999999999999E-2</v>
      </c>
      <c r="J540" s="85">
        <v>2.5999999999999999E-2</v>
      </c>
      <c r="K540" s="25">
        <f>((2/3)*L530)+((10/3)*L542)</f>
        <v>33648</v>
      </c>
      <c r="L540" s="93"/>
      <c r="M540" s="80">
        <f t="shared" si="60"/>
        <v>0.6</v>
      </c>
      <c r="N540" s="80">
        <v>0.26</v>
      </c>
      <c r="O540" s="80">
        <f t="shared" si="61"/>
        <v>0.61</v>
      </c>
      <c r="P540" s="80">
        <v>0.34620000000000001</v>
      </c>
      <c r="Q540" s="80">
        <v>0.69640000000000002</v>
      </c>
      <c r="R540" s="80">
        <v>0.6</v>
      </c>
      <c r="S540" s="80">
        <v>0.61</v>
      </c>
    </row>
    <row r="541" spans="1:19">
      <c r="A541" s="19">
        <f t="shared" si="64"/>
        <v>53904</v>
      </c>
      <c r="B541" s="19">
        <f t="shared" si="63"/>
        <v>54269</v>
      </c>
      <c r="C541" s="81">
        <f t="shared" si="66"/>
        <v>0.28100000000000003</v>
      </c>
      <c r="D541" s="81">
        <f t="shared" si="66"/>
        <v>0.32600000000000001</v>
      </c>
      <c r="E541" s="81">
        <f t="shared" si="66"/>
        <v>6.0999999999999999E-2</v>
      </c>
      <c r="F541" s="81">
        <f t="shared" si="66"/>
        <v>2.5999999999999999E-2</v>
      </c>
      <c r="G541" s="85">
        <v>0.28100000000000003</v>
      </c>
      <c r="H541" s="85">
        <v>0.32600000000000001</v>
      </c>
      <c r="I541" s="85">
        <v>6.0999999999999999E-2</v>
      </c>
      <c r="J541" s="85">
        <v>2.5999999999999999E-2</v>
      </c>
      <c r="K541" s="25">
        <f>((1/3)*L530)+((11/3)*L542)</f>
        <v>33783</v>
      </c>
      <c r="L541" s="93"/>
      <c r="M541" s="80">
        <f t="shared" si="60"/>
        <v>0.6</v>
      </c>
      <c r="N541" s="80">
        <v>0.26</v>
      </c>
      <c r="O541" s="80">
        <f t="shared" si="61"/>
        <v>0.61</v>
      </c>
      <c r="P541" s="80">
        <v>0.34620000000000001</v>
      </c>
      <c r="Q541" s="80">
        <v>0.69640000000000002</v>
      </c>
      <c r="R541" s="80">
        <v>0.6</v>
      </c>
      <c r="S541" s="80">
        <v>0.61</v>
      </c>
    </row>
    <row r="542" spans="1:19" s="78" customFormat="1">
      <c r="A542" s="77">
        <f t="shared" si="64"/>
        <v>53935</v>
      </c>
      <c r="B542" s="77">
        <f t="shared" si="63"/>
        <v>54300</v>
      </c>
      <c r="C542" s="86">
        <f t="shared" si="66"/>
        <v>0.28100000000000003</v>
      </c>
      <c r="D542" s="86">
        <f t="shared" si="66"/>
        <v>0.32600000000000001</v>
      </c>
      <c r="E542" s="86">
        <f t="shared" si="66"/>
        <v>6.0999999999999999E-2</v>
      </c>
      <c r="F542" s="86">
        <f t="shared" si="66"/>
        <v>2.5999999999999999E-2</v>
      </c>
      <c r="G542" s="87">
        <v>0.28100000000000003</v>
      </c>
      <c r="H542" s="87">
        <v>0.32600000000000001</v>
      </c>
      <c r="I542" s="87">
        <v>6.0999999999999999E-2</v>
      </c>
      <c r="J542" s="87">
        <v>2.5999999999999999E-2</v>
      </c>
      <c r="K542" s="76">
        <f>(L542*4)</f>
        <v>33918</v>
      </c>
      <c r="L542" s="94">
        <f>L530*1.05</f>
        <v>8479.41</v>
      </c>
      <c r="M542" s="353">
        <f t="shared" si="60"/>
        <v>0.6</v>
      </c>
      <c r="N542" s="353">
        <v>0.26</v>
      </c>
      <c r="O542" s="353">
        <f t="shared" si="61"/>
        <v>0.61</v>
      </c>
      <c r="P542" s="353">
        <v>0.34620000000000001</v>
      </c>
      <c r="Q542" s="353">
        <v>0.69640000000000002</v>
      </c>
      <c r="R542" s="353">
        <v>0.6</v>
      </c>
      <c r="S542" s="353">
        <v>0.61</v>
      </c>
    </row>
    <row r="543" spans="1:19" s="78" customFormat="1">
      <c r="A543" s="77">
        <f t="shared" si="64"/>
        <v>53965</v>
      </c>
      <c r="B543" s="77">
        <f t="shared" si="63"/>
        <v>54330</v>
      </c>
      <c r="C543" s="86">
        <f t="shared" si="66"/>
        <v>0.28100000000000003</v>
      </c>
      <c r="D543" s="86">
        <f t="shared" si="66"/>
        <v>0.32600000000000001</v>
      </c>
      <c r="E543" s="86">
        <f t="shared" si="66"/>
        <v>6.0999999999999999E-2</v>
      </c>
      <c r="F543" s="86">
        <f t="shared" si="66"/>
        <v>2.5999999999999999E-2</v>
      </c>
      <c r="G543" s="87">
        <v>0.28100000000000003</v>
      </c>
      <c r="H543" s="87">
        <v>0.32600000000000001</v>
      </c>
      <c r="I543" s="87">
        <v>6.0999999999999999E-2</v>
      </c>
      <c r="J543" s="87">
        <v>2.5999999999999999E-2</v>
      </c>
      <c r="K543" s="76">
        <f>((11/3)*L542)+((1/3)*L554)</f>
        <v>34059</v>
      </c>
      <c r="L543" s="94"/>
      <c r="M543" s="353">
        <f t="shared" si="60"/>
        <v>0.6</v>
      </c>
      <c r="N543" s="353">
        <v>0.26</v>
      </c>
      <c r="O543" s="353">
        <f t="shared" si="61"/>
        <v>0.61</v>
      </c>
      <c r="P543" s="353">
        <v>0.34620000000000001</v>
      </c>
      <c r="Q543" s="353">
        <v>0.69640000000000002</v>
      </c>
      <c r="R543" s="353">
        <v>0.6</v>
      </c>
      <c r="S543" s="353">
        <v>0.61</v>
      </c>
    </row>
    <row r="544" spans="1:19" s="78" customFormat="1">
      <c r="A544" s="77">
        <f t="shared" si="64"/>
        <v>53996</v>
      </c>
      <c r="B544" s="77">
        <f t="shared" si="63"/>
        <v>54361</v>
      </c>
      <c r="C544" s="86">
        <f t="shared" si="66"/>
        <v>0.28100000000000003</v>
      </c>
      <c r="D544" s="86">
        <f t="shared" si="66"/>
        <v>0.32600000000000001</v>
      </c>
      <c r="E544" s="86">
        <f t="shared" si="66"/>
        <v>6.0999999999999999E-2</v>
      </c>
      <c r="F544" s="86">
        <f t="shared" si="66"/>
        <v>2.5999999999999999E-2</v>
      </c>
      <c r="G544" s="87">
        <v>0.28100000000000003</v>
      </c>
      <c r="H544" s="87">
        <v>0.32600000000000001</v>
      </c>
      <c r="I544" s="87">
        <v>6.0999999999999999E-2</v>
      </c>
      <c r="J544" s="87">
        <v>2.5999999999999999E-2</v>
      </c>
      <c r="K544" s="76">
        <f>((10/3)*L542)+((2/3)*L554)</f>
        <v>34200</v>
      </c>
      <c r="L544" s="94"/>
      <c r="M544" s="353">
        <f t="shared" si="60"/>
        <v>0.6</v>
      </c>
      <c r="N544" s="353">
        <v>0.26</v>
      </c>
      <c r="O544" s="353">
        <f t="shared" si="61"/>
        <v>0.61</v>
      </c>
      <c r="P544" s="353">
        <v>0.34620000000000001</v>
      </c>
      <c r="Q544" s="353">
        <v>0.69640000000000002</v>
      </c>
      <c r="R544" s="353">
        <v>0.6</v>
      </c>
      <c r="S544" s="353">
        <v>0.61</v>
      </c>
    </row>
    <row r="545" spans="1:19" s="78" customFormat="1">
      <c r="A545" s="77">
        <f t="shared" si="64"/>
        <v>54026</v>
      </c>
      <c r="B545" s="77">
        <f t="shared" si="63"/>
        <v>54391</v>
      </c>
      <c r="C545" s="86">
        <f t="shared" si="66"/>
        <v>0.28100000000000003</v>
      </c>
      <c r="D545" s="86">
        <f t="shared" si="66"/>
        <v>0.32600000000000001</v>
      </c>
      <c r="E545" s="86">
        <f t="shared" si="66"/>
        <v>6.0999999999999999E-2</v>
      </c>
      <c r="F545" s="86">
        <f t="shared" si="66"/>
        <v>2.5999999999999999E-2</v>
      </c>
      <c r="G545" s="87">
        <v>0.28100000000000003</v>
      </c>
      <c r="H545" s="87">
        <v>0.32600000000000001</v>
      </c>
      <c r="I545" s="87">
        <v>6.0999999999999999E-2</v>
      </c>
      <c r="J545" s="87">
        <v>2.5999999999999999E-2</v>
      </c>
      <c r="K545" s="76">
        <f>((9/3)*L542)+((3/3)*L554)</f>
        <v>34342</v>
      </c>
      <c r="L545" s="94"/>
      <c r="M545" s="353">
        <f t="shared" si="60"/>
        <v>0.6</v>
      </c>
      <c r="N545" s="353">
        <v>0.26</v>
      </c>
      <c r="O545" s="353">
        <f t="shared" si="61"/>
        <v>0.61</v>
      </c>
      <c r="P545" s="353">
        <v>0.34620000000000001</v>
      </c>
      <c r="Q545" s="353">
        <v>0.69640000000000002</v>
      </c>
      <c r="R545" s="353">
        <v>0.6</v>
      </c>
      <c r="S545" s="353">
        <v>0.61</v>
      </c>
    </row>
    <row r="546" spans="1:19" s="78" customFormat="1">
      <c r="A546" s="77">
        <f t="shared" si="64"/>
        <v>54057</v>
      </c>
      <c r="B546" s="77">
        <f t="shared" si="63"/>
        <v>54422</v>
      </c>
      <c r="C546" s="86">
        <f t="shared" si="66"/>
        <v>0.28100000000000003</v>
      </c>
      <c r="D546" s="86">
        <f t="shared" si="66"/>
        <v>0.32600000000000001</v>
      </c>
      <c r="E546" s="86">
        <f t="shared" si="66"/>
        <v>6.0999999999999999E-2</v>
      </c>
      <c r="F546" s="86">
        <f t="shared" si="66"/>
        <v>2.5999999999999999E-2</v>
      </c>
      <c r="G546" s="87">
        <v>0.28100000000000003</v>
      </c>
      <c r="H546" s="87">
        <v>0.32600000000000001</v>
      </c>
      <c r="I546" s="87">
        <v>6.0999999999999999E-2</v>
      </c>
      <c r="J546" s="87">
        <v>2.5999999999999999E-2</v>
      </c>
      <c r="K546" s="76">
        <f>((8/3)*L542)+((4/3)*L554)</f>
        <v>34483</v>
      </c>
      <c r="L546" s="94"/>
      <c r="M546" s="353">
        <f t="shared" si="60"/>
        <v>0.6</v>
      </c>
      <c r="N546" s="353">
        <v>0.26</v>
      </c>
      <c r="O546" s="353">
        <f t="shared" si="61"/>
        <v>0.61</v>
      </c>
      <c r="P546" s="353">
        <v>0.34620000000000001</v>
      </c>
      <c r="Q546" s="353">
        <v>0.69640000000000002</v>
      </c>
      <c r="R546" s="353">
        <v>0.6</v>
      </c>
      <c r="S546" s="353">
        <v>0.61</v>
      </c>
    </row>
    <row r="547" spans="1:19" s="78" customFormat="1">
      <c r="A547" s="77">
        <f t="shared" si="64"/>
        <v>54088</v>
      </c>
      <c r="B547" s="77">
        <f t="shared" si="63"/>
        <v>54453</v>
      </c>
      <c r="C547" s="86">
        <f t="shared" ref="C547:F562" si="67">AVERAGE(G547:G558)</f>
        <v>0.28100000000000003</v>
      </c>
      <c r="D547" s="86">
        <f t="shared" si="67"/>
        <v>0.32600000000000001</v>
      </c>
      <c r="E547" s="86">
        <f t="shared" si="67"/>
        <v>6.0999999999999999E-2</v>
      </c>
      <c r="F547" s="86">
        <f t="shared" si="67"/>
        <v>2.5999999999999999E-2</v>
      </c>
      <c r="G547" s="87">
        <v>0.28100000000000003</v>
      </c>
      <c r="H547" s="87">
        <v>0.32600000000000001</v>
      </c>
      <c r="I547" s="87">
        <v>6.0999999999999999E-2</v>
      </c>
      <c r="J547" s="87">
        <v>2.5999999999999999E-2</v>
      </c>
      <c r="K547" s="76">
        <f>((7/3)*L542)+((5/3)*L554)</f>
        <v>34624</v>
      </c>
      <c r="L547" s="94"/>
      <c r="M547" s="353">
        <f t="shared" si="60"/>
        <v>0.6</v>
      </c>
      <c r="N547" s="353">
        <v>0.26</v>
      </c>
      <c r="O547" s="353">
        <f t="shared" si="61"/>
        <v>0.61</v>
      </c>
      <c r="P547" s="353">
        <v>0.34620000000000001</v>
      </c>
      <c r="Q547" s="353">
        <v>0.69640000000000002</v>
      </c>
      <c r="R547" s="353">
        <v>0.6</v>
      </c>
      <c r="S547" s="353">
        <v>0.61</v>
      </c>
    </row>
    <row r="548" spans="1:19" s="78" customFormat="1">
      <c r="A548" s="77">
        <f t="shared" si="64"/>
        <v>54117</v>
      </c>
      <c r="B548" s="77">
        <f t="shared" si="63"/>
        <v>54481</v>
      </c>
      <c r="C548" s="86">
        <f t="shared" si="67"/>
        <v>0.28100000000000003</v>
      </c>
      <c r="D548" s="86">
        <f t="shared" si="67"/>
        <v>0.32600000000000001</v>
      </c>
      <c r="E548" s="86">
        <f t="shared" si="67"/>
        <v>6.0999999999999999E-2</v>
      </c>
      <c r="F548" s="86">
        <f t="shared" si="67"/>
        <v>2.5999999999999999E-2</v>
      </c>
      <c r="G548" s="87">
        <v>0.28100000000000003</v>
      </c>
      <c r="H548" s="87">
        <v>0.32600000000000001</v>
      </c>
      <c r="I548" s="87">
        <v>6.0999999999999999E-2</v>
      </c>
      <c r="J548" s="87">
        <v>2.5999999999999999E-2</v>
      </c>
      <c r="K548" s="76">
        <f>((6/3)*L542)+((6/3)*L554)</f>
        <v>34766</v>
      </c>
      <c r="L548" s="94"/>
      <c r="M548" s="353">
        <f t="shared" si="60"/>
        <v>0.6</v>
      </c>
      <c r="N548" s="353">
        <v>0.26</v>
      </c>
      <c r="O548" s="353">
        <f t="shared" si="61"/>
        <v>0.61</v>
      </c>
      <c r="P548" s="353">
        <v>0.34620000000000001</v>
      </c>
      <c r="Q548" s="353">
        <v>0.69640000000000002</v>
      </c>
      <c r="R548" s="353">
        <v>0.6</v>
      </c>
      <c r="S548" s="353">
        <v>0.61</v>
      </c>
    </row>
    <row r="549" spans="1:19" s="78" customFormat="1">
      <c r="A549" s="77">
        <f t="shared" si="64"/>
        <v>54148</v>
      </c>
      <c r="B549" s="77">
        <f t="shared" si="63"/>
        <v>54512</v>
      </c>
      <c r="C549" s="86">
        <f t="shared" si="67"/>
        <v>0.28100000000000003</v>
      </c>
      <c r="D549" s="86">
        <f t="shared" si="67"/>
        <v>0.32600000000000001</v>
      </c>
      <c r="E549" s="86">
        <f t="shared" si="67"/>
        <v>6.0999999999999999E-2</v>
      </c>
      <c r="F549" s="86">
        <f t="shared" si="67"/>
        <v>2.5999999999999999E-2</v>
      </c>
      <c r="G549" s="87">
        <v>0.28100000000000003</v>
      </c>
      <c r="H549" s="87">
        <v>0.32600000000000001</v>
      </c>
      <c r="I549" s="87">
        <v>6.0999999999999999E-2</v>
      </c>
      <c r="J549" s="87">
        <v>2.5999999999999999E-2</v>
      </c>
      <c r="K549" s="76">
        <f>((5/3)*L542)+((7/3)*L554)</f>
        <v>34907</v>
      </c>
      <c r="L549" s="94"/>
      <c r="M549" s="353">
        <f t="shared" si="60"/>
        <v>0.6</v>
      </c>
      <c r="N549" s="353">
        <v>0.26</v>
      </c>
      <c r="O549" s="353">
        <f t="shared" si="61"/>
        <v>0.61</v>
      </c>
      <c r="P549" s="353">
        <v>0.34620000000000001</v>
      </c>
      <c r="Q549" s="353">
        <v>0.69640000000000002</v>
      </c>
      <c r="R549" s="353">
        <v>0.6</v>
      </c>
      <c r="S549" s="353">
        <v>0.61</v>
      </c>
    </row>
    <row r="550" spans="1:19" s="78" customFormat="1">
      <c r="A550" s="77">
        <f t="shared" si="64"/>
        <v>54178</v>
      </c>
      <c r="B550" s="77">
        <f t="shared" si="63"/>
        <v>54542</v>
      </c>
      <c r="C550" s="86">
        <f t="shared" si="67"/>
        <v>0.28100000000000003</v>
      </c>
      <c r="D550" s="86">
        <f t="shared" si="67"/>
        <v>0.32600000000000001</v>
      </c>
      <c r="E550" s="86">
        <f t="shared" si="67"/>
        <v>6.0999999999999999E-2</v>
      </c>
      <c r="F550" s="86">
        <f t="shared" si="67"/>
        <v>2.5999999999999999E-2</v>
      </c>
      <c r="G550" s="87">
        <v>0.28100000000000003</v>
      </c>
      <c r="H550" s="87">
        <v>0.32600000000000001</v>
      </c>
      <c r="I550" s="87">
        <v>6.0999999999999999E-2</v>
      </c>
      <c r="J550" s="87">
        <v>2.5999999999999999E-2</v>
      </c>
      <c r="K550" s="76">
        <f>((4/3)*L542)+((8/3)*L554)</f>
        <v>35048</v>
      </c>
      <c r="L550" s="94"/>
      <c r="M550" s="353">
        <f t="shared" si="60"/>
        <v>0.6</v>
      </c>
      <c r="N550" s="353">
        <v>0.26</v>
      </c>
      <c r="O550" s="353">
        <f t="shared" si="61"/>
        <v>0.61</v>
      </c>
      <c r="P550" s="353">
        <v>0.34620000000000001</v>
      </c>
      <c r="Q550" s="353">
        <v>0.69640000000000002</v>
      </c>
      <c r="R550" s="353">
        <v>0.6</v>
      </c>
      <c r="S550" s="353">
        <v>0.61</v>
      </c>
    </row>
    <row r="551" spans="1:19" s="78" customFormat="1">
      <c r="A551" s="77">
        <f t="shared" si="64"/>
        <v>54209</v>
      </c>
      <c r="B551" s="77">
        <f t="shared" si="63"/>
        <v>54573</v>
      </c>
      <c r="C551" s="86">
        <f t="shared" si="67"/>
        <v>0.28100000000000003</v>
      </c>
      <c r="D551" s="86">
        <f t="shared" si="67"/>
        <v>0.32600000000000001</v>
      </c>
      <c r="E551" s="86">
        <f t="shared" si="67"/>
        <v>6.0999999999999999E-2</v>
      </c>
      <c r="F551" s="86">
        <f t="shared" si="67"/>
        <v>2.5999999999999999E-2</v>
      </c>
      <c r="G551" s="87">
        <v>0.28100000000000003</v>
      </c>
      <c r="H551" s="87">
        <v>0.32600000000000001</v>
      </c>
      <c r="I551" s="87">
        <v>6.0999999999999999E-2</v>
      </c>
      <c r="J551" s="87">
        <v>2.5999999999999999E-2</v>
      </c>
      <c r="K551" s="76">
        <f>((3/3)*L542)+((9/3)*L554)</f>
        <v>35190</v>
      </c>
      <c r="L551" s="94"/>
      <c r="M551" s="353">
        <f t="shared" si="60"/>
        <v>0.6</v>
      </c>
      <c r="N551" s="353">
        <v>0.26</v>
      </c>
      <c r="O551" s="353">
        <f t="shared" si="61"/>
        <v>0.61</v>
      </c>
      <c r="P551" s="353">
        <v>0.34620000000000001</v>
      </c>
      <c r="Q551" s="353">
        <v>0.69640000000000002</v>
      </c>
      <c r="R551" s="353">
        <v>0.6</v>
      </c>
      <c r="S551" s="353">
        <v>0.61</v>
      </c>
    </row>
    <row r="552" spans="1:19" s="78" customFormat="1">
      <c r="A552" s="77">
        <f t="shared" si="64"/>
        <v>54239</v>
      </c>
      <c r="B552" s="77">
        <f t="shared" si="63"/>
        <v>54603</v>
      </c>
      <c r="C552" s="86">
        <f t="shared" si="67"/>
        <v>0.28100000000000003</v>
      </c>
      <c r="D552" s="86">
        <f t="shared" si="67"/>
        <v>0.32600000000000001</v>
      </c>
      <c r="E552" s="86">
        <f t="shared" si="67"/>
        <v>6.0999999999999999E-2</v>
      </c>
      <c r="F552" s="86">
        <f t="shared" si="67"/>
        <v>2.5999999999999999E-2</v>
      </c>
      <c r="G552" s="87">
        <v>0.28100000000000003</v>
      </c>
      <c r="H552" s="87">
        <v>0.32600000000000001</v>
      </c>
      <c r="I552" s="87">
        <v>6.0999999999999999E-2</v>
      </c>
      <c r="J552" s="87">
        <v>2.5999999999999999E-2</v>
      </c>
      <c r="K552" s="76">
        <f>((2/3)*L542)+((10/3)*L554)</f>
        <v>35331</v>
      </c>
      <c r="L552" s="94"/>
      <c r="M552" s="353">
        <f t="shared" si="60"/>
        <v>0.6</v>
      </c>
      <c r="N552" s="353">
        <v>0.26</v>
      </c>
      <c r="O552" s="353">
        <f t="shared" si="61"/>
        <v>0.61</v>
      </c>
      <c r="P552" s="353">
        <v>0.34620000000000001</v>
      </c>
      <c r="Q552" s="353">
        <v>0.69640000000000002</v>
      </c>
      <c r="R552" s="353">
        <v>0.6</v>
      </c>
      <c r="S552" s="353">
        <v>0.61</v>
      </c>
    </row>
    <row r="553" spans="1:19" s="78" customFormat="1">
      <c r="A553" s="77">
        <f t="shared" si="64"/>
        <v>54270</v>
      </c>
      <c r="B553" s="77">
        <f t="shared" si="63"/>
        <v>54634</v>
      </c>
      <c r="C553" s="86">
        <f t="shared" si="67"/>
        <v>0.28100000000000003</v>
      </c>
      <c r="D553" s="86">
        <f t="shared" si="67"/>
        <v>0.32600000000000001</v>
      </c>
      <c r="E553" s="86">
        <f t="shared" si="67"/>
        <v>6.0999999999999999E-2</v>
      </c>
      <c r="F553" s="86">
        <f t="shared" si="67"/>
        <v>2.5999999999999999E-2</v>
      </c>
      <c r="G553" s="87">
        <v>0.28100000000000003</v>
      </c>
      <c r="H553" s="87">
        <v>0.32600000000000001</v>
      </c>
      <c r="I553" s="87">
        <v>6.0999999999999999E-2</v>
      </c>
      <c r="J553" s="87">
        <v>2.5999999999999999E-2</v>
      </c>
      <c r="K553" s="76">
        <f>((1/3)*L542)+((11/3)*L554)</f>
        <v>35472</v>
      </c>
      <c r="L553" s="94"/>
      <c r="M553" s="353">
        <f t="shared" si="60"/>
        <v>0.6</v>
      </c>
      <c r="N553" s="353">
        <v>0.26</v>
      </c>
      <c r="O553" s="353">
        <f t="shared" si="61"/>
        <v>0.61</v>
      </c>
      <c r="P553" s="353">
        <v>0.34620000000000001</v>
      </c>
      <c r="Q553" s="353">
        <v>0.69640000000000002</v>
      </c>
      <c r="R553" s="353">
        <v>0.6</v>
      </c>
      <c r="S553" s="353">
        <v>0.61</v>
      </c>
    </row>
    <row r="554" spans="1:19">
      <c r="A554" s="19">
        <f t="shared" si="64"/>
        <v>54301</v>
      </c>
      <c r="B554" s="19">
        <f t="shared" si="63"/>
        <v>54665</v>
      </c>
      <c r="C554" s="84">
        <f t="shared" si="67"/>
        <v>0.28100000000000003</v>
      </c>
      <c r="D554" s="84">
        <f t="shared" si="67"/>
        <v>0.32600000000000001</v>
      </c>
      <c r="E554" s="84">
        <f t="shared" si="67"/>
        <v>6.0999999999999999E-2</v>
      </c>
      <c r="F554" s="84">
        <f t="shared" si="67"/>
        <v>2.5999999999999999E-2</v>
      </c>
      <c r="G554" s="85">
        <v>0.28100000000000003</v>
      </c>
      <c r="H554" s="85">
        <v>0.32600000000000001</v>
      </c>
      <c r="I554" s="85">
        <v>6.0999999999999999E-2</v>
      </c>
      <c r="J554" s="85">
        <v>2.5999999999999999E-2</v>
      </c>
      <c r="K554" s="25">
        <f>(L554*4)</f>
        <v>35614</v>
      </c>
      <c r="L554" s="93">
        <f>L542*1.05</f>
        <v>8903.3799999999992</v>
      </c>
      <c r="M554" s="80">
        <f t="shared" si="60"/>
        <v>0.6</v>
      </c>
      <c r="N554" s="80">
        <v>0.26</v>
      </c>
      <c r="O554" s="80">
        <f t="shared" si="61"/>
        <v>0.61</v>
      </c>
      <c r="P554" s="80">
        <v>0.34620000000000001</v>
      </c>
      <c r="Q554" s="80">
        <v>0.69640000000000002</v>
      </c>
      <c r="R554" s="80">
        <v>0.6</v>
      </c>
      <c r="S554" s="80">
        <v>0.61</v>
      </c>
    </row>
    <row r="555" spans="1:19">
      <c r="A555" s="19">
        <f t="shared" si="64"/>
        <v>54331</v>
      </c>
      <c r="B555" s="19">
        <f t="shared" si="63"/>
        <v>54695</v>
      </c>
      <c r="C555" s="84">
        <f t="shared" si="67"/>
        <v>0.28100000000000003</v>
      </c>
      <c r="D555" s="84">
        <f t="shared" si="67"/>
        <v>0.32600000000000001</v>
      </c>
      <c r="E555" s="84">
        <f t="shared" si="67"/>
        <v>6.0999999999999999E-2</v>
      </c>
      <c r="F555" s="84">
        <f t="shared" si="67"/>
        <v>2.5999999999999999E-2</v>
      </c>
      <c r="G555" s="85">
        <v>0.28100000000000003</v>
      </c>
      <c r="H555" s="85">
        <v>0.32600000000000001</v>
      </c>
      <c r="I555" s="85">
        <v>6.0999999999999999E-2</v>
      </c>
      <c r="J555" s="85">
        <v>2.5999999999999999E-2</v>
      </c>
      <c r="K555" s="25">
        <f>((11/3)*L554)+((1/3)*L566)</f>
        <v>35762</v>
      </c>
      <c r="L555" s="93"/>
      <c r="M555" s="80">
        <f t="shared" si="60"/>
        <v>0.6</v>
      </c>
      <c r="N555" s="80">
        <v>0.26</v>
      </c>
      <c r="O555" s="80">
        <f t="shared" si="61"/>
        <v>0.61</v>
      </c>
      <c r="P555" s="80">
        <v>0.34620000000000001</v>
      </c>
      <c r="Q555" s="80">
        <v>0.69640000000000002</v>
      </c>
      <c r="R555" s="80">
        <v>0.6</v>
      </c>
      <c r="S555" s="80">
        <v>0.61</v>
      </c>
    </row>
    <row r="556" spans="1:19">
      <c r="A556" s="19">
        <f t="shared" si="64"/>
        <v>54362</v>
      </c>
      <c r="B556" s="19">
        <f t="shared" si="63"/>
        <v>54726</v>
      </c>
      <c r="C556" s="84">
        <f t="shared" si="67"/>
        <v>0.28100000000000003</v>
      </c>
      <c r="D556" s="84">
        <f t="shared" si="67"/>
        <v>0.32600000000000001</v>
      </c>
      <c r="E556" s="84">
        <f t="shared" si="67"/>
        <v>6.0999999999999999E-2</v>
      </c>
      <c r="F556" s="84">
        <f t="shared" si="67"/>
        <v>2.5999999999999999E-2</v>
      </c>
      <c r="G556" s="85">
        <v>0.28100000000000003</v>
      </c>
      <c r="H556" s="85">
        <v>0.32600000000000001</v>
      </c>
      <c r="I556" s="85">
        <v>6.0999999999999999E-2</v>
      </c>
      <c r="J556" s="85">
        <v>2.5999999999999999E-2</v>
      </c>
      <c r="K556" s="25">
        <f>((10/3)*L554)+((2/3)*L566)</f>
        <v>35910</v>
      </c>
      <c r="L556" s="93"/>
      <c r="M556" s="80">
        <f t="shared" si="60"/>
        <v>0.6</v>
      </c>
      <c r="N556" s="80">
        <v>0.26</v>
      </c>
      <c r="O556" s="80">
        <f t="shared" si="61"/>
        <v>0.61</v>
      </c>
      <c r="P556" s="80">
        <v>0.34620000000000001</v>
      </c>
      <c r="Q556" s="80">
        <v>0.69640000000000002</v>
      </c>
      <c r="R556" s="80">
        <v>0.6</v>
      </c>
      <c r="S556" s="80">
        <v>0.61</v>
      </c>
    </row>
    <row r="557" spans="1:19">
      <c r="A557" s="19">
        <f t="shared" si="64"/>
        <v>54392</v>
      </c>
      <c r="B557" s="19">
        <f t="shared" si="63"/>
        <v>54756</v>
      </c>
      <c r="C557" s="84">
        <f t="shared" si="67"/>
        <v>0.28100000000000003</v>
      </c>
      <c r="D557" s="84">
        <f t="shared" si="67"/>
        <v>0.32600000000000001</v>
      </c>
      <c r="E557" s="84">
        <f t="shared" si="67"/>
        <v>6.0999999999999999E-2</v>
      </c>
      <c r="F557" s="84">
        <f t="shared" si="67"/>
        <v>2.5999999999999999E-2</v>
      </c>
      <c r="G557" s="85">
        <v>0.28100000000000003</v>
      </c>
      <c r="H557" s="85">
        <v>0.32600000000000001</v>
      </c>
      <c r="I557" s="85">
        <v>6.0999999999999999E-2</v>
      </c>
      <c r="J557" s="85">
        <v>2.5999999999999999E-2</v>
      </c>
      <c r="K557" s="25">
        <f>((9/3)*L554)+((3/3)*L566)</f>
        <v>36059</v>
      </c>
      <c r="L557" s="93"/>
      <c r="M557" s="80">
        <f t="shared" si="60"/>
        <v>0.6</v>
      </c>
      <c r="N557" s="80">
        <v>0.26</v>
      </c>
      <c r="O557" s="80">
        <f t="shared" si="61"/>
        <v>0.61</v>
      </c>
      <c r="P557" s="80">
        <v>0.34620000000000001</v>
      </c>
      <c r="Q557" s="80">
        <v>0.69640000000000002</v>
      </c>
      <c r="R557" s="80">
        <v>0.6</v>
      </c>
      <c r="S557" s="80">
        <v>0.61</v>
      </c>
    </row>
    <row r="558" spans="1:19">
      <c r="A558" s="19">
        <f t="shared" si="64"/>
        <v>54423</v>
      </c>
      <c r="B558" s="19">
        <f t="shared" si="63"/>
        <v>54787</v>
      </c>
      <c r="C558" s="84">
        <f t="shared" si="67"/>
        <v>0.28100000000000003</v>
      </c>
      <c r="D558" s="84">
        <f t="shared" si="67"/>
        <v>0.32600000000000001</v>
      </c>
      <c r="E558" s="84">
        <f t="shared" si="67"/>
        <v>6.0999999999999999E-2</v>
      </c>
      <c r="F558" s="84">
        <f t="shared" si="67"/>
        <v>2.5999999999999999E-2</v>
      </c>
      <c r="G558" s="85">
        <v>0.28100000000000003</v>
      </c>
      <c r="H558" s="85">
        <v>0.32600000000000001</v>
      </c>
      <c r="I558" s="85">
        <v>6.0999999999999999E-2</v>
      </c>
      <c r="J558" s="85">
        <v>2.5999999999999999E-2</v>
      </c>
      <c r="K558" s="25">
        <f>((8/3)*L554)+((4/3)*L566)</f>
        <v>36207</v>
      </c>
      <c r="L558" s="93"/>
      <c r="M558" s="80">
        <f t="shared" si="60"/>
        <v>0.6</v>
      </c>
      <c r="N558" s="80">
        <v>0.26</v>
      </c>
      <c r="O558" s="80">
        <f t="shared" si="61"/>
        <v>0.61</v>
      </c>
      <c r="P558" s="80">
        <v>0.34620000000000001</v>
      </c>
      <c r="Q558" s="80">
        <v>0.69640000000000002</v>
      </c>
      <c r="R558" s="80">
        <v>0.6</v>
      </c>
      <c r="S558" s="80">
        <v>0.61</v>
      </c>
    </row>
    <row r="559" spans="1:19">
      <c r="A559" s="19">
        <f t="shared" si="64"/>
        <v>54454</v>
      </c>
      <c r="B559" s="19">
        <f t="shared" si="63"/>
        <v>54818</v>
      </c>
      <c r="C559" s="84">
        <f t="shared" si="67"/>
        <v>0.28100000000000003</v>
      </c>
      <c r="D559" s="84">
        <f t="shared" si="67"/>
        <v>0.32600000000000001</v>
      </c>
      <c r="E559" s="84">
        <f t="shared" si="67"/>
        <v>6.0999999999999999E-2</v>
      </c>
      <c r="F559" s="84">
        <f t="shared" si="67"/>
        <v>2.5999999999999999E-2</v>
      </c>
      <c r="G559" s="85">
        <v>0.28100000000000003</v>
      </c>
      <c r="H559" s="85">
        <v>0.32600000000000001</v>
      </c>
      <c r="I559" s="85">
        <v>6.0999999999999999E-2</v>
      </c>
      <c r="J559" s="85">
        <v>2.5999999999999999E-2</v>
      </c>
      <c r="K559" s="25">
        <f>((7/3)*L554)+((5/3)*L566)</f>
        <v>36355</v>
      </c>
      <c r="L559" s="93"/>
      <c r="M559" s="80">
        <f t="shared" ref="M559:M622" si="68">AVERAGE(R559:R570)</f>
        <v>0.6</v>
      </c>
      <c r="N559" s="80">
        <v>0.26</v>
      </c>
      <c r="O559" s="80">
        <f t="shared" ref="O559:O622" si="69">AVERAGE(S559:S570)</f>
        <v>0.61</v>
      </c>
      <c r="P559" s="80">
        <v>0.34620000000000001</v>
      </c>
      <c r="Q559" s="80">
        <v>0.69640000000000002</v>
      </c>
      <c r="R559" s="80">
        <v>0.6</v>
      </c>
      <c r="S559" s="80">
        <v>0.61</v>
      </c>
    </row>
    <row r="560" spans="1:19">
      <c r="A560" s="19">
        <f t="shared" si="64"/>
        <v>54482</v>
      </c>
      <c r="B560" s="19">
        <f t="shared" si="63"/>
        <v>54846</v>
      </c>
      <c r="C560" s="84">
        <f t="shared" si="67"/>
        <v>0.28100000000000003</v>
      </c>
      <c r="D560" s="84">
        <f t="shared" si="67"/>
        <v>0.32600000000000001</v>
      </c>
      <c r="E560" s="84">
        <f t="shared" si="67"/>
        <v>6.0999999999999999E-2</v>
      </c>
      <c r="F560" s="84">
        <f t="shared" si="67"/>
        <v>2.5999999999999999E-2</v>
      </c>
      <c r="G560" s="85">
        <v>0.28100000000000003</v>
      </c>
      <c r="H560" s="85">
        <v>0.32600000000000001</v>
      </c>
      <c r="I560" s="85">
        <v>6.0999999999999999E-2</v>
      </c>
      <c r="J560" s="85">
        <v>2.5999999999999999E-2</v>
      </c>
      <c r="K560" s="25">
        <f>((6/3)*L554)+((6/3)*L566)</f>
        <v>36504</v>
      </c>
      <c r="L560" s="93"/>
      <c r="M560" s="80">
        <f t="shared" si="68"/>
        <v>0.6</v>
      </c>
      <c r="N560" s="80">
        <v>0.26</v>
      </c>
      <c r="O560" s="80">
        <f t="shared" si="69"/>
        <v>0.61</v>
      </c>
      <c r="P560" s="80">
        <v>0.34620000000000001</v>
      </c>
      <c r="Q560" s="80">
        <v>0.69640000000000002</v>
      </c>
      <c r="R560" s="80">
        <v>0.6</v>
      </c>
      <c r="S560" s="80">
        <v>0.61</v>
      </c>
    </row>
    <row r="561" spans="1:19">
      <c r="A561" s="19">
        <f t="shared" si="64"/>
        <v>54513</v>
      </c>
      <c r="B561" s="19">
        <f t="shared" si="63"/>
        <v>54877</v>
      </c>
      <c r="C561" s="84">
        <f t="shared" si="67"/>
        <v>0.28100000000000003</v>
      </c>
      <c r="D561" s="84">
        <f t="shared" si="67"/>
        <v>0.32600000000000001</v>
      </c>
      <c r="E561" s="84">
        <f t="shared" si="67"/>
        <v>6.0999999999999999E-2</v>
      </c>
      <c r="F561" s="84">
        <f t="shared" si="67"/>
        <v>2.5999999999999999E-2</v>
      </c>
      <c r="G561" s="85">
        <v>0.28100000000000003</v>
      </c>
      <c r="H561" s="85">
        <v>0.32600000000000001</v>
      </c>
      <c r="I561" s="85">
        <v>6.0999999999999999E-2</v>
      </c>
      <c r="J561" s="85">
        <v>2.5999999999999999E-2</v>
      </c>
      <c r="K561" s="25">
        <f>((5/3)*L554)+((7/3)*L566)</f>
        <v>36652</v>
      </c>
      <c r="L561" s="93"/>
      <c r="M561" s="80">
        <f t="shared" si="68"/>
        <v>0.6</v>
      </c>
      <c r="N561" s="80">
        <v>0.26</v>
      </c>
      <c r="O561" s="80">
        <f t="shared" si="69"/>
        <v>0.61</v>
      </c>
      <c r="P561" s="80">
        <v>0.34620000000000001</v>
      </c>
      <c r="Q561" s="80">
        <v>0.69640000000000002</v>
      </c>
      <c r="R561" s="80">
        <v>0.6</v>
      </c>
      <c r="S561" s="80">
        <v>0.61</v>
      </c>
    </row>
    <row r="562" spans="1:19">
      <c r="A562" s="19">
        <f t="shared" si="64"/>
        <v>54543</v>
      </c>
      <c r="B562" s="19">
        <f t="shared" si="63"/>
        <v>54907</v>
      </c>
      <c r="C562" s="84">
        <f t="shared" si="67"/>
        <v>0.28100000000000003</v>
      </c>
      <c r="D562" s="84">
        <f t="shared" si="67"/>
        <v>0.32600000000000001</v>
      </c>
      <c r="E562" s="84">
        <f t="shared" si="67"/>
        <v>6.0999999999999999E-2</v>
      </c>
      <c r="F562" s="84">
        <f t="shared" si="67"/>
        <v>2.5999999999999999E-2</v>
      </c>
      <c r="G562" s="85">
        <v>0.28100000000000003</v>
      </c>
      <c r="H562" s="85">
        <v>0.32600000000000001</v>
      </c>
      <c r="I562" s="85">
        <v>6.0999999999999999E-2</v>
      </c>
      <c r="J562" s="85">
        <v>2.5999999999999999E-2</v>
      </c>
      <c r="K562" s="25">
        <f>((4/3)*L554)+((8/3)*L566)</f>
        <v>36801</v>
      </c>
      <c r="L562" s="93"/>
      <c r="M562" s="80">
        <f t="shared" si="68"/>
        <v>0.6</v>
      </c>
      <c r="N562" s="80">
        <v>0.26</v>
      </c>
      <c r="O562" s="80">
        <f t="shared" si="69"/>
        <v>0.61</v>
      </c>
      <c r="P562" s="80">
        <v>0.34620000000000001</v>
      </c>
      <c r="Q562" s="80">
        <v>0.69640000000000002</v>
      </c>
      <c r="R562" s="80">
        <v>0.6</v>
      </c>
      <c r="S562" s="80">
        <v>0.61</v>
      </c>
    </row>
    <row r="563" spans="1:19">
      <c r="A563" s="19">
        <f t="shared" si="64"/>
        <v>54574</v>
      </c>
      <c r="B563" s="19">
        <f t="shared" si="63"/>
        <v>54938</v>
      </c>
      <c r="C563" s="84">
        <f t="shared" ref="C563:F578" si="70">AVERAGE(G563:G574)</f>
        <v>0.28100000000000003</v>
      </c>
      <c r="D563" s="84">
        <f t="shared" si="70"/>
        <v>0.32600000000000001</v>
      </c>
      <c r="E563" s="84">
        <f t="shared" si="70"/>
        <v>6.0999999999999999E-2</v>
      </c>
      <c r="F563" s="84">
        <f t="shared" si="70"/>
        <v>2.5999999999999999E-2</v>
      </c>
      <c r="G563" s="85">
        <v>0.28100000000000003</v>
      </c>
      <c r="H563" s="85">
        <v>0.32600000000000001</v>
      </c>
      <c r="I563" s="85">
        <v>6.0999999999999999E-2</v>
      </c>
      <c r="J563" s="85">
        <v>2.5999999999999999E-2</v>
      </c>
      <c r="K563" s="25">
        <f>((3/3)*L554)+((9/3)*L566)</f>
        <v>36949</v>
      </c>
      <c r="L563" s="93"/>
      <c r="M563" s="80">
        <f t="shared" si="68"/>
        <v>0.6</v>
      </c>
      <c r="N563" s="80">
        <v>0.26</v>
      </c>
      <c r="O563" s="80">
        <f t="shared" si="69"/>
        <v>0.61</v>
      </c>
      <c r="P563" s="80">
        <v>0.34620000000000001</v>
      </c>
      <c r="Q563" s="80">
        <v>0.69640000000000002</v>
      </c>
      <c r="R563" s="80">
        <v>0.6</v>
      </c>
      <c r="S563" s="80">
        <v>0.61</v>
      </c>
    </row>
    <row r="564" spans="1:19">
      <c r="A564" s="19">
        <f t="shared" si="64"/>
        <v>54604</v>
      </c>
      <c r="B564" s="19">
        <f t="shared" si="63"/>
        <v>54968</v>
      </c>
      <c r="C564" s="84">
        <f t="shared" si="70"/>
        <v>0.28100000000000003</v>
      </c>
      <c r="D564" s="84">
        <f t="shared" si="70"/>
        <v>0.32600000000000001</v>
      </c>
      <c r="E564" s="84">
        <f t="shared" si="70"/>
        <v>6.0999999999999999E-2</v>
      </c>
      <c r="F564" s="84">
        <f t="shared" si="70"/>
        <v>2.5999999999999999E-2</v>
      </c>
      <c r="G564" s="85">
        <v>0.28100000000000003</v>
      </c>
      <c r="H564" s="85">
        <v>0.32600000000000001</v>
      </c>
      <c r="I564" s="85">
        <v>6.0999999999999999E-2</v>
      </c>
      <c r="J564" s="85">
        <v>2.5999999999999999E-2</v>
      </c>
      <c r="K564" s="25">
        <f>((2/3)*L554)+((10/3)*L566)</f>
        <v>37097</v>
      </c>
      <c r="L564" s="93"/>
      <c r="M564" s="80">
        <f t="shared" si="68"/>
        <v>0.6</v>
      </c>
      <c r="N564" s="80">
        <v>0.26</v>
      </c>
      <c r="O564" s="80">
        <f t="shared" si="69"/>
        <v>0.61</v>
      </c>
      <c r="P564" s="80">
        <v>0.34620000000000001</v>
      </c>
      <c r="Q564" s="80">
        <v>0.69640000000000002</v>
      </c>
      <c r="R564" s="80">
        <v>0.6</v>
      </c>
      <c r="S564" s="80">
        <v>0.61</v>
      </c>
    </row>
    <row r="565" spans="1:19">
      <c r="A565" s="19">
        <f t="shared" si="64"/>
        <v>54635</v>
      </c>
      <c r="B565" s="19">
        <f t="shared" si="63"/>
        <v>54999</v>
      </c>
      <c r="C565" s="81">
        <f t="shared" si="70"/>
        <v>0.28100000000000003</v>
      </c>
      <c r="D565" s="81">
        <f t="shared" si="70"/>
        <v>0.32600000000000001</v>
      </c>
      <c r="E565" s="81">
        <f t="shared" si="70"/>
        <v>6.0999999999999999E-2</v>
      </c>
      <c r="F565" s="81">
        <f t="shared" si="70"/>
        <v>2.5999999999999999E-2</v>
      </c>
      <c r="G565" s="85">
        <v>0.28100000000000003</v>
      </c>
      <c r="H565" s="85">
        <v>0.32600000000000001</v>
      </c>
      <c r="I565" s="85">
        <v>6.0999999999999999E-2</v>
      </c>
      <c r="J565" s="85">
        <v>2.5999999999999999E-2</v>
      </c>
      <c r="K565" s="25">
        <f>((1/3)*L554)+((11/3)*L566)</f>
        <v>37246</v>
      </c>
      <c r="L565" s="93"/>
      <c r="M565" s="80">
        <f t="shared" si="68"/>
        <v>0.6</v>
      </c>
      <c r="N565" s="80">
        <v>0.26</v>
      </c>
      <c r="O565" s="80">
        <f t="shared" si="69"/>
        <v>0.61</v>
      </c>
      <c r="P565" s="80">
        <v>0.34620000000000001</v>
      </c>
      <c r="Q565" s="80">
        <v>0.69640000000000002</v>
      </c>
      <c r="R565" s="80">
        <v>0.6</v>
      </c>
      <c r="S565" s="80">
        <v>0.61</v>
      </c>
    </row>
    <row r="566" spans="1:19" s="78" customFormat="1">
      <c r="A566" s="77">
        <f t="shared" si="64"/>
        <v>54666</v>
      </c>
      <c r="B566" s="77">
        <f t="shared" si="63"/>
        <v>55030</v>
      </c>
      <c r="C566" s="86">
        <f t="shared" si="70"/>
        <v>0.28100000000000003</v>
      </c>
      <c r="D566" s="86">
        <f t="shared" si="70"/>
        <v>0.32600000000000001</v>
      </c>
      <c r="E566" s="86">
        <f t="shared" si="70"/>
        <v>6.0999999999999999E-2</v>
      </c>
      <c r="F566" s="86">
        <f t="shared" si="70"/>
        <v>2.5999999999999999E-2</v>
      </c>
      <c r="G566" s="87">
        <v>0.28100000000000003</v>
      </c>
      <c r="H566" s="87">
        <v>0.32600000000000001</v>
      </c>
      <c r="I566" s="87">
        <v>6.0999999999999999E-2</v>
      </c>
      <c r="J566" s="87">
        <v>2.5999999999999999E-2</v>
      </c>
      <c r="K566" s="76">
        <f>(L566*4)</f>
        <v>37394</v>
      </c>
      <c r="L566" s="94">
        <f>L554*1.05</f>
        <v>9348.5499999999993</v>
      </c>
      <c r="M566" s="353">
        <f t="shared" si="68"/>
        <v>0.6</v>
      </c>
      <c r="N566" s="353">
        <v>0.26</v>
      </c>
      <c r="O566" s="353">
        <f t="shared" si="69"/>
        <v>0.61</v>
      </c>
      <c r="P566" s="353">
        <v>0.34620000000000001</v>
      </c>
      <c r="Q566" s="353">
        <v>0.69640000000000002</v>
      </c>
      <c r="R566" s="353">
        <v>0.6</v>
      </c>
      <c r="S566" s="353">
        <v>0.61</v>
      </c>
    </row>
    <row r="567" spans="1:19" s="78" customFormat="1">
      <c r="A567" s="77">
        <f t="shared" si="64"/>
        <v>54696</v>
      </c>
      <c r="B567" s="77">
        <f t="shared" si="63"/>
        <v>55060</v>
      </c>
      <c r="C567" s="86">
        <f t="shared" si="70"/>
        <v>0.28100000000000003</v>
      </c>
      <c r="D567" s="86">
        <f t="shared" si="70"/>
        <v>0.32600000000000001</v>
      </c>
      <c r="E567" s="86">
        <f t="shared" si="70"/>
        <v>6.0999999999999999E-2</v>
      </c>
      <c r="F567" s="86">
        <f t="shared" si="70"/>
        <v>2.5999999999999999E-2</v>
      </c>
      <c r="G567" s="87">
        <v>0.28100000000000003</v>
      </c>
      <c r="H567" s="87">
        <v>0.32600000000000001</v>
      </c>
      <c r="I567" s="87">
        <v>6.0999999999999999E-2</v>
      </c>
      <c r="J567" s="87">
        <v>2.5999999999999999E-2</v>
      </c>
      <c r="K567" s="76">
        <f>((11/3)*L566)+((1/3)*L578)</f>
        <v>37550</v>
      </c>
      <c r="L567" s="94"/>
      <c r="M567" s="353">
        <f t="shared" si="68"/>
        <v>0.6</v>
      </c>
      <c r="N567" s="353">
        <v>0.26</v>
      </c>
      <c r="O567" s="353">
        <f t="shared" si="69"/>
        <v>0.61</v>
      </c>
      <c r="P567" s="353">
        <v>0.34620000000000001</v>
      </c>
      <c r="Q567" s="353">
        <v>0.69640000000000002</v>
      </c>
      <c r="R567" s="353">
        <v>0.6</v>
      </c>
      <c r="S567" s="353">
        <v>0.61</v>
      </c>
    </row>
    <row r="568" spans="1:19" s="78" customFormat="1">
      <c r="A568" s="77">
        <f t="shared" si="64"/>
        <v>54727</v>
      </c>
      <c r="B568" s="77">
        <f t="shared" si="63"/>
        <v>55091</v>
      </c>
      <c r="C568" s="86">
        <f t="shared" si="70"/>
        <v>0.28100000000000003</v>
      </c>
      <c r="D568" s="86">
        <f t="shared" si="70"/>
        <v>0.32600000000000001</v>
      </c>
      <c r="E568" s="86">
        <f t="shared" si="70"/>
        <v>6.0999999999999999E-2</v>
      </c>
      <c r="F568" s="86">
        <f t="shared" si="70"/>
        <v>2.5999999999999999E-2</v>
      </c>
      <c r="G568" s="87">
        <v>0.28100000000000003</v>
      </c>
      <c r="H568" s="87">
        <v>0.32600000000000001</v>
      </c>
      <c r="I568" s="87">
        <v>6.0999999999999999E-2</v>
      </c>
      <c r="J568" s="87">
        <v>2.5999999999999999E-2</v>
      </c>
      <c r="K568" s="76">
        <f>((10/3)*L566)+((2/3)*L578)</f>
        <v>37706</v>
      </c>
      <c r="L568" s="94"/>
      <c r="M568" s="353">
        <f t="shared" si="68"/>
        <v>0.6</v>
      </c>
      <c r="N568" s="353">
        <v>0.26</v>
      </c>
      <c r="O568" s="353">
        <f t="shared" si="69"/>
        <v>0.61</v>
      </c>
      <c r="P568" s="353">
        <v>0.34620000000000001</v>
      </c>
      <c r="Q568" s="353">
        <v>0.69640000000000002</v>
      </c>
      <c r="R568" s="353">
        <v>0.6</v>
      </c>
      <c r="S568" s="353">
        <v>0.61</v>
      </c>
    </row>
    <row r="569" spans="1:19" s="78" customFormat="1">
      <c r="A569" s="77">
        <f t="shared" si="64"/>
        <v>54757</v>
      </c>
      <c r="B569" s="77">
        <f t="shared" si="63"/>
        <v>55121</v>
      </c>
      <c r="C569" s="86">
        <f t="shared" si="70"/>
        <v>0.28100000000000003</v>
      </c>
      <c r="D569" s="86">
        <f t="shared" si="70"/>
        <v>0.32600000000000001</v>
      </c>
      <c r="E569" s="86">
        <f t="shared" si="70"/>
        <v>6.0999999999999999E-2</v>
      </c>
      <c r="F569" s="86">
        <f t="shared" si="70"/>
        <v>2.5999999999999999E-2</v>
      </c>
      <c r="G569" s="87">
        <v>0.28100000000000003</v>
      </c>
      <c r="H569" s="87">
        <v>0.32600000000000001</v>
      </c>
      <c r="I569" s="87">
        <v>6.0999999999999999E-2</v>
      </c>
      <c r="J569" s="87">
        <v>2.5999999999999999E-2</v>
      </c>
      <c r="K569" s="76">
        <f>((9/3)*L566)+((3/3)*L578)</f>
        <v>37862</v>
      </c>
      <c r="L569" s="94"/>
      <c r="M569" s="353">
        <f t="shared" si="68"/>
        <v>0.6</v>
      </c>
      <c r="N569" s="353">
        <v>0.26</v>
      </c>
      <c r="O569" s="353">
        <f t="shared" si="69"/>
        <v>0.61</v>
      </c>
      <c r="P569" s="353">
        <v>0.34620000000000001</v>
      </c>
      <c r="Q569" s="353">
        <v>0.69640000000000002</v>
      </c>
      <c r="R569" s="353">
        <v>0.6</v>
      </c>
      <c r="S569" s="353">
        <v>0.61</v>
      </c>
    </row>
    <row r="570" spans="1:19" s="78" customFormat="1">
      <c r="A570" s="77">
        <f t="shared" si="64"/>
        <v>54788</v>
      </c>
      <c r="B570" s="77">
        <f t="shared" si="63"/>
        <v>55152</v>
      </c>
      <c r="C570" s="86">
        <f t="shared" si="70"/>
        <v>0.28100000000000003</v>
      </c>
      <c r="D570" s="86">
        <f t="shared" si="70"/>
        <v>0.32600000000000001</v>
      </c>
      <c r="E570" s="86">
        <f t="shared" si="70"/>
        <v>6.0999999999999999E-2</v>
      </c>
      <c r="F570" s="86">
        <f t="shared" si="70"/>
        <v>2.5999999999999999E-2</v>
      </c>
      <c r="G570" s="87">
        <v>0.28100000000000003</v>
      </c>
      <c r="H570" s="87">
        <v>0.32600000000000001</v>
      </c>
      <c r="I570" s="87">
        <v>6.0999999999999999E-2</v>
      </c>
      <c r="J570" s="87">
        <v>2.5999999999999999E-2</v>
      </c>
      <c r="K570" s="76">
        <f>((8/3)*L566)+((4/3)*L578)</f>
        <v>38017</v>
      </c>
      <c r="L570" s="94"/>
      <c r="M570" s="353">
        <f t="shared" si="68"/>
        <v>0.6</v>
      </c>
      <c r="N570" s="353">
        <v>0.26</v>
      </c>
      <c r="O570" s="353">
        <f t="shared" si="69"/>
        <v>0.61</v>
      </c>
      <c r="P570" s="353">
        <v>0.34620000000000001</v>
      </c>
      <c r="Q570" s="353">
        <v>0.69640000000000002</v>
      </c>
      <c r="R570" s="353">
        <v>0.6</v>
      </c>
      <c r="S570" s="353">
        <v>0.61</v>
      </c>
    </row>
    <row r="571" spans="1:19" s="78" customFormat="1">
      <c r="A571" s="77">
        <f t="shared" si="64"/>
        <v>54819</v>
      </c>
      <c r="B571" s="77">
        <f t="shared" si="63"/>
        <v>55183</v>
      </c>
      <c r="C571" s="86">
        <f t="shared" si="70"/>
        <v>0.28100000000000003</v>
      </c>
      <c r="D571" s="86">
        <f t="shared" si="70"/>
        <v>0.32600000000000001</v>
      </c>
      <c r="E571" s="86">
        <f t="shared" si="70"/>
        <v>6.0999999999999999E-2</v>
      </c>
      <c r="F571" s="86">
        <f t="shared" si="70"/>
        <v>2.5999999999999999E-2</v>
      </c>
      <c r="G571" s="87">
        <v>0.28100000000000003</v>
      </c>
      <c r="H571" s="87">
        <v>0.32600000000000001</v>
      </c>
      <c r="I571" s="87">
        <v>6.0999999999999999E-2</v>
      </c>
      <c r="J571" s="87">
        <v>2.5999999999999999E-2</v>
      </c>
      <c r="K571" s="76">
        <f>((7/3)*L566)+((5/3)*L578)</f>
        <v>38173</v>
      </c>
      <c r="L571" s="94"/>
      <c r="M571" s="353">
        <f t="shared" si="68"/>
        <v>0.6</v>
      </c>
      <c r="N571" s="353">
        <v>0.26</v>
      </c>
      <c r="O571" s="353">
        <f t="shared" si="69"/>
        <v>0.61</v>
      </c>
      <c r="P571" s="353">
        <v>0.34620000000000001</v>
      </c>
      <c r="Q571" s="353">
        <v>0.69640000000000002</v>
      </c>
      <c r="R571" s="353">
        <v>0.6</v>
      </c>
      <c r="S571" s="353">
        <v>0.61</v>
      </c>
    </row>
    <row r="572" spans="1:19" s="78" customFormat="1">
      <c r="A572" s="77">
        <f t="shared" si="64"/>
        <v>54847</v>
      </c>
      <c r="B572" s="77">
        <f t="shared" si="63"/>
        <v>55211</v>
      </c>
      <c r="C572" s="86">
        <f t="shared" si="70"/>
        <v>0.28100000000000003</v>
      </c>
      <c r="D572" s="86">
        <f t="shared" si="70"/>
        <v>0.32600000000000001</v>
      </c>
      <c r="E572" s="86">
        <f t="shared" si="70"/>
        <v>6.0999999999999999E-2</v>
      </c>
      <c r="F572" s="86">
        <f t="shared" si="70"/>
        <v>2.5999999999999999E-2</v>
      </c>
      <c r="G572" s="87">
        <v>0.28100000000000003</v>
      </c>
      <c r="H572" s="87">
        <v>0.32600000000000001</v>
      </c>
      <c r="I572" s="87">
        <v>6.0999999999999999E-2</v>
      </c>
      <c r="J572" s="87">
        <v>2.5999999999999999E-2</v>
      </c>
      <c r="K572" s="76">
        <f>((6/3)*L566)+((6/3)*L578)</f>
        <v>38329</v>
      </c>
      <c r="L572" s="94"/>
      <c r="M572" s="353">
        <f t="shared" si="68"/>
        <v>0.6</v>
      </c>
      <c r="N572" s="353">
        <v>0.26</v>
      </c>
      <c r="O572" s="353">
        <f t="shared" si="69"/>
        <v>0.61</v>
      </c>
      <c r="P572" s="353">
        <v>0.34620000000000001</v>
      </c>
      <c r="Q572" s="353">
        <v>0.69640000000000002</v>
      </c>
      <c r="R572" s="353">
        <v>0.6</v>
      </c>
      <c r="S572" s="353">
        <v>0.61</v>
      </c>
    </row>
    <row r="573" spans="1:19" s="78" customFormat="1">
      <c r="A573" s="77">
        <f t="shared" si="64"/>
        <v>54878</v>
      </c>
      <c r="B573" s="77">
        <f t="shared" si="63"/>
        <v>55242</v>
      </c>
      <c r="C573" s="86">
        <f t="shared" si="70"/>
        <v>0.28100000000000003</v>
      </c>
      <c r="D573" s="86">
        <f t="shared" si="70"/>
        <v>0.32600000000000001</v>
      </c>
      <c r="E573" s="86">
        <f t="shared" si="70"/>
        <v>6.0999999999999999E-2</v>
      </c>
      <c r="F573" s="86">
        <f t="shared" si="70"/>
        <v>2.5999999999999999E-2</v>
      </c>
      <c r="G573" s="87">
        <v>0.28100000000000003</v>
      </c>
      <c r="H573" s="87">
        <v>0.32600000000000001</v>
      </c>
      <c r="I573" s="87">
        <v>6.0999999999999999E-2</v>
      </c>
      <c r="J573" s="87">
        <v>2.5999999999999999E-2</v>
      </c>
      <c r="K573" s="76">
        <f>((5/3)*L566)+((7/3)*L578)</f>
        <v>38485</v>
      </c>
      <c r="L573" s="94"/>
      <c r="M573" s="353">
        <f t="shared" si="68"/>
        <v>0.6</v>
      </c>
      <c r="N573" s="353">
        <v>0.26</v>
      </c>
      <c r="O573" s="353">
        <f t="shared" si="69"/>
        <v>0.61</v>
      </c>
      <c r="P573" s="353">
        <v>0.34620000000000001</v>
      </c>
      <c r="Q573" s="353">
        <v>0.69640000000000002</v>
      </c>
      <c r="R573" s="353">
        <v>0.6</v>
      </c>
      <c r="S573" s="353">
        <v>0.61</v>
      </c>
    </row>
    <row r="574" spans="1:19" s="78" customFormat="1">
      <c r="A574" s="77">
        <f t="shared" si="64"/>
        <v>54908</v>
      </c>
      <c r="B574" s="77">
        <f t="shared" si="63"/>
        <v>55272</v>
      </c>
      <c r="C574" s="86">
        <f t="shared" si="70"/>
        <v>0.28100000000000003</v>
      </c>
      <c r="D574" s="86">
        <f t="shared" si="70"/>
        <v>0.32600000000000001</v>
      </c>
      <c r="E574" s="86">
        <f t="shared" si="70"/>
        <v>6.0999999999999999E-2</v>
      </c>
      <c r="F574" s="86">
        <f t="shared" si="70"/>
        <v>2.5999999999999999E-2</v>
      </c>
      <c r="G574" s="87">
        <v>0.28100000000000003</v>
      </c>
      <c r="H574" s="87">
        <v>0.32600000000000001</v>
      </c>
      <c r="I574" s="87">
        <v>6.0999999999999999E-2</v>
      </c>
      <c r="J574" s="87">
        <v>2.5999999999999999E-2</v>
      </c>
      <c r="K574" s="76">
        <f>((4/3)*L566)+((8/3)*L578)</f>
        <v>38641</v>
      </c>
      <c r="L574" s="94"/>
      <c r="M574" s="353">
        <f t="shared" si="68"/>
        <v>0.6</v>
      </c>
      <c r="N574" s="353">
        <v>0.26</v>
      </c>
      <c r="O574" s="353">
        <f t="shared" si="69"/>
        <v>0.61</v>
      </c>
      <c r="P574" s="353">
        <v>0.34620000000000001</v>
      </c>
      <c r="Q574" s="353">
        <v>0.69640000000000002</v>
      </c>
      <c r="R574" s="353">
        <v>0.6</v>
      </c>
      <c r="S574" s="353">
        <v>0.61</v>
      </c>
    </row>
    <row r="575" spans="1:19" s="78" customFormat="1">
      <c r="A575" s="77">
        <f t="shared" si="64"/>
        <v>54939</v>
      </c>
      <c r="B575" s="77">
        <f t="shared" si="63"/>
        <v>55303</v>
      </c>
      <c r="C575" s="86">
        <f t="shared" si="70"/>
        <v>0.28100000000000003</v>
      </c>
      <c r="D575" s="86">
        <f t="shared" si="70"/>
        <v>0.32600000000000001</v>
      </c>
      <c r="E575" s="86">
        <f t="shared" si="70"/>
        <v>6.0999999999999999E-2</v>
      </c>
      <c r="F575" s="86">
        <f t="shared" si="70"/>
        <v>2.5999999999999999E-2</v>
      </c>
      <c r="G575" s="87">
        <v>0.28100000000000003</v>
      </c>
      <c r="H575" s="87">
        <v>0.32600000000000001</v>
      </c>
      <c r="I575" s="87">
        <v>6.0999999999999999E-2</v>
      </c>
      <c r="J575" s="87">
        <v>2.5999999999999999E-2</v>
      </c>
      <c r="K575" s="76">
        <f>((3/3)*L566)+((9/3)*L578)</f>
        <v>38796</v>
      </c>
      <c r="L575" s="94"/>
      <c r="M575" s="353">
        <f t="shared" si="68"/>
        <v>0.6</v>
      </c>
      <c r="N575" s="353">
        <v>0.26</v>
      </c>
      <c r="O575" s="353">
        <f t="shared" si="69"/>
        <v>0.61</v>
      </c>
      <c r="P575" s="353">
        <v>0.34620000000000001</v>
      </c>
      <c r="Q575" s="353">
        <v>0.69640000000000002</v>
      </c>
      <c r="R575" s="353">
        <v>0.6</v>
      </c>
      <c r="S575" s="353">
        <v>0.61</v>
      </c>
    </row>
    <row r="576" spans="1:19" s="78" customFormat="1">
      <c r="A576" s="77">
        <f t="shared" si="64"/>
        <v>54969</v>
      </c>
      <c r="B576" s="77">
        <f t="shared" si="63"/>
        <v>55333</v>
      </c>
      <c r="C576" s="86">
        <f t="shared" si="70"/>
        <v>0.28100000000000003</v>
      </c>
      <c r="D576" s="86">
        <f t="shared" si="70"/>
        <v>0.32600000000000001</v>
      </c>
      <c r="E576" s="86">
        <f t="shared" si="70"/>
        <v>6.0999999999999999E-2</v>
      </c>
      <c r="F576" s="86">
        <f t="shared" si="70"/>
        <v>2.5999999999999999E-2</v>
      </c>
      <c r="G576" s="87">
        <v>0.28100000000000003</v>
      </c>
      <c r="H576" s="87">
        <v>0.32600000000000001</v>
      </c>
      <c r="I576" s="87">
        <v>6.0999999999999999E-2</v>
      </c>
      <c r="J576" s="87">
        <v>2.5999999999999999E-2</v>
      </c>
      <c r="K576" s="76">
        <f>((2/3)*L566)+((10/3)*L578)</f>
        <v>38952</v>
      </c>
      <c r="L576" s="94"/>
      <c r="M576" s="353">
        <f t="shared" si="68"/>
        <v>0.6</v>
      </c>
      <c r="N576" s="353">
        <v>0.26</v>
      </c>
      <c r="O576" s="353">
        <f t="shared" si="69"/>
        <v>0.61</v>
      </c>
      <c r="P576" s="353">
        <v>0.34620000000000001</v>
      </c>
      <c r="Q576" s="353">
        <v>0.69640000000000002</v>
      </c>
      <c r="R576" s="353">
        <v>0.6</v>
      </c>
      <c r="S576" s="353">
        <v>0.61</v>
      </c>
    </row>
    <row r="577" spans="1:19" s="78" customFormat="1">
      <c r="A577" s="77">
        <f t="shared" si="64"/>
        <v>55000</v>
      </c>
      <c r="B577" s="77">
        <f t="shared" si="63"/>
        <v>55364</v>
      </c>
      <c r="C577" s="86">
        <f t="shared" si="70"/>
        <v>0.28100000000000003</v>
      </c>
      <c r="D577" s="86">
        <f t="shared" si="70"/>
        <v>0.32600000000000001</v>
      </c>
      <c r="E577" s="86">
        <f t="shared" si="70"/>
        <v>6.0999999999999999E-2</v>
      </c>
      <c r="F577" s="86">
        <f t="shared" si="70"/>
        <v>2.5999999999999999E-2</v>
      </c>
      <c r="G577" s="87">
        <v>0.28100000000000003</v>
      </c>
      <c r="H577" s="87">
        <v>0.32600000000000001</v>
      </c>
      <c r="I577" s="87">
        <v>6.0999999999999999E-2</v>
      </c>
      <c r="J577" s="87">
        <v>2.5999999999999999E-2</v>
      </c>
      <c r="K577" s="76">
        <f>((1/3)*L566)+((11/3)*L578)</f>
        <v>39108</v>
      </c>
      <c r="L577" s="94"/>
      <c r="M577" s="353">
        <f t="shared" si="68"/>
        <v>0.6</v>
      </c>
      <c r="N577" s="353">
        <v>0.26</v>
      </c>
      <c r="O577" s="353">
        <f t="shared" si="69"/>
        <v>0.61</v>
      </c>
      <c r="P577" s="353">
        <v>0.34620000000000001</v>
      </c>
      <c r="Q577" s="353">
        <v>0.69640000000000002</v>
      </c>
      <c r="R577" s="353">
        <v>0.6</v>
      </c>
      <c r="S577" s="353">
        <v>0.61</v>
      </c>
    </row>
    <row r="578" spans="1:19">
      <c r="A578" s="19">
        <f t="shared" si="64"/>
        <v>55031</v>
      </c>
      <c r="B578" s="19">
        <f t="shared" ref="B578:B641" si="71">EDATE(A578,12)-1</f>
        <v>55395</v>
      </c>
      <c r="C578" s="84">
        <f t="shared" si="70"/>
        <v>0.28100000000000003</v>
      </c>
      <c r="D578" s="84">
        <f t="shared" si="70"/>
        <v>0.32600000000000001</v>
      </c>
      <c r="E578" s="84">
        <f t="shared" si="70"/>
        <v>6.0999999999999999E-2</v>
      </c>
      <c r="F578" s="84">
        <f t="shared" si="70"/>
        <v>2.5999999999999999E-2</v>
      </c>
      <c r="G578" s="85">
        <v>0.28100000000000003</v>
      </c>
      <c r="H578" s="85">
        <v>0.32600000000000001</v>
      </c>
      <c r="I578" s="85">
        <v>6.0999999999999999E-2</v>
      </c>
      <c r="J578" s="85">
        <v>2.5999999999999999E-2</v>
      </c>
      <c r="K578" s="25">
        <f>(L578*4)</f>
        <v>39264</v>
      </c>
      <c r="L578" s="93">
        <f>L566*1.05</f>
        <v>9815.98</v>
      </c>
      <c r="M578" s="80">
        <f t="shared" si="68"/>
        <v>0.6</v>
      </c>
      <c r="N578" s="80">
        <v>0.26</v>
      </c>
      <c r="O578" s="80">
        <f t="shared" si="69"/>
        <v>0.61</v>
      </c>
      <c r="P578" s="80">
        <v>0.34620000000000001</v>
      </c>
      <c r="Q578" s="80">
        <v>0.69640000000000002</v>
      </c>
      <c r="R578" s="80">
        <v>0.6</v>
      </c>
      <c r="S578" s="80">
        <v>0.61</v>
      </c>
    </row>
    <row r="579" spans="1:19">
      <c r="A579" s="19">
        <f t="shared" ref="A579:A642" si="72">EDATE(A578,1)</f>
        <v>55061</v>
      </c>
      <c r="B579" s="19">
        <f t="shared" si="71"/>
        <v>55425</v>
      </c>
      <c r="C579" s="84">
        <f t="shared" ref="C579:F594" si="73">AVERAGE(G579:G590)</f>
        <v>0.28100000000000003</v>
      </c>
      <c r="D579" s="84">
        <f t="shared" si="73"/>
        <v>0.32600000000000001</v>
      </c>
      <c r="E579" s="84">
        <f t="shared" si="73"/>
        <v>6.0999999999999999E-2</v>
      </c>
      <c r="F579" s="84">
        <f t="shared" si="73"/>
        <v>2.5999999999999999E-2</v>
      </c>
      <c r="G579" s="85">
        <v>0.28100000000000003</v>
      </c>
      <c r="H579" s="85">
        <v>0.32600000000000001</v>
      </c>
      <c r="I579" s="85">
        <v>6.0999999999999999E-2</v>
      </c>
      <c r="J579" s="85">
        <v>2.5999999999999999E-2</v>
      </c>
      <c r="K579" s="25">
        <f>((11/3)*L578)+((1/3)*L590)</f>
        <v>39428</v>
      </c>
      <c r="L579" s="93"/>
      <c r="M579" s="80">
        <f t="shared" si="68"/>
        <v>0.6</v>
      </c>
      <c r="N579" s="80">
        <v>0.26</v>
      </c>
      <c r="O579" s="80">
        <f t="shared" si="69"/>
        <v>0.61</v>
      </c>
      <c r="P579" s="80">
        <v>0.34620000000000001</v>
      </c>
      <c r="Q579" s="80">
        <v>0.69640000000000002</v>
      </c>
      <c r="R579" s="80">
        <v>0.6</v>
      </c>
      <c r="S579" s="80">
        <v>0.61</v>
      </c>
    </row>
    <row r="580" spans="1:19">
      <c r="A580" s="19">
        <f t="shared" si="72"/>
        <v>55092</v>
      </c>
      <c r="B580" s="19">
        <f t="shared" si="71"/>
        <v>55456</v>
      </c>
      <c r="C580" s="84">
        <f t="shared" si="73"/>
        <v>0.28100000000000003</v>
      </c>
      <c r="D580" s="84">
        <f t="shared" si="73"/>
        <v>0.32600000000000001</v>
      </c>
      <c r="E580" s="84">
        <f t="shared" si="73"/>
        <v>6.0999999999999999E-2</v>
      </c>
      <c r="F580" s="84">
        <f t="shared" si="73"/>
        <v>2.5999999999999999E-2</v>
      </c>
      <c r="G580" s="85">
        <v>0.28100000000000003</v>
      </c>
      <c r="H580" s="85">
        <v>0.32600000000000001</v>
      </c>
      <c r="I580" s="85">
        <v>6.0999999999999999E-2</v>
      </c>
      <c r="J580" s="85">
        <v>2.5999999999999999E-2</v>
      </c>
      <c r="K580" s="25">
        <f>((10/3)*L578)+((2/3)*L590)</f>
        <v>39591</v>
      </c>
      <c r="L580" s="93"/>
      <c r="M580" s="80">
        <f t="shared" si="68"/>
        <v>0.6</v>
      </c>
      <c r="N580" s="80">
        <v>0.26</v>
      </c>
      <c r="O580" s="80">
        <f t="shared" si="69"/>
        <v>0.61</v>
      </c>
      <c r="P580" s="80">
        <v>0.34620000000000001</v>
      </c>
      <c r="Q580" s="80">
        <v>0.69640000000000002</v>
      </c>
      <c r="R580" s="80">
        <v>0.6</v>
      </c>
      <c r="S580" s="80">
        <v>0.61</v>
      </c>
    </row>
    <row r="581" spans="1:19">
      <c r="A581" s="19">
        <f t="shared" si="72"/>
        <v>55122</v>
      </c>
      <c r="B581" s="19">
        <f t="shared" si="71"/>
        <v>55486</v>
      </c>
      <c r="C581" s="84">
        <f t="shared" si="73"/>
        <v>0.28100000000000003</v>
      </c>
      <c r="D581" s="84">
        <f t="shared" si="73"/>
        <v>0.32600000000000001</v>
      </c>
      <c r="E581" s="84">
        <f t="shared" si="73"/>
        <v>6.0999999999999999E-2</v>
      </c>
      <c r="F581" s="84">
        <f t="shared" si="73"/>
        <v>2.5999999999999999E-2</v>
      </c>
      <c r="G581" s="85">
        <v>0.28100000000000003</v>
      </c>
      <c r="H581" s="85">
        <v>0.32600000000000001</v>
      </c>
      <c r="I581" s="85">
        <v>6.0999999999999999E-2</v>
      </c>
      <c r="J581" s="85">
        <v>2.5999999999999999E-2</v>
      </c>
      <c r="K581" s="25">
        <f>((9/3)*L578)+((3/3)*L590)</f>
        <v>39755</v>
      </c>
      <c r="L581" s="93"/>
      <c r="M581" s="80">
        <f t="shared" si="68"/>
        <v>0.6</v>
      </c>
      <c r="N581" s="80">
        <v>0.26</v>
      </c>
      <c r="O581" s="80">
        <f t="shared" si="69"/>
        <v>0.61</v>
      </c>
      <c r="P581" s="80">
        <v>0.34620000000000001</v>
      </c>
      <c r="Q581" s="80">
        <v>0.69640000000000002</v>
      </c>
      <c r="R581" s="80">
        <v>0.6</v>
      </c>
      <c r="S581" s="80">
        <v>0.61</v>
      </c>
    </row>
    <row r="582" spans="1:19">
      <c r="A582" s="19">
        <f t="shared" si="72"/>
        <v>55153</v>
      </c>
      <c r="B582" s="19">
        <f t="shared" si="71"/>
        <v>55517</v>
      </c>
      <c r="C582" s="84">
        <f t="shared" si="73"/>
        <v>0.28100000000000003</v>
      </c>
      <c r="D582" s="84">
        <f t="shared" si="73"/>
        <v>0.32600000000000001</v>
      </c>
      <c r="E582" s="84">
        <f t="shared" si="73"/>
        <v>6.0999999999999999E-2</v>
      </c>
      <c r="F582" s="84">
        <f t="shared" si="73"/>
        <v>2.5999999999999999E-2</v>
      </c>
      <c r="G582" s="85">
        <v>0.28100000000000003</v>
      </c>
      <c r="H582" s="85">
        <v>0.32600000000000001</v>
      </c>
      <c r="I582" s="85">
        <v>6.0999999999999999E-2</v>
      </c>
      <c r="J582" s="85">
        <v>2.5999999999999999E-2</v>
      </c>
      <c r="K582" s="25">
        <f>((8/3)*L578)+((4/3)*L590)</f>
        <v>39918</v>
      </c>
      <c r="L582" s="93"/>
      <c r="M582" s="80">
        <f t="shared" si="68"/>
        <v>0.6</v>
      </c>
      <c r="N582" s="80">
        <v>0.26</v>
      </c>
      <c r="O582" s="80">
        <f t="shared" si="69"/>
        <v>0.61</v>
      </c>
      <c r="P582" s="80">
        <v>0.34620000000000001</v>
      </c>
      <c r="Q582" s="80">
        <v>0.69640000000000002</v>
      </c>
      <c r="R582" s="80">
        <v>0.6</v>
      </c>
      <c r="S582" s="80">
        <v>0.61</v>
      </c>
    </row>
    <row r="583" spans="1:19">
      <c r="A583" s="19">
        <f t="shared" si="72"/>
        <v>55184</v>
      </c>
      <c r="B583" s="19">
        <f t="shared" si="71"/>
        <v>55548</v>
      </c>
      <c r="C583" s="84">
        <f t="shared" si="73"/>
        <v>0.28100000000000003</v>
      </c>
      <c r="D583" s="84">
        <f t="shared" si="73"/>
        <v>0.32600000000000001</v>
      </c>
      <c r="E583" s="84">
        <f t="shared" si="73"/>
        <v>6.0999999999999999E-2</v>
      </c>
      <c r="F583" s="84">
        <f t="shared" si="73"/>
        <v>2.5999999999999999E-2</v>
      </c>
      <c r="G583" s="85">
        <v>0.28100000000000003</v>
      </c>
      <c r="H583" s="85">
        <v>0.32600000000000001</v>
      </c>
      <c r="I583" s="85">
        <v>6.0999999999999999E-2</v>
      </c>
      <c r="J583" s="85">
        <v>2.5999999999999999E-2</v>
      </c>
      <c r="K583" s="25">
        <f>((7/3)*L578)+((5/3)*L590)</f>
        <v>40082</v>
      </c>
      <c r="L583" s="93"/>
      <c r="M583" s="80">
        <f t="shared" si="68"/>
        <v>0.6</v>
      </c>
      <c r="N583" s="80">
        <v>0.26</v>
      </c>
      <c r="O583" s="80">
        <f t="shared" si="69"/>
        <v>0.61</v>
      </c>
      <c r="P583" s="80">
        <v>0.34620000000000001</v>
      </c>
      <c r="Q583" s="80">
        <v>0.69640000000000002</v>
      </c>
      <c r="R583" s="80">
        <v>0.6</v>
      </c>
      <c r="S583" s="80">
        <v>0.61</v>
      </c>
    </row>
    <row r="584" spans="1:19">
      <c r="A584" s="19">
        <f t="shared" si="72"/>
        <v>55212</v>
      </c>
      <c r="B584" s="19">
        <f t="shared" si="71"/>
        <v>55577</v>
      </c>
      <c r="C584" s="84">
        <f t="shared" si="73"/>
        <v>0.28100000000000003</v>
      </c>
      <c r="D584" s="84">
        <f t="shared" si="73"/>
        <v>0.32600000000000001</v>
      </c>
      <c r="E584" s="84">
        <f t="shared" si="73"/>
        <v>6.0999999999999999E-2</v>
      </c>
      <c r="F584" s="84">
        <f t="shared" si="73"/>
        <v>2.5999999999999999E-2</v>
      </c>
      <c r="G584" s="85">
        <v>0.28100000000000003</v>
      </c>
      <c r="H584" s="85">
        <v>0.32600000000000001</v>
      </c>
      <c r="I584" s="85">
        <v>6.0999999999999999E-2</v>
      </c>
      <c r="J584" s="85">
        <v>2.5999999999999999E-2</v>
      </c>
      <c r="K584" s="25">
        <f>((6/3)*L578)+((6/3)*L590)</f>
        <v>40246</v>
      </c>
      <c r="L584" s="93"/>
      <c r="M584" s="80">
        <f t="shared" si="68"/>
        <v>0.6</v>
      </c>
      <c r="N584" s="80">
        <v>0.26</v>
      </c>
      <c r="O584" s="80">
        <f t="shared" si="69"/>
        <v>0.61</v>
      </c>
      <c r="P584" s="80">
        <v>0.34620000000000001</v>
      </c>
      <c r="Q584" s="80">
        <v>0.69640000000000002</v>
      </c>
      <c r="R584" s="80">
        <v>0.6</v>
      </c>
      <c r="S584" s="80">
        <v>0.61</v>
      </c>
    </row>
    <row r="585" spans="1:19">
      <c r="A585" s="19">
        <f t="shared" si="72"/>
        <v>55243</v>
      </c>
      <c r="B585" s="19">
        <f t="shared" si="71"/>
        <v>55608</v>
      </c>
      <c r="C585" s="84">
        <f t="shared" si="73"/>
        <v>0.28100000000000003</v>
      </c>
      <c r="D585" s="84">
        <f t="shared" si="73"/>
        <v>0.32600000000000001</v>
      </c>
      <c r="E585" s="84">
        <f t="shared" si="73"/>
        <v>6.0999999999999999E-2</v>
      </c>
      <c r="F585" s="84">
        <f t="shared" si="73"/>
        <v>2.5999999999999999E-2</v>
      </c>
      <c r="G585" s="85">
        <v>0.28100000000000003</v>
      </c>
      <c r="H585" s="85">
        <v>0.32600000000000001</v>
      </c>
      <c r="I585" s="85">
        <v>6.0999999999999999E-2</v>
      </c>
      <c r="J585" s="85">
        <v>2.5999999999999999E-2</v>
      </c>
      <c r="K585" s="25">
        <f>((5/3)*L578)+((7/3)*L590)</f>
        <v>40409</v>
      </c>
      <c r="L585" s="93"/>
      <c r="M585" s="80">
        <f t="shared" si="68"/>
        <v>0.6</v>
      </c>
      <c r="N585" s="80">
        <v>0.26</v>
      </c>
      <c r="O585" s="80">
        <f t="shared" si="69"/>
        <v>0.61</v>
      </c>
      <c r="P585" s="80">
        <v>0.34620000000000001</v>
      </c>
      <c r="Q585" s="80">
        <v>0.69640000000000002</v>
      </c>
      <c r="R585" s="80">
        <v>0.6</v>
      </c>
      <c r="S585" s="80">
        <v>0.61</v>
      </c>
    </row>
    <row r="586" spans="1:19">
      <c r="A586" s="19">
        <f t="shared" si="72"/>
        <v>55273</v>
      </c>
      <c r="B586" s="19">
        <f t="shared" si="71"/>
        <v>55638</v>
      </c>
      <c r="C586" s="84">
        <f t="shared" si="73"/>
        <v>0.28100000000000003</v>
      </c>
      <c r="D586" s="84">
        <f t="shared" si="73"/>
        <v>0.32600000000000001</v>
      </c>
      <c r="E586" s="84">
        <f t="shared" si="73"/>
        <v>6.0999999999999999E-2</v>
      </c>
      <c r="F586" s="84">
        <f t="shared" si="73"/>
        <v>2.5999999999999999E-2</v>
      </c>
      <c r="G586" s="85">
        <v>0.28100000000000003</v>
      </c>
      <c r="H586" s="85">
        <v>0.32600000000000001</v>
      </c>
      <c r="I586" s="85">
        <v>6.0999999999999999E-2</v>
      </c>
      <c r="J586" s="85">
        <v>2.5999999999999999E-2</v>
      </c>
      <c r="K586" s="25">
        <f>((4/3)*L578)+((8/3)*L590)</f>
        <v>40573</v>
      </c>
      <c r="L586" s="93"/>
      <c r="M586" s="80">
        <f t="shared" si="68"/>
        <v>0.6</v>
      </c>
      <c r="N586" s="80">
        <v>0.26</v>
      </c>
      <c r="O586" s="80">
        <f t="shared" si="69"/>
        <v>0.61</v>
      </c>
      <c r="P586" s="80">
        <v>0.34620000000000001</v>
      </c>
      <c r="Q586" s="80">
        <v>0.69640000000000002</v>
      </c>
      <c r="R586" s="80">
        <v>0.6</v>
      </c>
      <c r="S586" s="80">
        <v>0.61</v>
      </c>
    </row>
    <row r="587" spans="1:19">
      <c r="A587" s="19">
        <f t="shared" si="72"/>
        <v>55304</v>
      </c>
      <c r="B587" s="19">
        <f t="shared" si="71"/>
        <v>55669</v>
      </c>
      <c r="C587" s="84">
        <f t="shared" si="73"/>
        <v>0.28100000000000003</v>
      </c>
      <c r="D587" s="84">
        <f t="shared" si="73"/>
        <v>0.32600000000000001</v>
      </c>
      <c r="E587" s="84">
        <f t="shared" si="73"/>
        <v>6.0999999999999999E-2</v>
      </c>
      <c r="F587" s="84">
        <f t="shared" si="73"/>
        <v>2.5999999999999999E-2</v>
      </c>
      <c r="G587" s="85">
        <v>0.28100000000000003</v>
      </c>
      <c r="H587" s="85">
        <v>0.32600000000000001</v>
      </c>
      <c r="I587" s="85">
        <v>6.0999999999999999E-2</v>
      </c>
      <c r="J587" s="85">
        <v>2.5999999999999999E-2</v>
      </c>
      <c r="K587" s="25">
        <f>((3/3)*L578)+((9/3)*L590)</f>
        <v>40736</v>
      </c>
      <c r="L587" s="93"/>
      <c r="M587" s="80">
        <f t="shared" si="68"/>
        <v>0.6</v>
      </c>
      <c r="N587" s="80">
        <v>0.26</v>
      </c>
      <c r="O587" s="80">
        <f t="shared" si="69"/>
        <v>0.61</v>
      </c>
      <c r="P587" s="80">
        <v>0.34620000000000001</v>
      </c>
      <c r="Q587" s="80">
        <v>0.69640000000000002</v>
      </c>
      <c r="R587" s="80">
        <v>0.6</v>
      </c>
      <c r="S587" s="80">
        <v>0.61</v>
      </c>
    </row>
    <row r="588" spans="1:19">
      <c r="A588" s="19">
        <f t="shared" si="72"/>
        <v>55334</v>
      </c>
      <c r="B588" s="19">
        <f t="shared" si="71"/>
        <v>55699</v>
      </c>
      <c r="C588" s="84">
        <f t="shared" si="73"/>
        <v>0.28100000000000003</v>
      </c>
      <c r="D588" s="84">
        <f t="shared" si="73"/>
        <v>0.32600000000000001</v>
      </c>
      <c r="E588" s="84">
        <f t="shared" si="73"/>
        <v>6.0999999999999999E-2</v>
      </c>
      <c r="F588" s="84">
        <f t="shared" si="73"/>
        <v>2.5999999999999999E-2</v>
      </c>
      <c r="G588" s="85">
        <v>0.28100000000000003</v>
      </c>
      <c r="H588" s="85">
        <v>0.32600000000000001</v>
      </c>
      <c r="I588" s="85">
        <v>6.0999999999999999E-2</v>
      </c>
      <c r="J588" s="85">
        <v>2.5999999999999999E-2</v>
      </c>
      <c r="K588" s="25">
        <f>((2/3)*L578)+((10/3)*L590)</f>
        <v>40900</v>
      </c>
      <c r="L588" s="93"/>
      <c r="M588" s="80">
        <f t="shared" si="68"/>
        <v>0.6</v>
      </c>
      <c r="N588" s="80">
        <v>0.26</v>
      </c>
      <c r="O588" s="80">
        <f t="shared" si="69"/>
        <v>0.61</v>
      </c>
      <c r="P588" s="80">
        <v>0.34620000000000001</v>
      </c>
      <c r="Q588" s="80">
        <v>0.69640000000000002</v>
      </c>
      <c r="R588" s="80">
        <v>0.6</v>
      </c>
      <c r="S588" s="80">
        <v>0.61</v>
      </c>
    </row>
    <row r="589" spans="1:19">
      <c r="A589" s="19">
        <f t="shared" si="72"/>
        <v>55365</v>
      </c>
      <c r="B589" s="19">
        <f t="shared" si="71"/>
        <v>55730</v>
      </c>
      <c r="C589" s="81">
        <f t="shared" si="73"/>
        <v>0.28100000000000003</v>
      </c>
      <c r="D589" s="81">
        <f t="shared" si="73"/>
        <v>0.32600000000000001</v>
      </c>
      <c r="E589" s="81">
        <f t="shared" si="73"/>
        <v>6.0999999999999999E-2</v>
      </c>
      <c r="F589" s="81">
        <f t="shared" si="73"/>
        <v>2.5999999999999999E-2</v>
      </c>
      <c r="G589" s="85">
        <v>0.28100000000000003</v>
      </c>
      <c r="H589" s="85">
        <v>0.32600000000000001</v>
      </c>
      <c r="I589" s="85">
        <v>6.0999999999999999E-2</v>
      </c>
      <c r="J589" s="85">
        <v>2.5999999999999999E-2</v>
      </c>
      <c r="K589" s="25">
        <f>((1/3)*L578)+((11/3)*L590)</f>
        <v>41064</v>
      </c>
      <c r="L589" s="93"/>
      <c r="M589" s="80">
        <f t="shared" si="68"/>
        <v>0.6</v>
      </c>
      <c r="N589" s="80">
        <v>0.26</v>
      </c>
      <c r="O589" s="80">
        <f t="shared" si="69"/>
        <v>0.61</v>
      </c>
      <c r="P589" s="80">
        <v>0.34620000000000001</v>
      </c>
      <c r="Q589" s="80">
        <v>0.69640000000000002</v>
      </c>
      <c r="R589" s="80">
        <v>0.6</v>
      </c>
      <c r="S589" s="80">
        <v>0.61</v>
      </c>
    </row>
    <row r="590" spans="1:19" s="78" customFormat="1">
      <c r="A590" s="77">
        <f t="shared" si="72"/>
        <v>55396</v>
      </c>
      <c r="B590" s="77">
        <f t="shared" si="71"/>
        <v>55761</v>
      </c>
      <c r="C590" s="86">
        <f t="shared" si="73"/>
        <v>0.28100000000000003</v>
      </c>
      <c r="D590" s="86">
        <f t="shared" si="73"/>
        <v>0.32600000000000001</v>
      </c>
      <c r="E590" s="86">
        <f t="shared" si="73"/>
        <v>6.0999999999999999E-2</v>
      </c>
      <c r="F590" s="86">
        <f t="shared" si="73"/>
        <v>2.5999999999999999E-2</v>
      </c>
      <c r="G590" s="87">
        <v>0.28100000000000003</v>
      </c>
      <c r="H590" s="87">
        <v>0.32600000000000001</v>
      </c>
      <c r="I590" s="87">
        <v>6.0999999999999999E-2</v>
      </c>
      <c r="J590" s="87">
        <v>2.5999999999999999E-2</v>
      </c>
      <c r="K590" s="76">
        <f>(L590*4)</f>
        <v>41227</v>
      </c>
      <c r="L590" s="94">
        <f>L578*1.05</f>
        <v>10306.780000000001</v>
      </c>
      <c r="M590" s="353">
        <f t="shared" si="68"/>
        <v>0.6</v>
      </c>
      <c r="N590" s="353">
        <v>0.26</v>
      </c>
      <c r="O590" s="353">
        <f t="shared" si="69"/>
        <v>0.61</v>
      </c>
      <c r="P590" s="353">
        <v>0.34620000000000001</v>
      </c>
      <c r="Q590" s="353">
        <v>0.69640000000000002</v>
      </c>
      <c r="R590" s="353">
        <v>0.6</v>
      </c>
      <c r="S590" s="353">
        <v>0.61</v>
      </c>
    </row>
    <row r="591" spans="1:19" s="78" customFormat="1">
      <c r="A591" s="77">
        <f t="shared" si="72"/>
        <v>55426</v>
      </c>
      <c r="B591" s="77">
        <f t="shared" si="71"/>
        <v>55791</v>
      </c>
      <c r="C591" s="86">
        <f t="shared" si="73"/>
        <v>0.28100000000000003</v>
      </c>
      <c r="D591" s="86">
        <f t="shared" si="73"/>
        <v>0.32600000000000001</v>
      </c>
      <c r="E591" s="86">
        <f t="shared" si="73"/>
        <v>6.0999999999999999E-2</v>
      </c>
      <c r="F591" s="86">
        <f t="shared" si="73"/>
        <v>2.5999999999999999E-2</v>
      </c>
      <c r="G591" s="87">
        <v>0.28100000000000003</v>
      </c>
      <c r="H591" s="87">
        <v>0.32600000000000001</v>
      </c>
      <c r="I591" s="87">
        <v>6.0999999999999999E-2</v>
      </c>
      <c r="J591" s="87">
        <v>2.5999999999999999E-2</v>
      </c>
      <c r="K591" s="76">
        <f>((11/3)*L590)+((1/3)*L602)</f>
        <v>41399</v>
      </c>
      <c r="L591" s="94"/>
      <c r="M591" s="353">
        <f t="shared" si="68"/>
        <v>0.6</v>
      </c>
      <c r="N591" s="353">
        <v>0.26</v>
      </c>
      <c r="O591" s="353">
        <f t="shared" si="69"/>
        <v>0.61</v>
      </c>
      <c r="P591" s="353">
        <v>0.34620000000000001</v>
      </c>
      <c r="Q591" s="353">
        <v>0.69640000000000002</v>
      </c>
      <c r="R591" s="353">
        <v>0.6</v>
      </c>
      <c r="S591" s="353">
        <v>0.61</v>
      </c>
    </row>
    <row r="592" spans="1:19" s="78" customFormat="1">
      <c r="A592" s="77">
        <f t="shared" si="72"/>
        <v>55457</v>
      </c>
      <c r="B592" s="77">
        <f t="shared" si="71"/>
        <v>55822</v>
      </c>
      <c r="C592" s="86">
        <f t="shared" si="73"/>
        <v>0.28100000000000003</v>
      </c>
      <c r="D592" s="86">
        <f t="shared" si="73"/>
        <v>0.32600000000000001</v>
      </c>
      <c r="E592" s="86">
        <f t="shared" si="73"/>
        <v>6.0999999999999999E-2</v>
      </c>
      <c r="F592" s="86">
        <f t="shared" si="73"/>
        <v>2.5999999999999999E-2</v>
      </c>
      <c r="G592" s="87">
        <v>0.28100000000000003</v>
      </c>
      <c r="H592" s="87">
        <v>0.32600000000000001</v>
      </c>
      <c r="I592" s="87">
        <v>6.0999999999999999E-2</v>
      </c>
      <c r="J592" s="87">
        <v>2.5999999999999999E-2</v>
      </c>
      <c r="K592" s="76">
        <f>((10/3)*L590)+((2/3)*L602)</f>
        <v>41571</v>
      </c>
      <c r="L592" s="94"/>
      <c r="M592" s="353">
        <f t="shared" si="68"/>
        <v>0.6</v>
      </c>
      <c r="N592" s="353">
        <v>0.26</v>
      </c>
      <c r="O592" s="353">
        <f t="shared" si="69"/>
        <v>0.61</v>
      </c>
      <c r="P592" s="353">
        <v>0.34620000000000001</v>
      </c>
      <c r="Q592" s="353">
        <v>0.69640000000000002</v>
      </c>
      <c r="R592" s="353">
        <v>0.6</v>
      </c>
      <c r="S592" s="353">
        <v>0.61</v>
      </c>
    </row>
    <row r="593" spans="1:19" s="78" customFormat="1">
      <c r="A593" s="77">
        <f t="shared" si="72"/>
        <v>55487</v>
      </c>
      <c r="B593" s="77">
        <f t="shared" si="71"/>
        <v>55852</v>
      </c>
      <c r="C593" s="86">
        <f t="shared" si="73"/>
        <v>0.28100000000000003</v>
      </c>
      <c r="D593" s="86">
        <f t="shared" si="73"/>
        <v>0.32600000000000001</v>
      </c>
      <c r="E593" s="86">
        <f t="shared" si="73"/>
        <v>6.0999999999999999E-2</v>
      </c>
      <c r="F593" s="86">
        <f t="shared" si="73"/>
        <v>2.5999999999999999E-2</v>
      </c>
      <c r="G593" s="87">
        <v>0.28100000000000003</v>
      </c>
      <c r="H593" s="87">
        <v>0.32600000000000001</v>
      </c>
      <c r="I593" s="87">
        <v>6.0999999999999999E-2</v>
      </c>
      <c r="J593" s="87">
        <v>2.5999999999999999E-2</v>
      </c>
      <c r="K593" s="76">
        <f>((9/3)*L590)+((3/3)*L602)</f>
        <v>41742</v>
      </c>
      <c r="L593" s="94"/>
      <c r="M593" s="353">
        <f t="shared" si="68"/>
        <v>0.6</v>
      </c>
      <c r="N593" s="353">
        <v>0.26</v>
      </c>
      <c r="O593" s="353">
        <f t="shared" si="69"/>
        <v>0.61</v>
      </c>
      <c r="P593" s="353">
        <v>0.34620000000000001</v>
      </c>
      <c r="Q593" s="353">
        <v>0.69640000000000002</v>
      </c>
      <c r="R593" s="353">
        <v>0.6</v>
      </c>
      <c r="S593" s="353">
        <v>0.61</v>
      </c>
    </row>
    <row r="594" spans="1:19" s="78" customFormat="1">
      <c r="A594" s="77">
        <f t="shared" si="72"/>
        <v>55518</v>
      </c>
      <c r="B594" s="77">
        <f t="shared" si="71"/>
        <v>55883</v>
      </c>
      <c r="C594" s="86">
        <f t="shared" si="73"/>
        <v>0.28100000000000003</v>
      </c>
      <c r="D594" s="86">
        <f t="shared" si="73"/>
        <v>0.32600000000000001</v>
      </c>
      <c r="E594" s="86">
        <f t="shared" si="73"/>
        <v>6.0999999999999999E-2</v>
      </c>
      <c r="F594" s="86">
        <f t="shared" si="73"/>
        <v>2.5999999999999999E-2</v>
      </c>
      <c r="G594" s="87">
        <v>0.28100000000000003</v>
      </c>
      <c r="H594" s="87">
        <v>0.32600000000000001</v>
      </c>
      <c r="I594" s="87">
        <v>6.0999999999999999E-2</v>
      </c>
      <c r="J594" s="87">
        <v>2.5999999999999999E-2</v>
      </c>
      <c r="K594" s="76">
        <f>((8/3)*L590)+((4/3)*L602)</f>
        <v>41914</v>
      </c>
      <c r="L594" s="94"/>
      <c r="M594" s="353">
        <f t="shared" si="68"/>
        <v>0.6</v>
      </c>
      <c r="N594" s="353">
        <v>0.26</v>
      </c>
      <c r="O594" s="353">
        <f t="shared" si="69"/>
        <v>0.61</v>
      </c>
      <c r="P594" s="353">
        <v>0.34620000000000001</v>
      </c>
      <c r="Q594" s="353">
        <v>0.69640000000000002</v>
      </c>
      <c r="R594" s="353">
        <v>0.6</v>
      </c>
      <c r="S594" s="353">
        <v>0.61</v>
      </c>
    </row>
    <row r="595" spans="1:19" s="78" customFormat="1">
      <c r="A595" s="77">
        <f t="shared" si="72"/>
        <v>55549</v>
      </c>
      <c r="B595" s="77">
        <f t="shared" si="71"/>
        <v>55914</v>
      </c>
      <c r="C595" s="86">
        <f t="shared" ref="C595:F610" si="74">AVERAGE(G595:G606)</f>
        <v>0.28100000000000003</v>
      </c>
      <c r="D595" s="86">
        <f t="shared" si="74"/>
        <v>0.32600000000000001</v>
      </c>
      <c r="E595" s="86">
        <f t="shared" si="74"/>
        <v>6.0999999999999999E-2</v>
      </c>
      <c r="F595" s="86">
        <f t="shared" si="74"/>
        <v>2.5999999999999999E-2</v>
      </c>
      <c r="G595" s="87">
        <v>0.28100000000000003</v>
      </c>
      <c r="H595" s="87">
        <v>0.32600000000000001</v>
      </c>
      <c r="I595" s="87">
        <v>6.0999999999999999E-2</v>
      </c>
      <c r="J595" s="87">
        <v>2.5999999999999999E-2</v>
      </c>
      <c r="K595" s="76">
        <f>((7/3)*L590)+((5/3)*L602)</f>
        <v>42086</v>
      </c>
      <c r="L595" s="94"/>
      <c r="M595" s="353">
        <f t="shared" si="68"/>
        <v>0.6</v>
      </c>
      <c r="N595" s="353">
        <v>0.26</v>
      </c>
      <c r="O595" s="353">
        <f t="shared" si="69"/>
        <v>0.61</v>
      </c>
      <c r="P595" s="353">
        <v>0.34620000000000001</v>
      </c>
      <c r="Q595" s="353">
        <v>0.69640000000000002</v>
      </c>
      <c r="R595" s="353">
        <v>0.6</v>
      </c>
      <c r="S595" s="353">
        <v>0.61</v>
      </c>
    </row>
    <row r="596" spans="1:19" s="78" customFormat="1">
      <c r="A596" s="77">
        <f t="shared" si="72"/>
        <v>55578</v>
      </c>
      <c r="B596" s="77">
        <f t="shared" si="71"/>
        <v>55942</v>
      </c>
      <c r="C596" s="86">
        <f t="shared" si="74"/>
        <v>0.28100000000000003</v>
      </c>
      <c r="D596" s="86">
        <f t="shared" si="74"/>
        <v>0.32600000000000001</v>
      </c>
      <c r="E596" s="86">
        <f t="shared" si="74"/>
        <v>6.0999999999999999E-2</v>
      </c>
      <c r="F596" s="86">
        <f t="shared" si="74"/>
        <v>2.5999999999999999E-2</v>
      </c>
      <c r="G596" s="87">
        <v>0.28100000000000003</v>
      </c>
      <c r="H596" s="87">
        <v>0.32600000000000001</v>
      </c>
      <c r="I596" s="87">
        <v>6.0999999999999999E-2</v>
      </c>
      <c r="J596" s="87">
        <v>2.5999999999999999E-2</v>
      </c>
      <c r="K596" s="76">
        <f>((6/3)*L590)+((6/3)*L602)</f>
        <v>42258</v>
      </c>
      <c r="L596" s="94"/>
      <c r="M596" s="353">
        <f t="shared" si="68"/>
        <v>0.6</v>
      </c>
      <c r="N596" s="353">
        <v>0.26</v>
      </c>
      <c r="O596" s="353">
        <f t="shared" si="69"/>
        <v>0.61</v>
      </c>
      <c r="P596" s="353">
        <v>0.34620000000000001</v>
      </c>
      <c r="Q596" s="353">
        <v>0.69640000000000002</v>
      </c>
      <c r="R596" s="353">
        <v>0.6</v>
      </c>
      <c r="S596" s="353">
        <v>0.61</v>
      </c>
    </row>
    <row r="597" spans="1:19" s="78" customFormat="1">
      <c r="A597" s="77">
        <f t="shared" si="72"/>
        <v>55609</v>
      </c>
      <c r="B597" s="77">
        <f t="shared" si="71"/>
        <v>55973</v>
      </c>
      <c r="C597" s="86">
        <f t="shared" si="74"/>
        <v>0.28100000000000003</v>
      </c>
      <c r="D597" s="86">
        <f t="shared" si="74"/>
        <v>0.32600000000000001</v>
      </c>
      <c r="E597" s="86">
        <f t="shared" si="74"/>
        <v>6.0999999999999999E-2</v>
      </c>
      <c r="F597" s="86">
        <f t="shared" si="74"/>
        <v>2.5999999999999999E-2</v>
      </c>
      <c r="G597" s="87">
        <v>0.28100000000000003</v>
      </c>
      <c r="H597" s="87">
        <v>0.32600000000000001</v>
      </c>
      <c r="I597" s="87">
        <v>6.0999999999999999E-2</v>
      </c>
      <c r="J597" s="87">
        <v>2.5999999999999999E-2</v>
      </c>
      <c r="K597" s="76">
        <f>((5/3)*L590)+((7/3)*L602)</f>
        <v>42430</v>
      </c>
      <c r="L597" s="94"/>
      <c r="M597" s="353">
        <f t="shared" si="68"/>
        <v>0.6</v>
      </c>
      <c r="N597" s="353">
        <v>0.26</v>
      </c>
      <c r="O597" s="353">
        <f t="shared" si="69"/>
        <v>0.61</v>
      </c>
      <c r="P597" s="353">
        <v>0.34620000000000001</v>
      </c>
      <c r="Q597" s="353">
        <v>0.69640000000000002</v>
      </c>
      <c r="R597" s="353">
        <v>0.6</v>
      </c>
      <c r="S597" s="353">
        <v>0.61</v>
      </c>
    </row>
    <row r="598" spans="1:19" s="78" customFormat="1">
      <c r="A598" s="77">
        <f t="shared" si="72"/>
        <v>55639</v>
      </c>
      <c r="B598" s="77">
        <f t="shared" si="71"/>
        <v>56003</v>
      </c>
      <c r="C598" s="86">
        <f t="shared" si="74"/>
        <v>0.28100000000000003</v>
      </c>
      <c r="D598" s="86">
        <f t="shared" si="74"/>
        <v>0.32600000000000001</v>
      </c>
      <c r="E598" s="86">
        <f t="shared" si="74"/>
        <v>6.0999999999999999E-2</v>
      </c>
      <c r="F598" s="86">
        <f t="shared" si="74"/>
        <v>2.5999999999999999E-2</v>
      </c>
      <c r="G598" s="87">
        <v>0.28100000000000003</v>
      </c>
      <c r="H598" s="87">
        <v>0.32600000000000001</v>
      </c>
      <c r="I598" s="87">
        <v>6.0999999999999999E-2</v>
      </c>
      <c r="J598" s="87">
        <v>2.5999999999999999E-2</v>
      </c>
      <c r="K598" s="76">
        <f>((4/3)*L590)+((8/3)*L602)</f>
        <v>42601</v>
      </c>
      <c r="L598" s="94"/>
      <c r="M598" s="353">
        <f t="shared" si="68"/>
        <v>0.6</v>
      </c>
      <c r="N598" s="353">
        <v>0.26</v>
      </c>
      <c r="O598" s="353">
        <f t="shared" si="69"/>
        <v>0.61</v>
      </c>
      <c r="P598" s="353">
        <v>0.34620000000000001</v>
      </c>
      <c r="Q598" s="353">
        <v>0.69640000000000002</v>
      </c>
      <c r="R598" s="353">
        <v>0.6</v>
      </c>
      <c r="S598" s="353">
        <v>0.61</v>
      </c>
    </row>
    <row r="599" spans="1:19" s="78" customFormat="1">
      <c r="A599" s="77">
        <f t="shared" si="72"/>
        <v>55670</v>
      </c>
      <c r="B599" s="77">
        <f t="shared" si="71"/>
        <v>56034</v>
      </c>
      <c r="C599" s="86">
        <f t="shared" si="74"/>
        <v>0.28100000000000003</v>
      </c>
      <c r="D599" s="86">
        <f t="shared" si="74"/>
        <v>0.32600000000000001</v>
      </c>
      <c r="E599" s="86">
        <f t="shared" si="74"/>
        <v>6.0999999999999999E-2</v>
      </c>
      <c r="F599" s="86">
        <f t="shared" si="74"/>
        <v>2.5999999999999999E-2</v>
      </c>
      <c r="G599" s="87">
        <v>0.28100000000000003</v>
      </c>
      <c r="H599" s="87">
        <v>0.32600000000000001</v>
      </c>
      <c r="I599" s="87">
        <v>6.0999999999999999E-2</v>
      </c>
      <c r="J599" s="87">
        <v>2.5999999999999999E-2</v>
      </c>
      <c r="K599" s="76">
        <f>((3/3)*L590)+((9/3)*L602)</f>
        <v>42773</v>
      </c>
      <c r="L599" s="94"/>
      <c r="M599" s="353">
        <f t="shared" si="68"/>
        <v>0.6</v>
      </c>
      <c r="N599" s="353">
        <v>0.26</v>
      </c>
      <c r="O599" s="353">
        <f t="shared" si="69"/>
        <v>0.61</v>
      </c>
      <c r="P599" s="353">
        <v>0.34620000000000001</v>
      </c>
      <c r="Q599" s="353">
        <v>0.69640000000000002</v>
      </c>
      <c r="R599" s="353">
        <v>0.6</v>
      </c>
      <c r="S599" s="353">
        <v>0.61</v>
      </c>
    </row>
    <row r="600" spans="1:19" s="78" customFormat="1">
      <c r="A600" s="77">
        <f t="shared" si="72"/>
        <v>55700</v>
      </c>
      <c r="B600" s="77">
        <f t="shared" si="71"/>
        <v>56064</v>
      </c>
      <c r="C600" s="86">
        <f t="shared" si="74"/>
        <v>0.28100000000000003</v>
      </c>
      <c r="D600" s="86">
        <f t="shared" si="74"/>
        <v>0.32600000000000001</v>
      </c>
      <c r="E600" s="86">
        <f t="shared" si="74"/>
        <v>6.0999999999999999E-2</v>
      </c>
      <c r="F600" s="86">
        <f t="shared" si="74"/>
        <v>2.5999999999999999E-2</v>
      </c>
      <c r="G600" s="87">
        <v>0.28100000000000003</v>
      </c>
      <c r="H600" s="87">
        <v>0.32600000000000001</v>
      </c>
      <c r="I600" s="87">
        <v>6.0999999999999999E-2</v>
      </c>
      <c r="J600" s="87">
        <v>2.5999999999999999E-2</v>
      </c>
      <c r="K600" s="76">
        <f>((2/3)*L590)+((10/3)*L602)</f>
        <v>42945</v>
      </c>
      <c r="L600" s="94"/>
      <c r="M600" s="353">
        <f t="shared" si="68"/>
        <v>0.6</v>
      </c>
      <c r="N600" s="353">
        <v>0.26</v>
      </c>
      <c r="O600" s="353">
        <f t="shared" si="69"/>
        <v>0.61</v>
      </c>
      <c r="P600" s="353">
        <v>0.34620000000000001</v>
      </c>
      <c r="Q600" s="353">
        <v>0.69640000000000002</v>
      </c>
      <c r="R600" s="353">
        <v>0.6</v>
      </c>
      <c r="S600" s="353">
        <v>0.61</v>
      </c>
    </row>
    <row r="601" spans="1:19" s="78" customFormat="1">
      <c r="A601" s="77">
        <f t="shared" si="72"/>
        <v>55731</v>
      </c>
      <c r="B601" s="77">
        <f t="shared" si="71"/>
        <v>56095</v>
      </c>
      <c r="C601" s="86">
        <f t="shared" si="74"/>
        <v>0.28100000000000003</v>
      </c>
      <c r="D601" s="86">
        <f t="shared" si="74"/>
        <v>0.32600000000000001</v>
      </c>
      <c r="E601" s="86">
        <f t="shared" si="74"/>
        <v>6.0999999999999999E-2</v>
      </c>
      <c r="F601" s="86">
        <f t="shared" si="74"/>
        <v>2.5999999999999999E-2</v>
      </c>
      <c r="G601" s="87">
        <v>0.28100000000000003</v>
      </c>
      <c r="H601" s="87">
        <v>0.32600000000000001</v>
      </c>
      <c r="I601" s="87">
        <v>6.0999999999999999E-2</v>
      </c>
      <c r="J601" s="87">
        <v>2.5999999999999999E-2</v>
      </c>
      <c r="K601" s="76">
        <f>((1/3)*L590)+((11/3)*L602)</f>
        <v>43117</v>
      </c>
      <c r="L601" s="94"/>
      <c r="M601" s="353">
        <f t="shared" si="68"/>
        <v>0.6</v>
      </c>
      <c r="N601" s="353">
        <v>0.26</v>
      </c>
      <c r="O601" s="353">
        <f t="shared" si="69"/>
        <v>0.61</v>
      </c>
      <c r="P601" s="353">
        <v>0.34620000000000001</v>
      </c>
      <c r="Q601" s="353">
        <v>0.69640000000000002</v>
      </c>
      <c r="R601" s="353">
        <v>0.6</v>
      </c>
      <c r="S601" s="353">
        <v>0.61</v>
      </c>
    </row>
    <row r="602" spans="1:19">
      <c r="A602" s="19">
        <f t="shared" si="72"/>
        <v>55762</v>
      </c>
      <c r="B602" s="19">
        <f t="shared" si="71"/>
        <v>56126</v>
      </c>
      <c r="C602" s="84">
        <f t="shared" si="74"/>
        <v>0.28100000000000003</v>
      </c>
      <c r="D602" s="84">
        <f t="shared" si="74"/>
        <v>0.32600000000000001</v>
      </c>
      <c r="E602" s="84">
        <f t="shared" si="74"/>
        <v>6.0999999999999999E-2</v>
      </c>
      <c r="F602" s="84">
        <f t="shared" si="74"/>
        <v>2.5999999999999999E-2</v>
      </c>
      <c r="G602" s="85">
        <v>0.28100000000000003</v>
      </c>
      <c r="H602" s="85">
        <v>0.32600000000000001</v>
      </c>
      <c r="I602" s="85">
        <v>6.0999999999999999E-2</v>
      </c>
      <c r="J602" s="85">
        <v>2.5999999999999999E-2</v>
      </c>
      <c r="K602" s="25">
        <f>(L602*4)</f>
        <v>43288</v>
      </c>
      <c r="L602" s="93">
        <f>L590*1.05</f>
        <v>10822.12</v>
      </c>
      <c r="M602" s="80">
        <f t="shared" si="68"/>
        <v>0.6</v>
      </c>
      <c r="N602" s="80">
        <v>0.26</v>
      </c>
      <c r="O602" s="80">
        <f t="shared" si="69"/>
        <v>0.61</v>
      </c>
      <c r="P602" s="80">
        <v>0.34620000000000001</v>
      </c>
      <c r="Q602" s="80">
        <v>0.69640000000000002</v>
      </c>
      <c r="R602" s="80">
        <v>0.6</v>
      </c>
      <c r="S602" s="80">
        <v>0.61</v>
      </c>
    </row>
    <row r="603" spans="1:19">
      <c r="A603" s="19">
        <f t="shared" si="72"/>
        <v>55792</v>
      </c>
      <c r="B603" s="19">
        <f t="shared" si="71"/>
        <v>56156</v>
      </c>
      <c r="C603" s="84">
        <f t="shared" si="74"/>
        <v>0.28100000000000003</v>
      </c>
      <c r="D603" s="84">
        <f t="shared" si="74"/>
        <v>0.32600000000000001</v>
      </c>
      <c r="E603" s="84">
        <f t="shared" si="74"/>
        <v>6.0999999999999999E-2</v>
      </c>
      <c r="F603" s="84">
        <f t="shared" si="74"/>
        <v>2.5999999999999999E-2</v>
      </c>
      <c r="G603" s="85">
        <v>0.28100000000000003</v>
      </c>
      <c r="H603" s="85">
        <v>0.32600000000000001</v>
      </c>
      <c r="I603" s="85">
        <v>6.0999999999999999E-2</v>
      </c>
      <c r="J603" s="85">
        <v>2.5999999999999999E-2</v>
      </c>
      <c r="K603" s="25">
        <f>((11/3)*L602)+((1/3)*L614)</f>
        <v>43469</v>
      </c>
      <c r="L603" s="93"/>
      <c r="M603" s="80">
        <f t="shared" si="68"/>
        <v>0.6</v>
      </c>
      <c r="N603" s="80">
        <v>0.26</v>
      </c>
      <c r="O603" s="80">
        <f t="shared" si="69"/>
        <v>0.61</v>
      </c>
      <c r="P603" s="80">
        <v>0.34620000000000001</v>
      </c>
      <c r="Q603" s="80">
        <v>0.69640000000000002</v>
      </c>
      <c r="R603" s="80">
        <v>0.6</v>
      </c>
      <c r="S603" s="80">
        <v>0.61</v>
      </c>
    </row>
    <row r="604" spans="1:19">
      <c r="A604" s="19">
        <f t="shared" si="72"/>
        <v>55823</v>
      </c>
      <c r="B604" s="19">
        <f t="shared" si="71"/>
        <v>56187</v>
      </c>
      <c r="C604" s="84">
        <f t="shared" si="74"/>
        <v>0.28100000000000003</v>
      </c>
      <c r="D604" s="84">
        <f t="shared" si="74"/>
        <v>0.32600000000000001</v>
      </c>
      <c r="E604" s="84">
        <f t="shared" si="74"/>
        <v>6.0999999999999999E-2</v>
      </c>
      <c r="F604" s="84">
        <f t="shared" si="74"/>
        <v>2.5999999999999999E-2</v>
      </c>
      <c r="G604" s="85">
        <v>0.28100000000000003</v>
      </c>
      <c r="H604" s="85">
        <v>0.32600000000000001</v>
      </c>
      <c r="I604" s="85">
        <v>6.0999999999999999E-2</v>
      </c>
      <c r="J604" s="85">
        <v>2.5999999999999999E-2</v>
      </c>
      <c r="K604" s="25">
        <f>((10/3)*L602)+((2/3)*L614)</f>
        <v>43649</v>
      </c>
      <c r="L604" s="93"/>
      <c r="M604" s="80">
        <f t="shared" si="68"/>
        <v>0.6</v>
      </c>
      <c r="N604" s="80">
        <v>0.26</v>
      </c>
      <c r="O604" s="80">
        <f t="shared" si="69"/>
        <v>0.61</v>
      </c>
      <c r="P604" s="80">
        <v>0.34620000000000001</v>
      </c>
      <c r="Q604" s="80">
        <v>0.69640000000000002</v>
      </c>
      <c r="R604" s="80">
        <v>0.6</v>
      </c>
      <c r="S604" s="80">
        <v>0.61</v>
      </c>
    </row>
    <row r="605" spans="1:19">
      <c r="A605" s="19">
        <f t="shared" si="72"/>
        <v>55853</v>
      </c>
      <c r="B605" s="19">
        <f t="shared" si="71"/>
        <v>56217</v>
      </c>
      <c r="C605" s="84">
        <f t="shared" si="74"/>
        <v>0.28100000000000003</v>
      </c>
      <c r="D605" s="84">
        <f t="shared" si="74"/>
        <v>0.32600000000000001</v>
      </c>
      <c r="E605" s="84">
        <f t="shared" si="74"/>
        <v>6.0999999999999999E-2</v>
      </c>
      <c r="F605" s="84">
        <f t="shared" si="74"/>
        <v>2.5999999999999999E-2</v>
      </c>
      <c r="G605" s="85">
        <v>0.28100000000000003</v>
      </c>
      <c r="H605" s="85">
        <v>0.32600000000000001</v>
      </c>
      <c r="I605" s="85">
        <v>6.0999999999999999E-2</v>
      </c>
      <c r="J605" s="85">
        <v>2.5999999999999999E-2</v>
      </c>
      <c r="K605" s="25">
        <f>((9/3)*L602)+((3/3)*L614)</f>
        <v>43830</v>
      </c>
      <c r="L605" s="93"/>
      <c r="M605" s="80">
        <f t="shared" si="68"/>
        <v>0.6</v>
      </c>
      <c r="N605" s="80">
        <v>0.26</v>
      </c>
      <c r="O605" s="80">
        <f t="shared" si="69"/>
        <v>0.61</v>
      </c>
      <c r="P605" s="80">
        <v>0.34620000000000001</v>
      </c>
      <c r="Q605" s="80">
        <v>0.69640000000000002</v>
      </c>
      <c r="R605" s="80">
        <v>0.6</v>
      </c>
      <c r="S605" s="80">
        <v>0.61</v>
      </c>
    </row>
    <row r="606" spans="1:19">
      <c r="A606" s="19">
        <f t="shared" si="72"/>
        <v>55884</v>
      </c>
      <c r="B606" s="19">
        <f t="shared" si="71"/>
        <v>56248</v>
      </c>
      <c r="C606" s="84">
        <f t="shared" si="74"/>
        <v>0.28100000000000003</v>
      </c>
      <c r="D606" s="84">
        <f t="shared" si="74"/>
        <v>0.32600000000000001</v>
      </c>
      <c r="E606" s="84">
        <f t="shared" si="74"/>
        <v>6.0999999999999999E-2</v>
      </c>
      <c r="F606" s="84">
        <f t="shared" si="74"/>
        <v>2.5999999999999999E-2</v>
      </c>
      <c r="G606" s="85">
        <v>0.28100000000000003</v>
      </c>
      <c r="H606" s="85">
        <v>0.32600000000000001</v>
      </c>
      <c r="I606" s="85">
        <v>6.0999999999999999E-2</v>
      </c>
      <c r="J606" s="85">
        <v>2.5999999999999999E-2</v>
      </c>
      <c r="K606" s="25">
        <f>((8/3)*L602)+((4/3)*L614)</f>
        <v>44010</v>
      </c>
      <c r="L606" s="93"/>
      <c r="M606" s="80">
        <f t="shared" si="68"/>
        <v>0.6</v>
      </c>
      <c r="N606" s="80">
        <v>0.26</v>
      </c>
      <c r="O606" s="80">
        <f t="shared" si="69"/>
        <v>0.61</v>
      </c>
      <c r="P606" s="80">
        <v>0.34620000000000001</v>
      </c>
      <c r="Q606" s="80">
        <v>0.69640000000000002</v>
      </c>
      <c r="R606" s="80">
        <v>0.6</v>
      </c>
      <c r="S606" s="80">
        <v>0.61</v>
      </c>
    </row>
    <row r="607" spans="1:19">
      <c r="A607" s="19">
        <f t="shared" si="72"/>
        <v>55915</v>
      </c>
      <c r="B607" s="19">
        <f t="shared" si="71"/>
        <v>56279</v>
      </c>
      <c r="C607" s="84">
        <f t="shared" si="74"/>
        <v>0.28100000000000003</v>
      </c>
      <c r="D607" s="84">
        <f t="shared" si="74"/>
        <v>0.32600000000000001</v>
      </c>
      <c r="E607" s="84">
        <f t="shared" si="74"/>
        <v>6.0999999999999999E-2</v>
      </c>
      <c r="F607" s="84">
        <f t="shared" si="74"/>
        <v>2.5999999999999999E-2</v>
      </c>
      <c r="G607" s="85">
        <v>0.28100000000000003</v>
      </c>
      <c r="H607" s="85">
        <v>0.32600000000000001</v>
      </c>
      <c r="I607" s="85">
        <v>6.0999999999999999E-2</v>
      </c>
      <c r="J607" s="85">
        <v>2.5999999999999999E-2</v>
      </c>
      <c r="K607" s="25">
        <f>((7/3)*L602)+((5/3)*L614)</f>
        <v>44190</v>
      </c>
      <c r="L607" s="93"/>
      <c r="M607" s="80">
        <f t="shared" si="68"/>
        <v>0.6</v>
      </c>
      <c r="N607" s="80">
        <v>0.26</v>
      </c>
      <c r="O607" s="80">
        <f t="shared" si="69"/>
        <v>0.61</v>
      </c>
      <c r="P607" s="80">
        <v>0.34620000000000001</v>
      </c>
      <c r="Q607" s="80">
        <v>0.69640000000000002</v>
      </c>
      <c r="R607" s="80">
        <v>0.6</v>
      </c>
      <c r="S607" s="80">
        <v>0.61</v>
      </c>
    </row>
    <row r="608" spans="1:19">
      <c r="A608" s="19">
        <f t="shared" si="72"/>
        <v>55943</v>
      </c>
      <c r="B608" s="19">
        <f t="shared" si="71"/>
        <v>56307</v>
      </c>
      <c r="C608" s="84">
        <f t="shared" si="74"/>
        <v>0.28100000000000003</v>
      </c>
      <c r="D608" s="84">
        <f t="shared" si="74"/>
        <v>0.32600000000000001</v>
      </c>
      <c r="E608" s="84">
        <f t="shared" si="74"/>
        <v>6.0999999999999999E-2</v>
      </c>
      <c r="F608" s="84">
        <f t="shared" si="74"/>
        <v>2.5999999999999999E-2</v>
      </c>
      <c r="G608" s="85">
        <v>0.28100000000000003</v>
      </c>
      <c r="H608" s="85">
        <v>0.32600000000000001</v>
      </c>
      <c r="I608" s="85">
        <v>6.0999999999999999E-2</v>
      </c>
      <c r="J608" s="85">
        <v>2.5999999999999999E-2</v>
      </c>
      <c r="K608" s="25">
        <f>((6/3)*L602)+((6/3)*L614)</f>
        <v>44371</v>
      </c>
      <c r="L608" s="93"/>
      <c r="M608" s="80">
        <f t="shared" si="68"/>
        <v>0.6</v>
      </c>
      <c r="N608" s="80">
        <v>0.26</v>
      </c>
      <c r="O608" s="80">
        <f t="shared" si="69"/>
        <v>0.61</v>
      </c>
      <c r="P608" s="80">
        <v>0.34620000000000001</v>
      </c>
      <c r="Q608" s="80">
        <v>0.69640000000000002</v>
      </c>
      <c r="R608" s="80">
        <v>0.6</v>
      </c>
      <c r="S608" s="80">
        <v>0.61</v>
      </c>
    </row>
    <row r="609" spans="1:19">
      <c r="A609" s="19">
        <f t="shared" si="72"/>
        <v>55974</v>
      </c>
      <c r="B609" s="19">
        <f t="shared" si="71"/>
        <v>56338</v>
      </c>
      <c r="C609" s="84">
        <f t="shared" si="74"/>
        <v>0.28100000000000003</v>
      </c>
      <c r="D609" s="84">
        <f t="shared" si="74"/>
        <v>0.32600000000000001</v>
      </c>
      <c r="E609" s="84">
        <f t="shared" si="74"/>
        <v>6.0999999999999999E-2</v>
      </c>
      <c r="F609" s="84">
        <f t="shared" si="74"/>
        <v>2.5999999999999999E-2</v>
      </c>
      <c r="G609" s="85">
        <v>0.28100000000000003</v>
      </c>
      <c r="H609" s="85">
        <v>0.32600000000000001</v>
      </c>
      <c r="I609" s="85">
        <v>6.0999999999999999E-2</v>
      </c>
      <c r="J609" s="85">
        <v>2.5999999999999999E-2</v>
      </c>
      <c r="K609" s="25">
        <f>((5/3)*L602)+((7/3)*L614)</f>
        <v>44551</v>
      </c>
      <c r="L609" s="93"/>
      <c r="M609" s="80">
        <f t="shared" si="68"/>
        <v>0.6</v>
      </c>
      <c r="N609" s="80">
        <v>0.26</v>
      </c>
      <c r="O609" s="80">
        <f t="shared" si="69"/>
        <v>0.61</v>
      </c>
      <c r="P609" s="80">
        <v>0.34620000000000001</v>
      </c>
      <c r="Q609" s="80">
        <v>0.69640000000000002</v>
      </c>
      <c r="R609" s="80">
        <v>0.6</v>
      </c>
      <c r="S609" s="80">
        <v>0.61</v>
      </c>
    </row>
    <row r="610" spans="1:19">
      <c r="A610" s="19">
        <f t="shared" si="72"/>
        <v>56004</v>
      </c>
      <c r="B610" s="19">
        <f t="shared" si="71"/>
        <v>56368</v>
      </c>
      <c r="C610" s="84">
        <f t="shared" si="74"/>
        <v>0.28100000000000003</v>
      </c>
      <c r="D610" s="84">
        <f t="shared" si="74"/>
        <v>0.32600000000000001</v>
      </c>
      <c r="E610" s="84">
        <f t="shared" si="74"/>
        <v>6.0999999999999999E-2</v>
      </c>
      <c r="F610" s="84">
        <f t="shared" si="74"/>
        <v>2.5999999999999999E-2</v>
      </c>
      <c r="G610" s="85">
        <v>0.28100000000000003</v>
      </c>
      <c r="H610" s="85">
        <v>0.32600000000000001</v>
      </c>
      <c r="I610" s="85">
        <v>6.0999999999999999E-2</v>
      </c>
      <c r="J610" s="85">
        <v>2.5999999999999999E-2</v>
      </c>
      <c r="K610" s="25">
        <f>((4/3)*L602)+((8/3)*L614)</f>
        <v>44731</v>
      </c>
      <c r="L610" s="93"/>
      <c r="M610" s="80">
        <f t="shared" si="68"/>
        <v>0.6</v>
      </c>
      <c r="N610" s="80">
        <v>0.26</v>
      </c>
      <c r="O610" s="80">
        <f t="shared" si="69"/>
        <v>0.61</v>
      </c>
      <c r="P610" s="80">
        <v>0.34620000000000001</v>
      </c>
      <c r="Q610" s="80">
        <v>0.69640000000000002</v>
      </c>
      <c r="R610" s="80">
        <v>0.6</v>
      </c>
      <c r="S610" s="80">
        <v>0.61</v>
      </c>
    </row>
    <row r="611" spans="1:19">
      <c r="A611" s="19">
        <f t="shared" si="72"/>
        <v>56035</v>
      </c>
      <c r="B611" s="19">
        <f t="shared" si="71"/>
        <v>56399</v>
      </c>
      <c r="C611" s="84">
        <f t="shared" ref="C611:F626" si="75">AVERAGE(G611:G622)</f>
        <v>0.28100000000000003</v>
      </c>
      <c r="D611" s="84">
        <f t="shared" si="75"/>
        <v>0.32600000000000001</v>
      </c>
      <c r="E611" s="84">
        <f t="shared" si="75"/>
        <v>6.0999999999999999E-2</v>
      </c>
      <c r="F611" s="84">
        <f t="shared" si="75"/>
        <v>2.5999999999999999E-2</v>
      </c>
      <c r="G611" s="85">
        <v>0.28100000000000003</v>
      </c>
      <c r="H611" s="85">
        <v>0.32600000000000001</v>
      </c>
      <c r="I611" s="85">
        <v>6.0999999999999999E-2</v>
      </c>
      <c r="J611" s="85">
        <v>2.5999999999999999E-2</v>
      </c>
      <c r="K611" s="25">
        <f>((3/3)*L602)+((9/3)*L614)</f>
        <v>44912</v>
      </c>
      <c r="L611" s="93"/>
      <c r="M611" s="80">
        <f t="shared" si="68"/>
        <v>0.6</v>
      </c>
      <c r="N611" s="80">
        <v>0.26</v>
      </c>
      <c r="O611" s="80">
        <f t="shared" si="69"/>
        <v>0.61</v>
      </c>
      <c r="P611" s="80">
        <v>0.34620000000000001</v>
      </c>
      <c r="Q611" s="80">
        <v>0.69640000000000002</v>
      </c>
      <c r="R611" s="80">
        <v>0.6</v>
      </c>
      <c r="S611" s="80">
        <v>0.61</v>
      </c>
    </row>
    <row r="612" spans="1:19">
      <c r="A612" s="19">
        <f t="shared" si="72"/>
        <v>56065</v>
      </c>
      <c r="B612" s="19">
        <f t="shared" si="71"/>
        <v>56429</v>
      </c>
      <c r="C612" s="84">
        <f t="shared" si="75"/>
        <v>0.28100000000000003</v>
      </c>
      <c r="D612" s="84">
        <f t="shared" si="75"/>
        <v>0.32600000000000001</v>
      </c>
      <c r="E612" s="84">
        <f t="shared" si="75"/>
        <v>6.0999999999999999E-2</v>
      </c>
      <c r="F612" s="84">
        <f t="shared" si="75"/>
        <v>2.5999999999999999E-2</v>
      </c>
      <c r="G612" s="85">
        <v>0.28100000000000003</v>
      </c>
      <c r="H612" s="85">
        <v>0.32600000000000001</v>
      </c>
      <c r="I612" s="85">
        <v>6.0999999999999999E-2</v>
      </c>
      <c r="J612" s="85">
        <v>2.5999999999999999E-2</v>
      </c>
      <c r="K612" s="25">
        <f>((2/3)*L602)+((10/3)*L614)</f>
        <v>45092</v>
      </c>
      <c r="L612" s="93"/>
      <c r="M612" s="80">
        <f t="shared" si="68"/>
        <v>0.6</v>
      </c>
      <c r="N612" s="80">
        <v>0.26</v>
      </c>
      <c r="O612" s="80">
        <f t="shared" si="69"/>
        <v>0.61</v>
      </c>
      <c r="P612" s="80">
        <v>0.34620000000000001</v>
      </c>
      <c r="Q612" s="80">
        <v>0.69640000000000002</v>
      </c>
      <c r="R612" s="80">
        <v>0.6</v>
      </c>
      <c r="S612" s="80">
        <v>0.61</v>
      </c>
    </row>
    <row r="613" spans="1:19">
      <c r="A613" s="19">
        <f t="shared" si="72"/>
        <v>56096</v>
      </c>
      <c r="B613" s="19">
        <f t="shared" si="71"/>
        <v>56460</v>
      </c>
      <c r="C613" s="81">
        <f t="shared" si="75"/>
        <v>0.28100000000000003</v>
      </c>
      <c r="D613" s="81">
        <f t="shared" si="75"/>
        <v>0.32600000000000001</v>
      </c>
      <c r="E613" s="81">
        <f t="shared" si="75"/>
        <v>6.0999999999999999E-2</v>
      </c>
      <c r="F613" s="81">
        <f t="shared" si="75"/>
        <v>2.5999999999999999E-2</v>
      </c>
      <c r="G613" s="85">
        <v>0.28100000000000003</v>
      </c>
      <c r="H613" s="85">
        <v>0.32600000000000001</v>
      </c>
      <c r="I613" s="85">
        <v>6.0999999999999999E-2</v>
      </c>
      <c r="J613" s="85">
        <v>2.5999999999999999E-2</v>
      </c>
      <c r="K613" s="25">
        <f>((1/3)*L602)+((11/3)*L614)</f>
        <v>45273</v>
      </c>
      <c r="L613" s="93"/>
      <c r="M613" s="80">
        <f t="shared" si="68"/>
        <v>0.6</v>
      </c>
      <c r="N613" s="80">
        <v>0.26</v>
      </c>
      <c r="O613" s="80">
        <f t="shared" si="69"/>
        <v>0.61</v>
      </c>
      <c r="P613" s="80">
        <v>0.34620000000000001</v>
      </c>
      <c r="Q613" s="80">
        <v>0.69640000000000002</v>
      </c>
      <c r="R613" s="80">
        <v>0.6</v>
      </c>
      <c r="S613" s="80">
        <v>0.61</v>
      </c>
    </row>
    <row r="614" spans="1:19" s="78" customFormat="1">
      <c r="A614" s="77">
        <f t="shared" si="72"/>
        <v>56127</v>
      </c>
      <c r="B614" s="77">
        <f t="shared" si="71"/>
        <v>56491</v>
      </c>
      <c r="C614" s="86">
        <f t="shared" si="75"/>
        <v>0.28100000000000003</v>
      </c>
      <c r="D614" s="86">
        <f t="shared" si="75"/>
        <v>0.32600000000000001</v>
      </c>
      <c r="E614" s="86">
        <f t="shared" si="75"/>
        <v>6.0999999999999999E-2</v>
      </c>
      <c r="F614" s="86">
        <f t="shared" si="75"/>
        <v>2.5999999999999999E-2</v>
      </c>
      <c r="G614" s="87">
        <v>0.28100000000000003</v>
      </c>
      <c r="H614" s="87">
        <v>0.32600000000000001</v>
      </c>
      <c r="I614" s="87">
        <v>6.0999999999999999E-2</v>
      </c>
      <c r="J614" s="87">
        <v>2.5999999999999999E-2</v>
      </c>
      <c r="K614" s="76">
        <f>(L614*4)</f>
        <v>45453</v>
      </c>
      <c r="L614" s="94">
        <f>L602*1.05</f>
        <v>11363.23</v>
      </c>
      <c r="M614" s="353">
        <f t="shared" si="68"/>
        <v>0.6</v>
      </c>
      <c r="N614" s="353">
        <v>0.26</v>
      </c>
      <c r="O614" s="353">
        <f t="shared" si="69"/>
        <v>0.61</v>
      </c>
      <c r="P614" s="353">
        <v>0.34620000000000001</v>
      </c>
      <c r="Q614" s="353">
        <v>0.69640000000000002</v>
      </c>
      <c r="R614" s="353">
        <v>0.6</v>
      </c>
      <c r="S614" s="353">
        <v>0.61</v>
      </c>
    </row>
    <row r="615" spans="1:19" s="78" customFormat="1">
      <c r="A615" s="77">
        <f t="shared" si="72"/>
        <v>56157</v>
      </c>
      <c r="B615" s="77">
        <f t="shared" si="71"/>
        <v>56521</v>
      </c>
      <c r="C615" s="86">
        <f t="shared" si="75"/>
        <v>0.28100000000000003</v>
      </c>
      <c r="D615" s="86">
        <f t="shared" si="75"/>
        <v>0.32600000000000001</v>
      </c>
      <c r="E615" s="86">
        <f t="shared" si="75"/>
        <v>6.0999999999999999E-2</v>
      </c>
      <c r="F615" s="86">
        <f t="shared" si="75"/>
        <v>2.5999999999999999E-2</v>
      </c>
      <c r="G615" s="87">
        <v>0.28100000000000003</v>
      </c>
      <c r="H615" s="87">
        <v>0.32600000000000001</v>
      </c>
      <c r="I615" s="87">
        <v>6.0999999999999999E-2</v>
      </c>
      <c r="J615" s="87">
        <v>2.5999999999999999E-2</v>
      </c>
      <c r="K615" s="76">
        <f>((11/3)*L614)+((1/3)*L626)</f>
        <v>45642</v>
      </c>
      <c r="L615" s="94"/>
      <c r="M615" s="353">
        <f t="shared" si="68"/>
        <v>0.6</v>
      </c>
      <c r="N615" s="353">
        <v>0.26</v>
      </c>
      <c r="O615" s="353">
        <f t="shared" si="69"/>
        <v>0.61</v>
      </c>
      <c r="P615" s="353">
        <v>0.34620000000000001</v>
      </c>
      <c r="Q615" s="353">
        <v>0.69640000000000002</v>
      </c>
      <c r="R615" s="353">
        <v>0.6</v>
      </c>
      <c r="S615" s="353">
        <v>0.61</v>
      </c>
    </row>
    <row r="616" spans="1:19" s="78" customFormat="1">
      <c r="A616" s="77">
        <f t="shared" si="72"/>
        <v>56188</v>
      </c>
      <c r="B616" s="77">
        <f t="shared" si="71"/>
        <v>56552</v>
      </c>
      <c r="C616" s="86">
        <f t="shared" si="75"/>
        <v>0.28100000000000003</v>
      </c>
      <c r="D616" s="86">
        <f t="shared" si="75"/>
        <v>0.32600000000000001</v>
      </c>
      <c r="E616" s="86">
        <f t="shared" si="75"/>
        <v>6.0999999999999999E-2</v>
      </c>
      <c r="F616" s="86">
        <f t="shared" si="75"/>
        <v>2.5999999999999999E-2</v>
      </c>
      <c r="G616" s="87">
        <v>0.28100000000000003</v>
      </c>
      <c r="H616" s="87">
        <v>0.32600000000000001</v>
      </c>
      <c r="I616" s="87">
        <v>6.0999999999999999E-2</v>
      </c>
      <c r="J616" s="87">
        <v>2.5999999999999999E-2</v>
      </c>
      <c r="K616" s="76">
        <f>((10/3)*L614)+((2/3)*L626)</f>
        <v>45832</v>
      </c>
      <c r="L616" s="94"/>
      <c r="M616" s="353">
        <f t="shared" si="68"/>
        <v>0.6</v>
      </c>
      <c r="N616" s="353">
        <v>0.26</v>
      </c>
      <c r="O616" s="353">
        <f t="shared" si="69"/>
        <v>0.61</v>
      </c>
      <c r="P616" s="353">
        <v>0.34620000000000001</v>
      </c>
      <c r="Q616" s="353">
        <v>0.69640000000000002</v>
      </c>
      <c r="R616" s="353">
        <v>0.6</v>
      </c>
      <c r="S616" s="353">
        <v>0.61</v>
      </c>
    </row>
    <row r="617" spans="1:19" s="78" customFormat="1">
      <c r="A617" s="77">
        <f t="shared" si="72"/>
        <v>56218</v>
      </c>
      <c r="B617" s="77">
        <f t="shared" si="71"/>
        <v>56582</v>
      </c>
      <c r="C617" s="86">
        <f t="shared" si="75"/>
        <v>0.28100000000000003</v>
      </c>
      <c r="D617" s="86">
        <f t="shared" si="75"/>
        <v>0.32600000000000001</v>
      </c>
      <c r="E617" s="86">
        <f t="shared" si="75"/>
        <v>6.0999999999999999E-2</v>
      </c>
      <c r="F617" s="86">
        <f t="shared" si="75"/>
        <v>2.5999999999999999E-2</v>
      </c>
      <c r="G617" s="87">
        <v>0.28100000000000003</v>
      </c>
      <c r="H617" s="87">
        <v>0.32600000000000001</v>
      </c>
      <c r="I617" s="87">
        <v>6.0999999999999999E-2</v>
      </c>
      <c r="J617" s="87">
        <v>2.5999999999999999E-2</v>
      </c>
      <c r="K617" s="76">
        <f>((9/3)*L614)+((3/3)*L626)</f>
        <v>46021</v>
      </c>
      <c r="L617" s="94"/>
      <c r="M617" s="353">
        <f t="shared" si="68"/>
        <v>0.6</v>
      </c>
      <c r="N617" s="353">
        <v>0.26</v>
      </c>
      <c r="O617" s="353">
        <f t="shared" si="69"/>
        <v>0.61</v>
      </c>
      <c r="P617" s="353">
        <v>0.34620000000000001</v>
      </c>
      <c r="Q617" s="353">
        <v>0.69640000000000002</v>
      </c>
      <c r="R617" s="353">
        <v>0.6</v>
      </c>
      <c r="S617" s="353">
        <v>0.61</v>
      </c>
    </row>
    <row r="618" spans="1:19" s="78" customFormat="1">
      <c r="A618" s="77">
        <f t="shared" si="72"/>
        <v>56249</v>
      </c>
      <c r="B618" s="77">
        <f t="shared" si="71"/>
        <v>56613</v>
      </c>
      <c r="C618" s="86">
        <f t="shared" si="75"/>
        <v>0.28100000000000003</v>
      </c>
      <c r="D618" s="86">
        <f t="shared" si="75"/>
        <v>0.32600000000000001</v>
      </c>
      <c r="E618" s="86">
        <f t="shared" si="75"/>
        <v>6.0999999999999999E-2</v>
      </c>
      <c r="F618" s="86">
        <f t="shared" si="75"/>
        <v>2.5999999999999999E-2</v>
      </c>
      <c r="G618" s="87">
        <v>0.28100000000000003</v>
      </c>
      <c r="H618" s="87">
        <v>0.32600000000000001</v>
      </c>
      <c r="I618" s="87">
        <v>6.0999999999999999E-2</v>
      </c>
      <c r="J618" s="87">
        <v>2.5999999999999999E-2</v>
      </c>
      <c r="K618" s="76">
        <f>((8/3)*L614)+((4/3)*L626)</f>
        <v>46210</v>
      </c>
      <c r="L618" s="94"/>
      <c r="M618" s="353">
        <f t="shared" si="68"/>
        <v>0.6</v>
      </c>
      <c r="N618" s="353">
        <v>0.26</v>
      </c>
      <c r="O618" s="353">
        <f t="shared" si="69"/>
        <v>0.61</v>
      </c>
      <c r="P618" s="353">
        <v>0.34620000000000001</v>
      </c>
      <c r="Q618" s="353">
        <v>0.69640000000000002</v>
      </c>
      <c r="R618" s="353">
        <v>0.6</v>
      </c>
      <c r="S618" s="353">
        <v>0.61</v>
      </c>
    </row>
    <row r="619" spans="1:19" s="78" customFormat="1">
      <c r="A619" s="77">
        <f t="shared" si="72"/>
        <v>56280</v>
      </c>
      <c r="B619" s="77">
        <f t="shared" si="71"/>
        <v>56644</v>
      </c>
      <c r="C619" s="86">
        <f t="shared" si="75"/>
        <v>0.28100000000000003</v>
      </c>
      <c r="D619" s="86">
        <f t="shared" si="75"/>
        <v>0.32600000000000001</v>
      </c>
      <c r="E619" s="86">
        <f t="shared" si="75"/>
        <v>6.0999999999999999E-2</v>
      </c>
      <c r="F619" s="86">
        <f t="shared" si="75"/>
        <v>2.5999999999999999E-2</v>
      </c>
      <c r="G619" s="87">
        <v>0.28100000000000003</v>
      </c>
      <c r="H619" s="87">
        <v>0.32600000000000001</v>
      </c>
      <c r="I619" s="87">
        <v>6.0999999999999999E-2</v>
      </c>
      <c r="J619" s="87">
        <v>2.5999999999999999E-2</v>
      </c>
      <c r="K619" s="76">
        <f>((7/3)*L614)+((5/3)*L626)</f>
        <v>46400</v>
      </c>
      <c r="L619" s="94"/>
      <c r="M619" s="353">
        <f t="shared" si="68"/>
        <v>0.6</v>
      </c>
      <c r="N619" s="353">
        <v>0.26</v>
      </c>
      <c r="O619" s="353">
        <f t="shared" si="69"/>
        <v>0.61</v>
      </c>
      <c r="P619" s="353">
        <v>0.34620000000000001</v>
      </c>
      <c r="Q619" s="353">
        <v>0.69640000000000002</v>
      </c>
      <c r="R619" s="353">
        <v>0.6</v>
      </c>
      <c r="S619" s="353">
        <v>0.61</v>
      </c>
    </row>
    <row r="620" spans="1:19" s="78" customFormat="1">
      <c r="A620" s="77">
        <f t="shared" si="72"/>
        <v>56308</v>
      </c>
      <c r="B620" s="77">
        <f t="shared" si="71"/>
        <v>56672</v>
      </c>
      <c r="C620" s="86">
        <f t="shared" si="75"/>
        <v>0.28100000000000003</v>
      </c>
      <c r="D620" s="86">
        <f t="shared" si="75"/>
        <v>0.32600000000000001</v>
      </c>
      <c r="E620" s="86">
        <f t="shared" si="75"/>
        <v>6.0999999999999999E-2</v>
      </c>
      <c r="F620" s="86">
        <f t="shared" si="75"/>
        <v>2.5999999999999999E-2</v>
      </c>
      <c r="G620" s="87">
        <v>0.28100000000000003</v>
      </c>
      <c r="H620" s="87">
        <v>0.32600000000000001</v>
      </c>
      <c r="I620" s="87">
        <v>6.0999999999999999E-2</v>
      </c>
      <c r="J620" s="87">
        <v>2.5999999999999999E-2</v>
      </c>
      <c r="K620" s="76">
        <f>((6/3)*L614)+((6/3)*L626)</f>
        <v>46589</v>
      </c>
      <c r="L620" s="94"/>
      <c r="M620" s="353">
        <f t="shared" si="68"/>
        <v>0.6</v>
      </c>
      <c r="N620" s="353">
        <v>0.26</v>
      </c>
      <c r="O620" s="353">
        <f t="shared" si="69"/>
        <v>0.61</v>
      </c>
      <c r="P620" s="353">
        <v>0.34620000000000001</v>
      </c>
      <c r="Q620" s="353">
        <v>0.69640000000000002</v>
      </c>
      <c r="R620" s="353">
        <v>0.6</v>
      </c>
      <c r="S620" s="353">
        <v>0.61</v>
      </c>
    </row>
    <row r="621" spans="1:19" s="78" customFormat="1">
      <c r="A621" s="77">
        <f t="shared" si="72"/>
        <v>56339</v>
      </c>
      <c r="B621" s="77">
        <f t="shared" si="71"/>
        <v>56703</v>
      </c>
      <c r="C621" s="86">
        <f t="shared" si="75"/>
        <v>0.28100000000000003</v>
      </c>
      <c r="D621" s="86">
        <f t="shared" si="75"/>
        <v>0.32600000000000001</v>
      </c>
      <c r="E621" s="86">
        <f t="shared" si="75"/>
        <v>6.0999999999999999E-2</v>
      </c>
      <c r="F621" s="86">
        <f t="shared" si="75"/>
        <v>2.5999999999999999E-2</v>
      </c>
      <c r="G621" s="87">
        <v>0.28100000000000003</v>
      </c>
      <c r="H621" s="87">
        <v>0.32600000000000001</v>
      </c>
      <c r="I621" s="87">
        <v>6.0999999999999999E-2</v>
      </c>
      <c r="J621" s="87">
        <v>2.5999999999999999E-2</v>
      </c>
      <c r="K621" s="76">
        <f>((5/3)*L614)+((7/3)*L626)</f>
        <v>46779</v>
      </c>
      <c r="L621" s="94"/>
      <c r="M621" s="353">
        <f t="shared" si="68"/>
        <v>0.6</v>
      </c>
      <c r="N621" s="353">
        <v>0.26</v>
      </c>
      <c r="O621" s="353">
        <f t="shared" si="69"/>
        <v>0.61</v>
      </c>
      <c r="P621" s="353">
        <v>0.34620000000000001</v>
      </c>
      <c r="Q621" s="353">
        <v>0.69640000000000002</v>
      </c>
      <c r="R621" s="353">
        <v>0.6</v>
      </c>
      <c r="S621" s="353">
        <v>0.61</v>
      </c>
    </row>
    <row r="622" spans="1:19" s="78" customFormat="1">
      <c r="A622" s="77">
        <f t="shared" si="72"/>
        <v>56369</v>
      </c>
      <c r="B622" s="77">
        <f t="shared" si="71"/>
        <v>56733</v>
      </c>
      <c r="C622" s="86">
        <f t="shared" si="75"/>
        <v>0.28100000000000003</v>
      </c>
      <c r="D622" s="86">
        <f t="shared" si="75"/>
        <v>0.32600000000000001</v>
      </c>
      <c r="E622" s="86">
        <f t="shared" si="75"/>
        <v>6.0999999999999999E-2</v>
      </c>
      <c r="F622" s="86">
        <f t="shared" si="75"/>
        <v>2.5999999999999999E-2</v>
      </c>
      <c r="G622" s="87">
        <v>0.28100000000000003</v>
      </c>
      <c r="H622" s="87">
        <v>0.32600000000000001</v>
      </c>
      <c r="I622" s="87">
        <v>6.0999999999999999E-2</v>
      </c>
      <c r="J622" s="87">
        <v>2.5999999999999999E-2</v>
      </c>
      <c r="K622" s="76">
        <f>((4/3)*L614)+((8/3)*L626)</f>
        <v>46968</v>
      </c>
      <c r="L622" s="94"/>
      <c r="M622" s="353">
        <f t="shared" si="68"/>
        <v>0.6</v>
      </c>
      <c r="N622" s="353">
        <v>0.26</v>
      </c>
      <c r="O622" s="353">
        <f t="shared" si="69"/>
        <v>0.61</v>
      </c>
      <c r="P622" s="353">
        <v>0.34620000000000001</v>
      </c>
      <c r="Q622" s="353">
        <v>0.69640000000000002</v>
      </c>
      <c r="R622" s="353">
        <v>0.6</v>
      </c>
      <c r="S622" s="353">
        <v>0.61</v>
      </c>
    </row>
    <row r="623" spans="1:19" s="78" customFormat="1">
      <c r="A623" s="77">
        <f t="shared" si="72"/>
        <v>56400</v>
      </c>
      <c r="B623" s="77">
        <f t="shared" si="71"/>
        <v>56764</v>
      </c>
      <c r="C623" s="86">
        <f t="shared" si="75"/>
        <v>0.28100000000000003</v>
      </c>
      <c r="D623" s="86">
        <f t="shared" si="75"/>
        <v>0.32600000000000001</v>
      </c>
      <c r="E623" s="86">
        <f t="shared" si="75"/>
        <v>6.0999999999999999E-2</v>
      </c>
      <c r="F623" s="86">
        <f t="shared" si="75"/>
        <v>2.5999999999999999E-2</v>
      </c>
      <c r="G623" s="87">
        <v>0.28100000000000003</v>
      </c>
      <c r="H623" s="87">
        <v>0.32600000000000001</v>
      </c>
      <c r="I623" s="87">
        <v>6.0999999999999999E-2</v>
      </c>
      <c r="J623" s="87">
        <v>2.5999999999999999E-2</v>
      </c>
      <c r="K623" s="76">
        <f>((3/3)*L614)+((9/3)*L626)</f>
        <v>47157</v>
      </c>
      <c r="L623" s="94"/>
      <c r="M623" s="353">
        <f t="shared" ref="M623:M686" si="76">AVERAGE(R623:R634)</f>
        <v>0.6</v>
      </c>
      <c r="N623" s="353">
        <v>0.26</v>
      </c>
      <c r="O623" s="353">
        <f t="shared" ref="O623:O686" si="77">AVERAGE(S623:S634)</f>
        <v>0.61</v>
      </c>
      <c r="P623" s="353">
        <v>0.34620000000000001</v>
      </c>
      <c r="Q623" s="353">
        <v>0.69640000000000002</v>
      </c>
      <c r="R623" s="353">
        <v>0.6</v>
      </c>
      <c r="S623" s="353">
        <v>0.61</v>
      </c>
    </row>
    <row r="624" spans="1:19" s="78" customFormat="1">
      <c r="A624" s="77">
        <f t="shared" si="72"/>
        <v>56430</v>
      </c>
      <c r="B624" s="77">
        <f t="shared" si="71"/>
        <v>56794</v>
      </c>
      <c r="C624" s="86">
        <f t="shared" si="75"/>
        <v>0.28100000000000003</v>
      </c>
      <c r="D624" s="86">
        <f t="shared" si="75"/>
        <v>0.32600000000000001</v>
      </c>
      <c r="E624" s="86">
        <f t="shared" si="75"/>
        <v>6.0999999999999999E-2</v>
      </c>
      <c r="F624" s="86">
        <f t="shared" si="75"/>
        <v>2.5999999999999999E-2</v>
      </c>
      <c r="G624" s="87">
        <v>0.28100000000000003</v>
      </c>
      <c r="H624" s="87">
        <v>0.32600000000000001</v>
      </c>
      <c r="I624" s="87">
        <v>6.0999999999999999E-2</v>
      </c>
      <c r="J624" s="87">
        <v>2.5999999999999999E-2</v>
      </c>
      <c r="K624" s="76">
        <f>((2/3)*L614)+((10/3)*L626)</f>
        <v>47347</v>
      </c>
      <c r="L624" s="94"/>
      <c r="M624" s="353">
        <f t="shared" si="76"/>
        <v>0.6</v>
      </c>
      <c r="N624" s="353">
        <v>0.26</v>
      </c>
      <c r="O624" s="353">
        <f t="shared" si="77"/>
        <v>0.61</v>
      </c>
      <c r="P624" s="353">
        <v>0.34620000000000001</v>
      </c>
      <c r="Q624" s="353">
        <v>0.69640000000000002</v>
      </c>
      <c r="R624" s="353">
        <v>0.6</v>
      </c>
      <c r="S624" s="353">
        <v>0.61</v>
      </c>
    </row>
    <row r="625" spans="1:19" s="78" customFormat="1">
      <c r="A625" s="77">
        <f t="shared" si="72"/>
        <v>56461</v>
      </c>
      <c r="B625" s="77">
        <f t="shared" si="71"/>
        <v>56825</v>
      </c>
      <c r="C625" s="86">
        <f t="shared" si="75"/>
        <v>0.28100000000000003</v>
      </c>
      <c r="D625" s="86">
        <f t="shared" si="75"/>
        <v>0.32600000000000001</v>
      </c>
      <c r="E625" s="86">
        <f t="shared" si="75"/>
        <v>6.0999999999999999E-2</v>
      </c>
      <c r="F625" s="86">
        <f t="shared" si="75"/>
        <v>2.5999999999999999E-2</v>
      </c>
      <c r="G625" s="87">
        <v>0.28100000000000003</v>
      </c>
      <c r="H625" s="87">
        <v>0.32600000000000001</v>
      </c>
      <c r="I625" s="87">
        <v>6.0999999999999999E-2</v>
      </c>
      <c r="J625" s="87">
        <v>2.5999999999999999E-2</v>
      </c>
      <c r="K625" s="76">
        <f>((1/3)*L614)+((11/3)*L626)</f>
        <v>47536</v>
      </c>
      <c r="L625" s="94"/>
      <c r="M625" s="353">
        <f t="shared" si="76"/>
        <v>0.6</v>
      </c>
      <c r="N625" s="353">
        <v>0.26</v>
      </c>
      <c r="O625" s="353">
        <f t="shared" si="77"/>
        <v>0.61</v>
      </c>
      <c r="P625" s="353">
        <v>0.34620000000000001</v>
      </c>
      <c r="Q625" s="353">
        <v>0.69640000000000002</v>
      </c>
      <c r="R625" s="353">
        <v>0.6</v>
      </c>
      <c r="S625" s="353">
        <v>0.61</v>
      </c>
    </row>
    <row r="626" spans="1:19">
      <c r="A626" s="19">
        <f t="shared" si="72"/>
        <v>56492</v>
      </c>
      <c r="B626" s="19">
        <f t="shared" si="71"/>
        <v>56856</v>
      </c>
      <c r="C626" s="84">
        <f t="shared" si="75"/>
        <v>0.28100000000000003</v>
      </c>
      <c r="D626" s="84">
        <f t="shared" si="75"/>
        <v>0.32600000000000001</v>
      </c>
      <c r="E626" s="84">
        <f t="shared" si="75"/>
        <v>6.0999999999999999E-2</v>
      </c>
      <c r="F626" s="84">
        <f t="shared" si="75"/>
        <v>2.5999999999999999E-2</v>
      </c>
      <c r="G626" s="85">
        <v>0.28100000000000003</v>
      </c>
      <c r="H626" s="85">
        <v>0.32600000000000001</v>
      </c>
      <c r="I626" s="85">
        <v>6.0999999999999999E-2</v>
      </c>
      <c r="J626" s="85">
        <v>2.5999999999999999E-2</v>
      </c>
      <c r="K626" s="25">
        <f>(L626*4)</f>
        <v>47726</v>
      </c>
      <c r="L626" s="93">
        <f>L614*1.05</f>
        <v>11931.39</v>
      </c>
      <c r="M626" s="80">
        <f t="shared" si="76"/>
        <v>0.6</v>
      </c>
      <c r="N626" s="80">
        <v>0.26</v>
      </c>
      <c r="O626" s="80">
        <f t="shared" si="77"/>
        <v>0.61</v>
      </c>
      <c r="P626" s="80">
        <v>0.34620000000000001</v>
      </c>
      <c r="Q626" s="80">
        <v>0.69640000000000002</v>
      </c>
      <c r="R626" s="80">
        <v>0.6</v>
      </c>
      <c r="S626" s="80">
        <v>0.61</v>
      </c>
    </row>
    <row r="627" spans="1:19">
      <c r="A627" s="19">
        <f t="shared" si="72"/>
        <v>56522</v>
      </c>
      <c r="B627" s="19">
        <f t="shared" si="71"/>
        <v>56886</v>
      </c>
      <c r="C627" s="84">
        <f t="shared" ref="C627:F642" si="78">AVERAGE(G627:G638)</f>
        <v>0.28100000000000003</v>
      </c>
      <c r="D627" s="84">
        <f t="shared" si="78"/>
        <v>0.32600000000000001</v>
      </c>
      <c r="E627" s="84">
        <f t="shared" si="78"/>
        <v>6.0999999999999999E-2</v>
      </c>
      <c r="F627" s="84">
        <f t="shared" si="78"/>
        <v>2.5999999999999999E-2</v>
      </c>
      <c r="G627" s="85">
        <v>0.28100000000000003</v>
      </c>
      <c r="H627" s="85">
        <v>0.32600000000000001</v>
      </c>
      <c r="I627" s="85">
        <v>6.0999999999999999E-2</v>
      </c>
      <c r="J627" s="85">
        <v>2.5999999999999999E-2</v>
      </c>
      <c r="K627" s="25">
        <f>((11/3)*L626)+((1/3)*L638)</f>
        <v>47924</v>
      </c>
      <c r="L627" s="93"/>
      <c r="M627" s="80">
        <f t="shared" si="76"/>
        <v>0.6</v>
      </c>
      <c r="N627" s="80">
        <v>0.26</v>
      </c>
      <c r="O627" s="80">
        <f t="shared" si="77"/>
        <v>0.61</v>
      </c>
      <c r="P627" s="80">
        <v>0.34620000000000001</v>
      </c>
      <c r="Q627" s="80">
        <v>0.69640000000000002</v>
      </c>
      <c r="R627" s="80">
        <v>0.6</v>
      </c>
      <c r="S627" s="80">
        <v>0.61</v>
      </c>
    </row>
    <row r="628" spans="1:19">
      <c r="A628" s="19">
        <f t="shared" si="72"/>
        <v>56553</v>
      </c>
      <c r="B628" s="19">
        <f t="shared" si="71"/>
        <v>56917</v>
      </c>
      <c r="C628" s="84">
        <f t="shared" si="78"/>
        <v>0.28100000000000003</v>
      </c>
      <c r="D628" s="84">
        <f t="shared" si="78"/>
        <v>0.32600000000000001</v>
      </c>
      <c r="E628" s="84">
        <f t="shared" si="78"/>
        <v>6.0999999999999999E-2</v>
      </c>
      <c r="F628" s="84">
        <f t="shared" si="78"/>
        <v>2.5999999999999999E-2</v>
      </c>
      <c r="G628" s="85">
        <v>0.28100000000000003</v>
      </c>
      <c r="H628" s="85">
        <v>0.32600000000000001</v>
      </c>
      <c r="I628" s="85">
        <v>6.0999999999999999E-2</v>
      </c>
      <c r="J628" s="85">
        <v>2.5999999999999999E-2</v>
      </c>
      <c r="K628" s="25">
        <f>((10/3)*L626)+((2/3)*L638)</f>
        <v>48123</v>
      </c>
      <c r="L628" s="93"/>
      <c r="M628" s="80">
        <f t="shared" si="76"/>
        <v>0.6</v>
      </c>
      <c r="N628" s="80">
        <v>0.26</v>
      </c>
      <c r="O628" s="80">
        <f t="shared" si="77"/>
        <v>0.61</v>
      </c>
      <c r="P628" s="80">
        <v>0.34620000000000001</v>
      </c>
      <c r="Q628" s="80">
        <v>0.69640000000000002</v>
      </c>
      <c r="R628" s="80">
        <v>0.6</v>
      </c>
      <c r="S628" s="80">
        <v>0.61</v>
      </c>
    </row>
    <row r="629" spans="1:19">
      <c r="A629" s="19">
        <f t="shared" si="72"/>
        <v>56583</v>
      </c>
      <c r="B629" s="19">
        <f t="shared" si="71"/>
        <v>56947</v>
      </c>
      <c r="C629" s="84">
        <f t="shared" si="78"/>
        <v>0.28100000000000003</v>
      </c>
      <c r="D629" s="84">
        <f t="shared" si="78"/>
        <v>0.32600000000000001</v>
      </c>
      <c r="E629" s="84">
        <f t="shared" si="78"/>
        <v>6.0999999999999999E-2</v>
      </c>
      <c r="F629" s="84">
        <f t="shared" si="78"/>
        <v>2.5999999999999999E-2</v>
      </c>
      <c r="G629" s="85">
        <v>0.28100000000000003</v>
      </c>
      <c r="H629" s="85">
        <v>0.32600000000000001</v>
      </c>
      <c r="I629" s="85">
        <v>6.0999999999999999E-2</v>
      </c>
      <c r="J629" s="85">
        <v>2.5999999999999999E-2</v>
      </c>
      <c r="K629" s="25">
        <f>((9/3)*L626)+((3/3)*L638)</f>
        <v>48322</v>
      </c>
      <c r="L629" s="93"/>
      <c r="M629" s="80">
        <f t="shared" si="76"/>
        <v>0.6</v>
      </c>
      <c r="N629" s="80">
        <v>0.26</v>
      </c>
      <c r="O629" s="80">
        <f t="shared" si="77"/>
        <v>0.61</v>
      </c>
      <c r="P629" s="80">
        <v>0.34620000000000001</v>
      </c>
      <c r="Q629" s="80">
        <v>0.69640000000000002</v>
      </c>
      <c r="R629" s="80">
        <v>0.6</v>
      </c>
      <c r="S629" s="80">
        <v>0.61</v>
      </c>
    </row>
    <row r="630" spans="1:19">
      <c r="A630" s="19">
        <f t="shared" si="72"/>
        <v>56614</v>
      </c>
      <c r="B630" s="19">
        <f t="shared" si="71"/>
        <v>56978</v>
      </c>
      <c r="C630" s="84">
        <f t="shared" si="78"/>
        <v>0.28100000000000003</v>
      </c>
      <c r="D630" s="84">
        <f t="shared" si="78"/>
        <v>0.32600000000000001</v>
      </c>
      <c r="E630" s="84">
        <f t="shared" si="78"/>
        <v>6.0999999999999999E-2</v>
      </c>
      <c r="F630" s="84">
        <f t="shared" si="78"/>
        <v>2.5999999999999999E-2</v>
      </c>
      <c r="G630" s="85">
        <v>0.28100000000000003</v>
      </c>
      <c r="H630" s="85">
        <v>0.32600000000000001</v>
      </c>
      <c r="I630" s="85">
        <v>6.0999999999999999E-2</v>
      </c>
      <c r="J630" s="85">
        <v>2.5999999999999999E-2</v>
      </c>
      <c r="K630" s="25">
        <f>((8/3)*L626)+((4/3)*L638)</f>
        <v>48521</v>
      </c>
      <c r="L630" s="93"/>
      <c r="M630" s="80">
        <f t="shared" si="76"/>
        <v>0.6</v>
      </c>
      <c r="N630" s="80">
        <v>0.26</v>
      </c>
      <c r="O630" s="80">
        <f t="shared" si="77"/>
        <v>0.61</v>
      </c>
      <c r="P630" s="80">
        <v>0.34620000000000001</v>
      </c>
      <c r="Q630" s="80">
        <v>0.69640000000000002</v>
      </c>
      <c r="R630" s="80">
        <v>0.6</v>
      </c>
      <c r="S630" s="80">
        <v>0.61</v>
      </c>
    </row>
    <row r="631" spans="1:19">
      <c r="A631" s="19">
        <f t="shared" si="72"/>
        <v>56645</v>
      </c>
      <c r="B631" s="19">
        <f t="shared" si="71"/>
        <v>57009</v>
      </c>
      <c r="C631" s="84">
        <f t="shared" si="78"/>
        <v>0.28100000000000003</v>
      </c>
      <c r="D631" s="84">
        <f t="shared" si="78"/>
        <v>0.32600000000000001</v>
      </c>
      <c r="E631" s="84">
        <f t="shared" si="78"/>
        <v>6.0999999999999999E-2</v>
      </c>
      <c r="F631" s="84">
        <f t="shared" si="78"/>
        <v>2.5999999999999999E-2</v>
      </c>
      <c r="G631" s="85">
        <v>0.28100000000000003</v>
      </c>
      <c r="H631" s="85">
        <v>0.32600000000000001</v>
      </c>
      <c r="I631" s="85">
        <v>6.0999999999999999E-2</v>
      </c>
      <c r="J631" s="85">
        <v>2.5999999999999999E-2</v>
      </c>
      <c r="K631" s="25">
        <f>((7/3)*L626)+((5/3)*L638)</f>
        <v>48720</v>
      </c>
      <c r="L631" s="93"/>
      <c r="M631" s="80">
        <f t="shared" si="76"/>
        <v>0.6</v>
      </c>
      <c r="N631" s="80">
        <v>0.26</v>
      </c>
      <c r="O631" s="80">
        <f t="shared" si="77"/>
        <v>0.61</v>
      </c>
      <c r="P631" s="80">
        <v>0.34620000000000001</v>
      </c>
      <c r="Q631" s="80">
        <v>0.69640000000000002</v>
      </c>
      <c r="R631" s="80">
        <v>0.6</v>
      </c>
      <c r="S631" s="80">
        <v>0.61</v>
      </c>
    </row>
    <row r="632" spans="1:19">
      <c r="A632" s="19">
        <f t="shared" si="72"/>
        <v>56673</v>
      </c>
      <c r="B632" s="19">
        <f t="shared" si="71"/>
        <v>57038</v>
      </c>
      <c r="C632" s="84">
        <f t="shared" si="78"/>
        <v>0.28100000000000003</v>
      </c>
      <c r="D632" s="84">
        <f t="shared" si="78"/>
        <v>0.32600000000000001</v>
      </c>
      <c r="E632" s="84">
        <f t="shared" si="78"/>
        <v>6.0999999999999999E-2</v>
      </c>
      <c r="F632" s="84">
        <f t="shared" si="78"/>
        <v>2.5999999999999999E-2</v>
      </c>
      <c r="G632" s="85">
        <v>0.28100000000000003</v>
      </c>
      <c r="H632" s="85">
        <v>0.32600000000000001</v>
      </c>
      <c r="I632" s="85">
        <v>6.0999999999999999E-2</v>
      </c>
      <c r="J632" s="85">
        <v>2.5999999999999999E-2</v>
      </c>
      <c r="K632" s="25">
        <f>((6/3)*L626)+((6/3)*L638)</f>
        <v>48919</v>
      </c>
      <c r="L632" s="93"/>
      <c r="M632" s="80">
        <f t="shared" si="76"/>
        <v>0.6</v>
      </c>
      <c r="N632" s="80">
        <v>0.26</v>
      </c>
      <c r="O632" s="80">
        <f t="shared" si="77"/>
        <v>0.61</v>
      </c>
      <c r="P632" s="80">
        <v>0.34620000000000001</v>
      </c>
      <c r="Q632" s="80">
        <v>0.69640000000000002</v>
      </c>
      <c r="R632" s="80">
        <v>0.6</v>
      </c>
      <c r="S632" s="80">
        <v>0.61</v>
      </c>
    </row>
    <row r="633" spans="1:19">
      <c r="A633" s="19">
        <f t="shared" si="72"/>
        <v>56704</v>
      </c>
      <c r="B633" s="19">
        <f t="shared" si="71"/>
        <v>57069</v>
      </c>
      <c r="C633" s="84">
        <f t="shared" si="78"/>
        <v>0.28100000000000003</v>
      </c>
      <c r="D633" s="84">
        <f t="shared" si="78"/>
        <v>0.32600000000000001</v>
      </c>
      <c r="E633" s="84">
        <f t="shared" si="78"/>
        <v>6.0999999999999999E-2</v>
      </c>
      <c r="F633" s="84">
        <f t="shared" si="78"/>
        <v>2.5999999999999999E-2</v>
      </c>
      <c r="G633" s="85">
        <v>0.28100000000000003</v>
      </c>
      <c r="H633" s="85">
        <v>0.32600000000000001</v>
      </c>
      <c r="I633" s="85">
        <v>6.0999999999999999E-2</v>
      </c>
      <c r="J633" s="85">
        <v>2.5999999999999999E-2</v>
      </c>
      <c r="K633" s="25">
        <f>((5/3)*L626)+((7/3)*L638)</f>
        <v>49118</v>
      </c>
      <c r="L633" s="93"/>
      <c r="M633" s="80">
        <f t="shared" si="76"/>
        <v>0.6</v>
      </c>
      <c r="N633" s="80">
        <v>0.26</v>
      </c>
      <c r="O633" s="80">
        <f t="shared" si="77"/>
        <v>0.61</v>
      </c>
      <c r="P633" s="80">
        <v>0.34620000000000001</v>
      </c>
      <c r="Q633" s="80">
        <v>0.69640000000000002</v>
      </c>
      <c r="R633" s="80">
        <v>0.6</v>
      </c>
      <c r="S633" s="80">
        <v>0.61</v>
      </c>
    </row>
    <row r="634" spans="1:19">
      <c r="A634" s="19">
        <f t="shared" si="72"/>
        <v>56734</v>
      </c>
      <c r="B634" s="19">
        <f t="shared" si="71"/>
        <v>57099</v>
      </c>
      <c r="C634" s="84">
        <f t="shared" si="78"/>
        <v>0.28100000000000003</v>
      </c>
      <c r="D634" s="84">
        <f t="shared" si="78"/>
        <v>0.32600000000000001</v>
      </c>
      <c r="E634" s="84">
        <f t="shared" si="78"/>
        <v>6.0999999999999999E-2</v>
      </c>
      <c r="F634" s="84">
        <f t="shared" si="78"/>
        <v>2.5999999999999999E-2</v>
      </c>
      <c r="G634" s="85">
        <v>0.28100000000000003</v>
      </c>
      <c r="H634" s="85">
        <v>0.32600000000000001</v>
      </c>
      <c r="I634" s="85">
        <v>6.0999999999999999E-2</v>
      </c>
      <c r="J634" s="85">
        <v>2.5999999999999999E-2</v>
      </c>
      <c r="K634" s="25">
        <f>((4/3)*L626)+((8/3)*L638)</f>
        <v>49316</v>
      </c>
      <c r="L634" s="93"/>
      <c r="M634" s="80">
        <f t="shared" si="76"/>
        <v>0.6</v>
      </c>
      <c r="N634" s="80">
        <v>0.26</v>
      </c>
      <c r="O634" s="80">
        <f t="shared" si="77"/>
        <v>0.61</v>
      </c>
      <c r="P634" s="80">
        <v>0.34620000000000001</v>
      </c>
      <c r="Q634" s="80">
        <v>0.69640000000000002</v>
      </c>
      <c r="R634" s="80">
        <v>0.6</v>
      </c>
      <c r="S634" s="80">
        <v>0.61</v>
      </c>
    </row>
    <row r="635" spans="1:19">
      <c r="A635" s="19">
        <f t="shared" si="72"/>
        <v>56765</v>
      </c>
      <c r="B635" s="19">
        <f t="shared" si="71"/>
        <v>57130</v>
      </c>
      <c r="C635" s="84">
        <f t="shared" si="78"/>
        <v>0.28100000000000003</v>
      </c>
      <c r="D635" s="84">
        <f t="shared" si="78"/>
        <v>0.32600000000000001</v>
      </c>
      <c r="E635" s="84">
        <f t="shared" si="78"/>
        <v>6.0999999999999999E-2</v>
      </c>
      <c r="F635" s="84">
        <f t="shared" si="78"/>
        <v>2.5999999999999999E-2</v>
      </c>
      <c r="G635" s="85">
        <v>0.28100000000000003</v>
      </c>
      <c r="H635" s="85">
        <v>0.32600000000000001</v>
      </c>
      <c r="I635" s="85">
        <v>6.0999999999999999E-2</v>
      </c>
      <c r="J635" s="85">
        <v>2.5999999999999999E-2</v>
      </c>
      <c r="K635" s="25">
        <f>((3/3)*L626)+((9/3)*L638)</f>
        <v>49515</v>
      </c>
      <c r="L635" s="93"/>
      <c r="M635" s="80">
        <f t="shared" si="76"/>
        <v>0.6</v>
      </c>
      <c r="N635" s="80">
        <v>0.26</v>
      </c>
      <c r="O635" s="80">
        <f t="shared" si="77"/>
        <v>0.61</v>
      </c>
      <c r="P635" s="80">
        <v>0.34620000000000001</v>
      </c>
      <c r="Q635" s="80">
        <v>0.69640000000000002</v>
      </c>
      <c r="R635" s="80">
        <v>0.6</v>
      </c>
      <c r="S635" s="80">
        <v>0.61</v>
      </c>
    </row>
    <row r="636" spans="1:19">
      <c r="A636" s="19">
        <f t="shared" si="72"/>
        <v>56795</v>
      </c>
      <c r="B636" s="19">
        <f t="shared" si="71"/>
        <v>57160</v>
      </c>
      <c r="C636" s="84">
        <f t="shared" si="78"/>
        <v>0.28100000000000003</v>
      </c>
      <c r="D636" s="84">
        <f t="shared" si="78"/>
        <v>0.32600000000000001</v>
      </c>
      <c r="E636" s="84">
        <f t="shared" si="78"/>
        <v>6.0999999999999999E-2</v>
      </c>
      <c r="F636" s="84">
        <f t="shared" si="78"/>
        <v>2.5999999999999999E-2</v>
      </c>
      <c r="G636" s="85">
        <v>0.28100000000000003</v>
      </c>
      <c r="H636" s="85">
        <v>0.32600000000000001</v>
      </c>
      <c r="I636" s="85">
        <v>6.0999999999999999E-2</v>
      </c>
      <c r="J636" s="85">
        <v>2.5999999999999999E-2</v>
      </c>
      <c r="K636" s="25">
        <f>((2/3)*L626)+((10/3)*L638)</f>
        <v>49714</v>
      </c>
      <c r="L636" s="93"/>
      <c r="M636" s="80">
        <f t="shared" si="76"/>
        <v>0.6</v>
      </c>
      <c r="N636" s="80">
        <v>0.26</v>
      </c>
      <c r="O636" s="80">
        <f t="shared" si="77"/>
        <v>0.61</v>
      </c>
      <c r="P636" s="80">
        <v>0.34620000000000001</v>
      </c>
      <c r="Q636" s="80">
        <v>0.69640000000000002</v>
      </c>
      <c r="R636" s="80">
        <v>0.6</v>
      </c>
      <c r="S636" s="80">
        <v>0.61</v>
      </c>
    </row>
    <row r="637" spans="1:19">
      <c r="A637" s="19">
        <f t="shared" si="72"/>
        <v>56826</v>
      </c>
      <c r="B637" s="19">
        <f t="shared" si="71"/>
        <v>57191</v>
      </c>
      <c r="C637" s="81">
        <f t="shared" si="78"/>
        <v>0.28100000000000003</v>
      </c>
      <c r="D637" s="81">
        <f t="shared" si="78"/>
        <v>0.32600000000000001</v>
      </c>
      <c r="E637" s="81">
        <f t="shared" si="78"/>
        <v>6.0999999999999999E-2</v>
      </c>
      <c r="F637" s="81">
        <f t="shared" si="78"/>
        <v>2.5999999999999999E-2</v>
      </c>
      <c r="G637" s="85">
        <v>0.28100000000000003</v>
      </c>
      <c r="H637" s="85">
        <v>0.32600000000000001</v>
      </c>
      <c r="I637" s="85">
        <v>6.0999999999999999E-2</v>
      </c>
      <c r="J637" s="85">
        <v>2.5999999999999999E-2</v>
      </c>
      <c r="K637" s="25">
        <f>((1/3)*L626)+((11/3)*L638)</f>
        <v>49913</v>
      </c>
      <c r="L637" s="93"/>
      <c r="M637" s="80">
        <f t="shared" si="76"/>
        <v>0.6</v>
      </c>
      <c r="N637" s="80">
        <v>0.26</v>
      </c>
      <c r="O637" s="80">
        <f t="shared" si="77"/>
        <v>0.61</v>
      </c>
      <c r="P637" s="80">
        <v>0.34620000000000001</v>
      </c>
      <c r="Q637" s="80">
        <v>0.69640000000000002</v>
      </c>
      <c r="R637" s="80">
        <v>0.6</v>
      </c>
      <c r="S637" s="80">
        <v>0.61</v>
      </c>
    </row>
    <row r="638" spans="1:19" s="78" customFormat="1">
      <c r="A638" s="77">
        <f t="shared" si="72"/>
        <v>56857</v>
      </c>
      <c r="B638" s="77">
        <f t="shared" si="71"/>
        <v>57222</v>
      </c>
      <c r="C638" s="86">
        <f t="shared" si="78"/>
        <v>0.28100000000000003</v>
      </c>
      <c r="D638" s="86">
        <f t="shared" si="78"/>
        <v>0.32600000000000001</v>
      </c>
      <c r="E638" s="86">
        <f t="shared" si="78"/>
        <v>6.0999999999999999E-2</v>
      </c>
      <c r="F638" s="86">
        <f t="shared" si="78"/>
        <v>2.5999999999999999E-2</v>
      </c>
      <c r="G638" s="87">
        <v>0.28100000000000003</v>
      </c>
      <c r="H638" s="87">
        <v>0.32600000000000001</v>
      </c>
      <c r="I638" s="87">
        <v>6.0999999999999999E-2</v>
      </c>
      <c r="J638" s="87">
        <v>2.5999999999999999E-2</v>
      </c>
      <c r="K638" s="76">
        <f>(L638*4)</f>
        <v>50112</v>
      </c>
      <c r="L638" s="94">
        <f>L626*1.05</f>
        <v>12527.96</v>
      </c>
      <c r="M638" s="353">
        <f t="shared" si="76"/>
        <v>0.6</v>
      </c>
      <c r="N638" s="353">
        <v>0.26</v>
      </c>
      <c r="O638" s="353">
        <f t="shared" si="77"/>
        <v>0.61</v>
      </c>
      <c r="P638" s="353">
        <v>0.34620000000000001</v>
      </c>
      <c r="Q638" s="353">
        <v>0.69640000000000002</v>
      </c>
      <c r="R638" s="353">
        <v>0.6</v>
      </c>
      <c r="S638" s="353">
        <v>0.61</v>
      </c>
    </row>
    <row r="639" spans="1:19" s="78" customFormat="1">
      <c r="A639" s="77">
        <f t="shared" si="72"/>
        <v>56887</v>
      </c>
      <c r="B639" s="77">
        <f t="shared" si="71"/>
        <v>57252</v>
      </c>
      <c r="C639" s="86">
        <f t="shared" si="78"/>
        <v>0.28100000000000003</v>
      </c>
      <c r="D639" s="86">
        <f t="shared" si="78"/>
        <v>0.32600000000000001</v>
      </c>
      <c r="E639" s="86">
        <f t="shared" si="78"/>
        <v>6.0999999999999999E-2</v>
      </c>
      <c r="F639" s="86">
        <f t="shared" si="78"/>
        <v>2.5999999999999999E-2</v>
      </c>
      <c r="G639" s="87">
        <v>0.28100000000000003</v>
      </c>
      <c r="H639" s="87">
        <v>0.32600000000000001</v>
      </c>
      <c r="I639" s="87">
        <v>6.0999999999999999E-2</v>
      </c>
      <c r="J639" s="87">
        <v>2.5999999999999999E-2</v>
      </c>
      <c r="K639" s="76">
        <f>((11/3)*L638)+((1/3)*L650)</f>
        <v>50321</v>
      </c>
      <c r="L639" s="94"/>
      <c r="M639" s="353">
        <f t="shared" si="76"/>
        <v>0.6</v>
      </c>
      <c r="N639" s="353">
        <v>0.26</v>
      </c>
      <c r="O639" s="353">
        <f t="shared" si="77"/>
        <v>0.61</v>
      </c>
      <c r="P639" s="353">
        <v>0.34620000000000001</v>
      </c>
      <c r="Q639" s="353">
        <v>0.69640000000000002</v>
      </c>
      <c r="R639" s="353">
        <v>0.6</v>
      </c>
      <c r="S639" s="353">
        <v>0.61</v>
      </c>
    </row>
    <row r="640" spans="1:19" s="78" customFormat="1">
      <c r="A640" s="77">
        <f t="shared" si="72"/>
        <v>56918</v>
      </c>
      <c r="B640" s="77">
        <f t="shared" si="71"/>
        <v>57283</v>
      </c>
      <c r="C640" s="86">
        <f t="shared" si="78"/>
        <v>0.28100000000000003</v>
      </c>
      <c r="D640" s="86">
        <f t="shared" si="78"/>
        <v>0.32600000000000001</v>
      </c>
      <c r="E640" s="86">
        <f t="shared" si="78"/>
        <v>6.0999999999999999E-2</v>
      </c>
      <c r="F640" s="86">
        <f t="shared" si="78"/>
        <v>2.5999999999999999E-2</v>
      </c>
      <c r="G640" s="87">
        <v>0.28100000000000003</v>
      </c>
      <c r="H640" s="87">
        <v>0.32600000000000001</v>
      </c>
      <c r="I640" s="87">
        <v>6.0999999999999999E-2</v>
      </c>
      <c r="J640" s="87">
        <v>2.5999999999999999E-2</v>
      </c>
      <c r="K640" s="76">
        <f>((10/3)*L638)+((2/3)*L650)</f>
        <v>50529</v>
      </c>
      <c r="L640" s="94"/>
      <c r="M640" s="353">
        <f t="shared" si="76"/>
        <v>0.6</v>
      </c>
      <c r="N640" s="353">
        <v>0.26</v>
      </c>
      <c r="O640" s="353">
        <f t="shared" si="77"/>
        <v>0.61</v>
      </c>
      <c r="P640" s="353">
        <v>0.34620000000000001</v>
      </c>
      <c r="Q640" s="353">
        <v>0.69640000000000002</v>
      </c>
      <c r="R640" s="353">
        <v>0.6</v>
      </c>
      <c r="S640" s="353">
        <v>0.61</v>
      </c>
    </row>
    <row r="641" spans="1:19" s="78" customFormat="1">
      <c r="A641" s="77">
        <f t="shared" si="72"/>
        <v>56948</v>
      </c>
      <c r="B641" s="77">
        <f t="shared" si="71"/>
        <v>57313</v>
      </c>
      <c r="C641" s="86">
        <f t="shared" si="78"/>
        <v>0.28100000000000003</v>
      </c>
      <c r="D641" s="86">
        <f t="shared" si="78"/>
        <v>0.32600000000000001</v>
      </c>
      <c r="E641" s="86">
        <f t="shared" si="78"/>
        <v>6.0999999999999999E-2</v>
      </c>
      <c r="F641" s="86">
        <f t="shared" si="78"/>
        <v>2.5999999999999999E-2</v>
      </c>
      <c r="G641" s="87">
        <v>0.28100000000000003</v>
      </c>
      <c r="H641" s="87">
        <v>0.32600000000000001</v>
      </c>
      <c r="I641" s="87">
        <v>6.0999999999999999E-2</v>
      </c>
      <c r="J641" s="87">
        <v>2.5999999999999999E-2</v>
      </c>
      <c r="K641" s="76">
        <f>((9/3)*L638)+((3/3)*L650)</f>
        <v>50738</v>
      </c>
      <c r="L641" s="94"/>
      <c r="M641" s="353">
        <f t="shared" si="76"/>
        <v>0.6</v>
      </c>
      <c r="N641" s="353">
        <v>0.26</v>
      </c>
      <c r="O641" s="353">
        <f t="shared" si="77"/>
        <v>0.61</v>
      </c>
      <c r="P641" s="353">
        <v>0.34620000000000001</v>
      </c>
      <c r="Q641" s="353">
        <v>0.69640000000000002</v>
      </c>
      <c r="R641" s="353">
        <v>0.6</v>
      </c>
      <c r="S641" s="353">
        <v>0.61</v>
      </c>
    </row>
    <row r="642" spans="1:19" s="78" customFormat="1">
      <c r="A642" s="77">
        <f t="shared" si="72"/>
        <v>56979</v>
      </c>
      <c r="B642" s="77">
        <f t="shared" ref="B642:B705" si="79">EDATE(A642,12)-1</f>
        <v>57344</v>
      </c>
      <c r="C642" s="86">
        <f t="shared" si="78"/>
        <v>0.28100000000000003</v>
      </c>
      <c r="D642" s="86">
        <f t="shared" si="78"/>
        <v>0.32600000000000001</v>
      </c>
      <c r="E642" s="86">
        <f t="shared" si="78"/>
        <v>6.0999999999999999E-2</v>
      </c>
      <c r="F642" s="86">
        <f t="shared" si="78"/>
        <v>2.5999999999999999E-2</v>
      </c>
      <c r="G642" s="87">
        <v>0.28100000000000003</v>
      </c>
      <c r="H642" s="87">
        <v>0.32600000000000001</v>
      </c>
      <c r="I642" s="87">
        <v>6.0999999999999999E-2</v>
      </c>
      <c r="J642" s="87">
        <v>2.5999999999999999E-2</v>
      </c>
      <c r="K642" s="76">
        <f>((8/3)*L638)+((4/3)*L650)</f>
        <v>50947</v>
      </c>
      <c r="L642" s="94"/>
      <c r="M642" s="353">
        <f t="shared" si="76"/>
        <v>0.6</v>
      </c>
      <c r="N642" s="353">
        <v>0.26</v>
      </c>
      <c r="O642" s="353">
        <f t="shared" si="77"/>
        <v>0.61</v>
      </c>
      <c r="P642" s="353">
        <v>0.34620000000000001</v>
      </c>
      <c r="Q642" s="353">
        <v>0.69640000000000002</v>
      </c>
      <c r="R642" s="353">
        <v>0.6</v>
      </c>
      <c r="S642" s="353">
        <v>0.61</v>
      </c>
    </row>
    <row r="643" spans="1:19" s="78" customFormat="1">
      <c r="A643" s="77">
        <f t="shared" ref="A643:A706" si="80">EDATE(A642,1)</f>
        <v>57010</v>
      </c>
      <c r="B643" s="77">
        <f t="shared" si="79"/>
        <v>57375</v>
      </c>
      <c r="C643" s="86">
        <f t="shared" ref="C643:F658" si="81">AVERAGE(G643:G654)</f>
        <v>0.28100000000000003</v>
      </c>
      <c r="D643" s="86">
        <f t="shared" si="81"/>
        <v>0.32600000000000001</v>
      </c>
      <c r="E643" s="86">
        <f t="shared" si="81"/>
        <v>6.0999999999999999E-2</v>
      </c>
      <c r="F643" s="86">
        <f t="shared" si="81"/>
        <v>2.5999999999999999E-2</v>
      </c>
      <c r="G643" s="87">
        <v>0.28100000000000003</v>
      </c>
      <c r="H643" s="87">
        <v>0.32600000000000001</v>
      </c>
      <c r="I643" s="87">
        <v>6.0999999999999999E-2</v>
      </c>
      <c r="J643" s="87">
        <v>2.5999999999999999E-2</v>
      </c>
      <c r="K643" s="76">
        <f>((7/3)*L638)+((5/3)*L650)</f>
        <v>51156</v>
      </c>
      <c r="L643" s="94"/>
      <c r="M643" s="353">
        <f t="shared" si="76"/>
        <v>0.6</v>
      </c>
      <c r="N643" s="353">
        <v>0.26</v>
      </c>
      <c r="O643" s="353">
        <f t="shared" si="77"/>
        <v>0.61</v>
      </c>
      <c r="P643" s="353">
        <v>0.34620000000000001</v>
      </c>
      <c r="Q643" s="353">
        <v>0.69640000000000002</v>
      </c>
      <c r="R643" s="353">
        <v>0.6</v>
      </c>
      <c r="S643" s="353">
        <v>0.61</v>
      </c>
    </row>
    <row r="644" spans="1:19" s="78" customFormat="1">
      <c r="A644" s="77">
        <f t="shared" si="80"/>
        <v>57039</v>
      </c>
      <c r="B644" s="77">
        <f t="shared" si="79"/>
        <v>57403</v>
      </c>
      <c r="C644" s="86">
        <f t="shared" si="81"/>
        <v>0.28100000000000003</v>
      </c>
      <c r="D644" s="86">
        <f t="shared" si="81"/>
        <v>0.32600000000000001</v>
      </c>
      <c r="E644" s="86">
        <f t="shared" si="81"/>
        <v>6.0999999999999999E-2</v>
      </c>
      <c r="F644" s="86">
        <f t="shared" si="81"/>
        <v>2.5999999999999999E-2</v>
      </c>
      <c r="G644" s="87">
        <v>0.28100000000000003</v>
      </c>
      <c r="H644" s="87">
        <v>0.32600000000000001</v>
      </c>
      <c r="I644" s="87">
        <v>6.0999999999999999E-2</v>
      </c>
      <c r="J644" s="87">
        <v>2.5999999999999999E-2</v>
      </c>
      <c r="K644" s="76">
        <f>((6/3)*L638)+((6/3)*L650)</f>
        <v>51365</v>
      </c>
      <c r="L644" s="94"/>
      <c r="M644" s="353">
        <f t="shared" si="76"/>
        <v>0.6</v>
      </c>
      <c r="N644" s="353">
        <v>0.26</v>
      </c>
      <c r="O644" s="353">
        <f t="shared" si="77"/>
        <v>0.61</v>
      </c>
      <c r="P644" s="353">
        <v>0.34620000000000001</v>
      </c>
      <c r="Q644" s="353">
        <v>0.69640000000000002</v>
      </c>
      <c r="R644" s="353">
        <v>0.6</v>
      </c>
      <c r="S644" s="353">
        <v>0.61</v>
      </c>
    </row>
    <row r="645" spans="1:19" s="78" customFormat="1">
      <c r="A645" s="77">
        <f t="shared" si="80"/>
        <v>57070</v>
      </c>
      <c r="B645" s="77">
        <f t="shared" si="79"/>
        <v>57434</v>
      </c>
      <c r="C645" s="86">
        <f t="shared" si="81"/>
        <v>0.28100000000000003</v>
      </c>
      <c r="D645" s="86">
        <f t="shared" si="81"/>
        <v>0.32600000000000001</v>
      </c>
      <c r="E645" s="86">
        <f t="shared" si="81"/>
        <v>6.0999999999999999E-2</v>
      </c>
      <c r="F645" s="86">
        <f t="shared" si="81"/>
        <v>2.5999999999999999E-2</v>
      </c>
      <c r="G645" s="87">
        <v>0.28100000000000003</v>
      </c>
      <c r="H645" s="87">
        <v>0.32600000000000001</v>
      </c>
      <c r="I645" s="87">
        <v>6.0999999999999999E-2</v>
      </c>
      <c r="J645" s="87">
        <v>2.5999999999999999E-2</v>
      </c>
      <c r="K645" s="76">
        <f>((5/3)*L638)+((7/3)*L650)</f>
        <v>51573</v>
      </c>
      <c r="L645" s="94"/>
      <c r="M645" s="353">
        <f t="shared" si="76"/>
        <v>0.6</v>
      </c>
      <c r="N645" s="353">
        <v>0.26</v>
      </c>
      <c r="O645" s="353">
        <f t="shared" si="77"/>
        <v>0.61</v>
      </c>
      <c r="P645" s="353">
        <v>0.34620000000000001</v>
      </c>
      <c r="Q645" s="353">
        <v>0.69640000000000002</v>
      </c>
      <c r="R645" s="353">
        <v>0.6</v>
      </c>
      <c r="S645" s="353">
        <v>0.61</v>
      </c>
    </row>
    <row r="646" spans="1:19" s="78" customFormat="1">
      <c r="A646" s="77">
        <f t="shared" si="80"/>
        <v>57100</v>
      </c>
      <c r="B646" s="77">
        <f t="shared" si="79"/>
        <v>57464</v>
      </c>
      <c r="C646" s="86">
        <f t="shared" si="81"/>
        <v>0.28100000000000003</v>
      </c>
      <c r="D646" s="86">
        <f t="shared" si="81"/>
        <v>0.32600000000000001</v>
      </c>
      <c r="E646" s="86">
        <f t="shared" si="81"/>
        <v>6.0999999999999999E-2</v>
      </c>
      <c r="F646" s="86">
        <f t="shared" si="81"/>
        <v>2.5999999999999999E-2</v>
      </c>
      <c r="G646" s="87">
        <v>0.28100000000000003</v>
      </c>
      <c r="H646" s="87">
        <v>0.32600000000000001</v>
      </c>
      <c r="I646" s="87">
        <v>6.0999999999999999E-2</v>
      </c>
      <c r="J646" s="87">
        <v>2.5999999999999999E-2</v>
      </c>
      <c r="K646" s="76">
        <f>((4/3)*L638)+((8/3)*L650)</f>
        <v>51782</v>
      </c>
      <c r="L646" s="94"/>
      <c r="M646" s="353">
        <f t="shared" si="76"/>
        <v>0.6</v>
      </c>
      <c r="N646" s="353">
        <v>0.26</v>
      </c>
      <c r="O646" s="353">
        <f t="shared" si="77"/>
        <v>0.61</v>
      </c>
      <c r="P646" s="353">
        <v>0.34620000000000001</v>
      </c>
      <c r="Q646" s="353">
        <v>0.69640000000000002</v>
      </c>
      <c r="R646" s="353">
        <v>0.6</v>
      </c>
      <c r="S646" s="353">
        <v>0.61</v>
      </c>
    </row>
    <row r="647" spans="1:19" s="78" customFormat="1">
      <c r="A647" s="77">
        <f t="shared" si="80"/>
        <v>57131</v>
      </c>
      <c r="B647" s="77">
        <f t="shared" si="79"/>
        <v>57495</v>
      </c>
      <c r="C647" s="86">
        <f t="shared" si="81"/>
        <v>0.28100000000000003</v>
      </c>
      <c r="D647" s="86">
        <f t="shared" si="81"/>
        <v>0.32600000000000001</v>
      </c>
      <c r="E647" s="86">
        <f t="shared" si="81"/>
        <v>6.0999999999999999E-2</v>
      </c>
      <c r="F647" s="86">
        <f t="shared" si="81"/>
        <v>2.5999999999999999E-2</v>
      </c>
      <c r="G647" s="87">
        <v>0.28100000000000003</v>
      </c>
      <c r="H647" s="87">
        <v>0.32600000000000001</v>
      </c>
      <c r="I647" s="87">
        <v>6.0999999999999999E-2</v>
      </c>
      <c r="J647" s="87">
        <v>2.5999999999999999E-2</v>
      </c>
      <c r="K647" s="76">
        <f>((3/3)*L638)+((9/3)*L650)</f>
        <v>51991</v>
      </c>
      <c r="L647" s="94"/>
      <c r="M647" s="353">
        <f t="shared" si="76"/>
        <v>0.6</v>
      </c>
      <c r="N647" s="353">
        <v>0.26</v>
      </c>
      <c r="O647" s="353">
        <f t="shared" si="77"/>
        <v>0.61</v>
      </c>
      <c r="P647" s="353">
        <v>0.34620000000000001</v>
      </c>
      <c r="Q647" s="353">
        <v>0.69640000000000002</v>
      </c>
      <c r="R647" s="353">
        <v>0.6</v>
      </c>
      <c r="S647" s="353">
        <v>0.61</v>
      </c>
    </row>
    <row r="648" spans="1:19" s="78" customFormat="1">
      <c r="A648" s="77">
        <f t="shared" si="80"/>
        <v>57161</v>
      </c>
      <c r="B648" s="77">
        <f t="shared" si="79"/>
        <v>57525</v>
      </c>
      <c r="C648" s="86">
        <f t="shared" si="81"/>
        <v>0.28100000000000003</v>
      </c>
      <c r="D648" s="86">
        <f t="shared" si="81"/>
        <v>0.32600000000000001</v>
      </c>
      <c r="E648" s="86">
        <f t="shared" si="81"/>
        <v>6.0999999999999999E-2</v>
      </c>
      <c r="F648" s="86">
        <f t="shared" si="81"/>
        <v>2.5999999999999999E-2</v>
      </c>
      <c r="G648" s="87">
        <v>0.28100000000000003</v>
      </c>
      <c r="H648" s="87">
        <v>0.32600000000000001</v>
      </c>
      <c r="I648" s="87">
        <v>6.0999999999999999E-2</v>
      </c>
      <c r="J648" s="87">
        <v>2.5999999999999999E-2</v>
      </c>
      <c r="K648" s="76">
        <f>((2/3)*L638)+((10/3)*L650)</f>
        <v>52200</v>
      </c>
      <c r="L648" s="94"/>
      <c r="M648" s="353">
        <f t="shared" si="76"/>
        <v>0.6</v>
      </c>
      <c r="N648" s="353">
        <v>0.26</v>
      </c>
      <c r="O648" s="353">
        <f t="shared" si="77"/>
        <v>0.61</v>
      </c>
      <c r="P648" s="353">
        <v>0.34620000000000001</v>
      </c>
      <c r="Q648" s="353">
        <v>0.69640000000000002</v>
      </c>
      <c r="R648" s="353">
        <v>0.6</v>
      </c>
      <c r="S648" s="353">
        <v>0.61</v>
      </c>
    </row>
    <row r="649" spans="1:19" s="78" customFormat="1">
      <c r="A649" s="77">
        <f t="shared" si="80"/>
        <v>57192</v>
      </c>
      <c r="B649" s="77">
        <f t="shared" si="79"/>
        <v>57556</v>
      </c>
      <c r="C649" s="86">
        <f t="shared" si="81"/>
        <v>0.28100000000000003</v>
      </c>
      <c r="D649" s="86">
        <f t="shared" si="81"/>
        <v>0.32600000000000001</v>
      </c>
      <c r="E649" s="86">
        <f t="shared" si="81"/>
        <v>6.0999999999999999E-2</v>
      </c>
      <c r="F649" s="86">
        <f t="shared" si="81"/>
        <v>2.5999999999999999E-2</v>
      </c>
      <c r="G649" s="87">
        <v>0.28100000000000003</v>
      </c>
      <c r="H649" s="87">
        <v>0.32600000000000001</v>
      </c>
      <c r="I649" s="87">
        <v>6.0999999999999999E-2</v>
      </c>
      <c r="J649" s="87">
        <v>2.5999999999999999E-2</v>
      </c>
      <c r="K649" s="76">
        <f>((1/3)*L638)+((11/3)*L650)</f>
        <v>52409</v>
      </c>
      <c r="L649" s="94"/>
      <c r="M649" s="353">
        <f t="shared" si="76"/>
        <v>0.6</v>
      </c>
      <c r="N649" s="353">
        <v>0.26</v>
      </c>
      <c r="O649" s="353">
        <f t="shared" si="77"/>
        <v>0.61</v>
      </c>
      <c r="P649" s="353">
        <v>0.34620000000000001</v>
      </c>
      <c r="Q649" s="353">
        <v>0.69640000000000002</v>
      </c>
      <c r="R649" s="353">
        <v>0.6</v>
      </c>
      <c r="S649" s="353">
        <v>0.61</v>
      </c>
    </row>
    <row r="650" spans="1:19">
      <c r="A650" s="19">
        <f t="shared" si="80"/>
        <v>57223</v>
      </c>
      <c r="B650" s="19">
        <f t="shared" si="79"/>
        <v>57587</v>
      </c>
      <c r="C650" s="84">
        <f t="shared" si="81"/>
        <v>0.28100000000000003</v>
      </c>
      <c r="D650" s="84">
        <f t="shared" si="81"/>
        <v>0.32600000000000001</v>
      </c>
      <c r="E650" s="84">
        <f t="shared" si="81"/>
        <v>6.0999999999999999E-2</v>
      </c>
      <c r="F650" s="84">
        <f t="shared" si="81"/>
        <v>2.5999999999999999E-2</v>
      </c>
      <c r="G650" s="85">
        <v>0.28100000000000003</v>
      </c>
      <c r="H650" s="85">
        <v>0.32600000000000001</v>
      </c>
      <c r="I650" s="85">
        <v>6.0999999999999999E-2</v>
      </c>
      <c r="J650" s="85">
        <v>2.5999999999999999E-2</v>
      </c>
      <c r="K650" s="25">
        <f>(L650*4)</f>
        <v>52617</v>
      </c>
      <c r="L650" s="93">
        <f>L638*1.05</f>
        <v>13154.36</v>
      </c>
      <c r="M650" s="80">
        <f t="shared" si="76"/>
        <v>0.6</v>
      </c>
      <c r="N650" s="80">
        <v>0.26</v>
      </c>
      <c r="O650" s="80">
        <f t="shared" si="77"/>
        <v>0.61</v>
      </c>
      <c r="P650" s="80">
        <v>0.34620000000000001</v>
      </c>
      <c r="Q650" s="80">
        <v>0.69640000000000002</v>
      </c>
      <c r="R650" s="80">
        <v>0.6</v>
      </c>
      <c r="S650" s="80">
        <v>0.61</v>
      </c>
    </row>
    <row r="651" spans="1:19">
      <c r="A651" s="19">
        <f t="shared" si="80"/>
        <v>57253</v>
      </c>
      <c r="B651" s="19">
        <f t="shared" si="79"/>
        <v>57617</v>
      </c>
      <c r="C651" s="84">
        <f t="shared" si="81"/>
        <v>0.28100000000000003</v>
      </c>
      <c r="D651" s="84">
        <f t="shared" si="81"/>
        <v>0.32600000000000001</v>
      </c>
      <c r="E651" s="84">
        <f t="shared" si="81"/>
        <v>6.0999999999999999E-2</v>
      </c>
      <c r="F651" s="84">
        <f t="shared" si="81"/>
        <v>2.5999999999999999E-2</v>
      </c>
      <c r="G651" s="85">
        <v>0.28100000000000003</v>
      </c>
      <c r="H651" s="85">
        <v>0.32600000000000001</v>
      </c>
      <c r="I651" s="85">
        <v>6.0999999999999999E-2</v>
      </c>
      <c r="J651" s="85">
        <v>2.5999999999999999E-2</v>
      </c>
      <c r="K651" s="25">
        <f>((11/3)*L650)+((1/3)*L662)</f>
        <v>52837</v>
      </c>
      <c r="L651" s="93"/>
      <c r="M651" s="80">
        <f t="shared" si="76"/>
        <v>0.6</v>
      </c>
      <c r="N651" s="80">
        <v>0.26</v>
      </c>
      <c r="O651" s="80">
        <f t="shared" si="77"/>
        <v>0.61</v>
      </c>
      <c r="P651" s="80">
        <v>0.34620000000000001</v>
      </c>
      <c r="Q651" s="80">
        <v>0.69640000000000002</v>
      </c>
      <c r="R651" s="80">
        <v>0.6</v>
      </c>
      <c r="S651" s="80">
        <v>0.61</v>
      </c>
    </row>
    <row r="652" spans="1:19">
      <c r="A652" s="19">
        <f t="shared" si="80"/>
        <v>57284</v>
      </c>
      <c r="B652" s="19">
        <f t="shared" si="79"/>
        <v>57648</v>
      </c>
      <c r="C652" s="84">
        <f t="shared" si="81"/>
        <v>0.28100000000000003</v>
      </c>
      <c r="D652" s="84">
        <f t="shared" si="81"/>
        <v>0.32600000000000001</v>
      </c>
      <c r="E652" s="84">
        <f t="shared" si="81"/>
        <v>6.0999999999999999E-2</v>
      </c>
      <c r="F652" s="84">
        <f t="shared" si="81"/>
        <v>2.5999999999999999E-2</v>
      </c>
      <c r="G652" s="85">
        <v>0.28100000000000003</v>
      </c>
      <c r="H652" s="85">
        <v>0.32600000000000001</v>
      </c>
      <c r="I652" s="85">
        <v>6.0999999999999999E-2</v>
      </c>
      <c r="J652" s="85">
        <v>2.5999999999999999E-2</v>
      </c>
      <c r="K652" s="25">
        <f>((10/3)*L650)+((2/3)*L662)</f>
        <v>53056</v>
      </c>
      <c r="L652" s="93"/>
      <c r="M652" s="80">
        <f t="shared" si="76"/>
        <v>0.6</v>
      </c>
      <c r="N652" s="80">
        <v>0.26</v>
      </c>
      <c r="O652" s="80">
        <f t="shared" si="77"/>
        <v>0.61</v>
      </c>
      <c r="P652" s="80">
        <v>0.34620000000000001</v>
      </c>
      <c r="Q652" s="80">
        <v>0.69640000000000002</v>
      </c>
      <c r="R652" s="80">
        <v>0.6</v>
      </c>
      <c r="S652" s="80">
        <v>0.61</v>
      </c>
    </row>
    <row r="653" spans="1:19">
      <c r="A653" s="19">
        <f t="shared" si="80"/>
        <v>57314</v>
      </c>
      <c r="B653" s="19">
        <f t="shared" si="79"/>
        <v>57678</v>
      </c>
      <c r="C653" s="84">
        <f t="shared" si="81"/>
        <v>0.28100000000000003</v>
      </c>
      <c r="D653" s="84">
        <f t="shared" si="81"/>
        <v>0.32600000000000001</v>
      </c>
      <c r="E653" s="84">
        <f t="shared" si="81"/>
        <v>6.0999999999999999E-2</v>
      </c>
      <c r="F653" s="84">
        <f t="shared" si="81"/>
        <v>2.5999999999999999E-2</v>
      </c>
      <c r="G653" s="85">
        <v>0.28100000000000003</v>
      </c>
      <c r="H653" s="85">
        <v>0.32600000000000001</v>
      </c>
      <c r="I653" s="85">
        <v>6.0999999999999999E-2</v>
      </c>
      <c r="J653" s="85">
        <v>2.5999999999999999E-2</v>
      </c>
      <c r="K653" s="25">
        <f>((9/3)*L650)+((3/3)*L662)</f>
        <v>53275</v>
      </c>
      <c r="L653" s="93"/>
      <c r="M653" s="80">
        <f t="shared" si="76"/>
        <v>0.6</v>
      </c>
      <c r="N653" s="80">
        <v>0.26</v>
      </c>
      <c r="O653" s="80">
        <f t="shared" si="77"/>
        <v>0.61</v>
      </c>
      <c r="P653" s="80">
        <v>0.34620000000000001</v>
      </c>
      <c r="Q653" s="80">
        <v>0.69640000000000002</v>
      </c>
      <c r="R653" s="80">
        <v>0.6</v>
      </c>
      <c r="S653" s="80">
        <v>0.61</v>
      </c>
    </row>
    <row r="654" spans="1:19">
      <c r="A654" s="19">
        <f t="shared" si="80"/>
        <v>57345</v>
      </c>
      <c r="B654" s="19">
        <f t="shared" si="79"/>
        <v>57709</v>
      </c>
      <c r="C654" s="84">
        <f t="shared" si="81"/>
        <v>0.28100000000000003</v>
      </c>
      <c r="D654" s="84">
        <f t="shared" si="81"/>
        <v>0.32600000000000001</v>
      </c>
      <c r="E654" s="84">
        <f t="shared" si="81"/>
        <v>6.0999999999999999E-2</v>
      </c>
      <c r="F654" s="84">
        <f t="shared" si="81"/>
        <v>2.5999999999999999E-2</v>
      </c>
      <c r="G654" s="85">
        <v>0.28100000000000003</v>
      </c>
      <c r="H654" s="85">
        <v>0.32600000000000001</v>
      </c>
      <c r="I654" s="85">
        <v>6.0999999999999999E-2</v>
      </c>
      <c r="J654" s="85">
        <v>2.5999999999999999E-2</v>
      </c>
      <c r="K654" s="25">
        <f>((8/3)*L650)+((4/3)*L662)</f>
        <v>53494</v>
      </c>
      <c r="L654" s="93"/>
      <c r="M654" s="80">
        <f t="shared" si="76"/>
        <v>0.6</v>
      </c>
      <c r="N654" s="80">
        <v>0.26</v>
      </c>
      <c r="O654" s="80">
        <f t="shared" si="77"/>
        <v>0.61</v>
      </c>
      <c r="P654" s="80">
        <v>0.34620000000000001</v>
      </c>
      <c r="Q654" s="80">
        <v>0.69640000000000002</v>
      </c>
      <c r="R654" s="80">
        <v>0.6</v>
      </c>
      <c r="S654" s="80">
        <v>0.61</v>
      </c>
    </row>
    <row r="655" spans="1:19">
      <c r="A655" s="19">
        <f t="shared" si="80"/>
        <v>57376</v>
      </c>
      <c r="B655" s="19">
        <f t="shared" si="79"/>
        <v>57740</v>
      </c>
      <c r="C655" s="84">
        <f t="shared" si="81"/>
        <v>0.28100000000000003</v>
      </c>
      <c r="D655" s="84">
        <f t="shared" si="81"/>
        <v>0.32600000000000001</v>
      </c>
      <c r="E655" s="84">
        <f t="shared" si="81"/>
        <v>6.0999999999999999E-2</v>
      </c>
      <c r="F655" s="84">
        <f t="shared" si="81"/>
        <v>2.5999999999999999E-2</v>
      </c>
      <c r="G655" s="85">
        <v>0.28100000000000003</v>
      </c>
      <c r="H655" s="85">
        <v>0.32600000000000001</v>
      </c>
      <c r="I655" s="85">
        <v>6.0999999999999999E-2</v>
      </c>
      <c r="J655" s="85">
        <v>2.5999999999999999E-2</v>
      </c>
      <c r="K655" s="25">
        <f>((7/3)*L650)+((5/3)*L662)</f>
        <v>53714</v>
      </c>
      <c r="L655" s="93"/>
      <c r="M655" s="80">
        <f t="shared" si="76"/>
        <v>0.6</v>
      </c>
      <c r="N655" s="80">
        <v>0.26</v>
      </c>
      <c r="O655" s="80">
        <f t="shared" si="77"/>
        <v>0.61</v>
      </c>
      <c r="P655" s="80">
        <v>0.34620000000000001</v>
      </c>
      <c r="Q655" s="80">
        <v>0.69640000000000002</v>
      </c>
      <c r="R655" s="80">
        <v>0.6</v>
      </c>
      <c r="S655" s="80">
        <v>0.61</v>
      </c>
    </row>
    <row r="656" spans="1:19">
      <c r="A656" s="19">
        <f t="shared" si="80"/>
        <v>57404</v>
      </c>
      <c r="B656" s="19">
        <f t="shared" si="79"/>
        <v>57768</v>
      </c>
      <c r="C656" s="84">
        <f t="shared" si="81"/>
        <v>0.28100000000000003</v>
      </c>
      <c r="D656" s="84">
        <f t="shared" si="81"/>
        <v>0.32600000000000001</v>
      </c>
      <c r="E656" s="84">
        <f t="shared" si="81"/>
        <v>6.0999999999999999E-2</v>
      </c>
      <c r="F656" s="84">
        <f t="shared" si="81"/>
        <v>2.5999999999999999E-2</v>
      </c>
      <c r="G656" s="85">
        <v>0.28100000000000003</v>
      </c>
      <c r="H656" s="85">
        <v>0.32600000000000001</v>
      </c>
      <c r="I656" s="85">
        <v>6.0999999999999999E-2</v>
      </c>
      <c r="J656" s="85">
        <v>2.5999999999999999E-2</v>
      </c>
      <c r="K656" s="25">
        <f>((6/3)*L650)+((6/3)*L662)</f>
        <v>53933</v>
      </c>
      <c r="L656" s="93"/>
      <c r="M656" s="80">
        <f t="shared" si="76"/>
        <v>0.6</v>
      </c>
      <c r="N656" s="80">
        <v>0.26</v>
      </c>
      <c r="O656" s="80">
        <f t="shared" si="77"/>
        <v>0.61</v>
      </c>
      <c r="P656" s="80">
        <v>0.34620000000000001</v>
      </c>
      <c r="Q656" s="80">
        <v>0.69640000000000002</v>
      </c>
      <c r="R656" s="80">
        <v>0.6</v>
      </c>
      <c r="S656" s="80">
        <v>0.61</v>
      </c>
    </row>
    <row r="657" spans="1:19">
      <c r="A657" s="19">
        <f t="shared" si="80"/>
        <v>57435</v>
      </c>
      <c r="B657" s="19">
        <f t="shared" si="79"/>
        <v>57799</v>
      </c>
      <c r="C657" s="84">
        <f t="shared" si="81"/>
        <v>0.28100000000000003</v>
      </c>
      <c r="D657" s="84">
        <f t="shared" si="81"/>
        <v>0.32600000000000001</v>
      </c>
      <c r="E657" s="84">
        <f t="shared" si="81"/>
        <v>6.0999999999999999E-2</v>
      </c>
      <c r="F657" s="84">
        <f t="shared" si="81"/>
        <v>2.5999999999999999E-2</v>
      </c>
      <c r="G657" s="85">
        <v>0.28100000000000003</v>
      </c>
      <c r="H657" s="85">
        <v>0.32600000000000001</v>
      </c>
      <c r="I657" s="85">
        <v>6.0999999999999999E-2</v>
      </c>
      <c r="J657" s="85">
        <v>2.5999999999999999E-2</v>
      </c>
      <c r="K657" s="25">
        <f>((5/3)*L650)+((7/3)*L662)</f>
        <v>54152</v>
      </c>
      <c r="L657" s="93"/>
      <c r="M657" s="80">
        <f t="shared" si="76"/>
        <v>0.6</v>
      </c>
      <c r="N657" s="80">
        <v>0.26</v>
      </c>
      <c r="O657" s="80">
        <f t="shared" si="77"/>
        <v>0.61</v>
      </c>
      <c r="P657" s="80">
        <v>0.34620000000000001</v>
      </c>
      <c r="Q657" s="80">
        <v>0.69640000000000002</v>
      </c>
      <c r="R657" s="80">
        <v>0.6</v>
      </c>
      <c r="S657" s="80">
        <v>0.61</v>
      </c>
    </row>
    <row r="658" spans="1:19">
      <c r="A658" s="19">
        <f t="shared" si="80"/>
        <v>57465</v>
      </c>
      <c r="B658" s="19">
        <f t="shared" si="79"/>
        <v>57829</v>
      </c>
      <c r="C658" s="84">
        <f t="shared" si="81"/>
        <v>0.28100000000000003</v>
      </c>
      <c r="D658" s="84">
        <f t="shared" si="81"/>
        <v>0.32600000000000001</v>
      </c>
      <c r="E658" s="84">
        <f t="shared" si="81"/>
        <v>6.0999999999999999E-2</v>
      </c>
      <c r="F658" s="84">
        <f t="shared" si="81"/>
        <v>2.5999999999999999E-2</v>
      </c>
      <c r="G658" s="85">
        <v>0.28100000000000003</v>
      </c>
      <c r="H658" s="85">
        <v>0.32600000000000001</v>
      </c>
      <c r="I658" s="85">
        <v>6.0999999999999999E-2</v>
      </c>
      <c r="J658" s="85">
        <v>2.5999999999999999E-2</v>
      </c>
      <c r="K658" s="25">
        <f>((4/3)*L650)+((8/3)*L662)</f>
        <v>54371</v>
      </c>
      <c r="L658" s="93"/>
      <c r="M658" s="80">
        <f t="shared" si="76"/>
        <v>0.6</v>
      </c>
      <c r="N658" s="80">
        <v>0.26</v>
      </c>
      <c r="O658" s="80">
        <f t="shared" si="77"/>
        <v>0.61</v>
      </c>
      <c r="P658" s="80">
        <v>0.34620000000000001</v>
      </c>
      <c r="Q658" s="80">
        <v>0.69640000000000002</v>
      </c>
      <c r="R658" s="80">
        <v>0.6</v>
      </c>
      <c r="S658" s="80">
        <v>0.61</v>
      </c>
    </row>
    <row r="659" spans="1:19">
      <c r="A659" s="19">
        <f t="shared" si="80"/>
        <v>57496</v>
      </c>
      <c r="B659" s="19">
        <f t="shared" si="79"/>
        <v>57860</v>
      </c>
      <c r="C659" s="84">
        <f t="shared" ref="C659:F674" si="82">AVERAGE(G659:G670)</f>
        <v>0.28100000000000003</v>
      </c>
      <c r="D659" s="84">
        <f t="shared" si="82"/>
        <v>0.32600000000000001</v>
      </c>
      <c r="E659" s="84">
        <f t="shared" si="82"/>
        <v>6.0999999999999999E-2</v>
      </c>
      <c r="F659" s="84">
        <f t="shared" si="82"/>
        <v>2.5999999999999999E-2</v>
      </c>
      <c r="G659" s="85">
        <v>0.28100000000000003</v>
      </c>
      <c r="H659" s="85">
        <v>0.32600000000000001</v>
      </c>
      <c r="I659" s="85">
        <v>6.0999999999999999E-2</v>
      </c>
      <c r="J659" s="85">
        <v>2.5999999999999999E-2</v>
      </c>
      <c r="K659" s="25">
        <f>((3/3)*L650)+((9/3)*L662)</f>
        <v>54591</v>
      </c>
      <c r="L659" s="93"/>
      <c r="M659" s="80">
        <f t="shared" si="76"/>
        <v>0.6</v>
      </c>
      <c r="N659" s="80">
        <v>0.26</v>
      </c>
      <c r="O659" s="80">
        <f t="shared" si="77"/>
        <v>0.61</v>
      </c>
      <c r="P659" s="80">
        <v>0.34620000000000001</v>
      </c>
      <c r="Q659" s="80">
        <v>0.69640000000000002</v>
      </c>
      <c r="R659" s="80">
        <v>0.6</v>
      </c>
      <c r="S659" s="80">
        <v>0.61</v>
      </c>
    </row>
    <row r="660" spans="1:19">
      <c r="A660" s="19">
        <f t="shared" si="80"/>
        <v>57526</v>
      </c>
      <c r="B660" s="19">
        <f t="shared" si="79"/>
        <v>57890</v>
      </c>
      <c r="C660" s="84">
        <f t="shared" si="82"/>
        <v>0.28100000000000003</v>
      </c>
      <c r="D660" s="84">
        <f t="shared" si="82"/>
        <v>0.32600000000000001</v>
      </c>
      <c r="E660" s="84">
        <f t="shared" si="82"/>
        <v>6.0999999999999999E-2</v>
      </c>
      <c r="F660" s="84">
        <f t="shared" si="82"/>
        <v>2.5999999999999999E-2</v>
      </c>
      <c r="G660" s="85">
        <v>0.28100000000000003</v>
      </c>
      <c r="H660" s="85">
        <v>0.32600000000000001</v>
      </c>
      <c r="I660" s="85">
        <v>6.0999999999999999E-2</v>
      </c>
      <c r="J660" s="85">
        <v>2.5999999999999999E-2</v>
      </c>
      <c r="K660" s="25">
        <f>((2/3)*L650)+((10/3)*L662)</f>
        <v>54810</v>
      </c>
      <c r="L660" s="93"/>
      <c r="M660" s="80">
        <f t="shared" si="76"/>
        <v>0.6</v>
      </c>
      <c r="N660" s="80">
        <v>0.26</v>
      </c>
      <c r="O660" s="80">
        <f t="shared" si="77"/>
        <v>0.61</v>
      </c>
      <c r="P660" s="80">
        <v>0.34620000000000001</v>
      </c>
      <c r="Q660" s="80">
        <v>0.69640000000000002</v>
      </c>
      <c r="R660" s="80">
        <v>0.6</v>
      </c>
      <c r="S660" s="80">
        <v>0.61</v>
      </c>
    </row>
    <row r="661" spans="1:19">
      <c r="A661" s="19">
        <f t="shared" si="80"/>
        <v>57557</v>
      </c>
      <c r="B661" s="19">
        <f t="shared" si="79"/>
        <v>57921</v>
      </c>
      <c r="C661" s="81">
        <f t="shared" si="82"/>
        <v>0.28100000000000003</v>
      </c>
      <c r="D661" s="81">
        <f t="shared" si="82"/>
        <v>0.32600000000000001</v>
      </c>
      <c r="E661" s="81">
        <f t="shared" si="82"/>
        <v>6.0999999999999999E-2</v>
      </c>
      <c r="F661" s="81">
        <f t="shared" si="82"/>
        <v>2.5999999999999999E-2</v>
      </c>
      <c r="G661" s="85">
        <v>0.28100000000000003</v>
      </c>
      <c r="H661" s="85">
        <v>0.32600000000000001</v>
      </c>
      <c r="I661" s="85">
        <v>6.0999999999999999E-2</v>
      </c>
      <c r="J661" s="85">
        <v>2.5999999999999999E-2</v>
      </c>
      <c r="K661" s="25">
        <f>((1/3)*L650)+((11/3)*L662)</f>
        <v>55029</v>
      </c>
      <c r="L661" s="93"/>
      <c r="M661" s="80">
        <f t="shared" si="76"/>
        <v>0.6</v>
      </c>
      <c r="N661" s="80">
        <v>0.26</v>
      </c>
      <c r="O661" s="80">
        <f t="shared" si="77"/>
        <v>0.61</v>
      </c>
      <c r="P661" s="80">
        <v>0.34620000000000001</v>
      </c>
      <c r="Q661" s="80">
        <v>0.69640000000000002</v>
      </c>
      <c r="R661" s="80">
        <v>0.6</v>
      </c>
      <c r="S661" s="80">
        <v>0.61</v>
      </c>
    </row>
    <row r="662" spans="1:19" s="78" customFormat="1">
      <c r="A662" s="77">
        <f t="shared" si="80"/>
        <v>57588</v>
      </c>
      <c r="B662" s="77">
        <f t="shared" si="79"/>
        <v>57952</v>
      </c>
      <c r="C662" s="86">
        <f t="shared" si="82"/>
        <v>0.28100000000000003</v>
      </c>
      <c r="D662" s="86">
        <f t="shared" si="82"/>
        <v>0.32600000000000001</v>
      </c>
      <c r="E662" s="86">
        <f t="shared" si="82"/>
        <v>6.0999999999999999E-2</v>
      </c>
      <c r="F662" s="86">
        <f t="shared" si="82"/>
        <v>2.5999999999999999E-2</v>
      </c>
      <c r="G662" s="87">
        <v>0.28100000000000003</v>
      </c>
      <c r="H662" s="87">
        <v>0.32600000000000001</v>
      </c>
      <c r="I662" s="87">
        <v>6.0999999999999999E-2</v>
      </c>
      <c r="J662" s="87">
        <v>2.5999999999999999E-2</v>
      </c>
      <c r="K662" s="76">
        <f>(L662*4)</f>
        <v>55248</v>
      </c>
      <c r="L662" s="94">
        <f>L650*1.05</f>
        <v>13812.08</v>
      </c>
      <c r="M662" s="353">
        <f t="shared" si="76"/>
        <v>0.6</v>
      </c>
      <c r="N662" s="353">
        <v>0.26</v>
      </c>
      <c r="O662" s="353">
        <f t="shared" si="77"/>
        <v>0.61</v>
      </c>
      <c r="P662" s="353">
        <v>0.34620000000000001</v>
      </c>
      <c r="Q662" s="353">
        <v>0.69640000000000002</v>
      </c>
      <c r="R662" s="353">
        <v>0.6</v>
      </c>
      <c r="S662" s="353">
        <v>0.61</v>
      </c>
    </row>
    <row r="663" spans="1:19" s="78" customFormat="1">
      <c r="A663" s="77">
        <f t="shared" si="80"/>
        <v>57618</v>
      </c>
      <c r="B663" s="77">
        <f t="shared" si="79"/>
        <v>57982</v>
      </c>
      <c r="C663" s="86">
        <f t="shared" si="82"/>
        <v>0.28100000000000003</v>
      </c>
      <c r="D663" s="86">
        <f t="shared" si="82"/>
        <v>0.32600000000000001</v>
      </c>
      <c r="E663" s="86">
        <f t="shared" si="82"/>
        <v>6.0999999999999999E-2</v>
      </c>
      <c r="F663" s="86">
        <f t="shared" si="82"/>
        <v>2.5999999999999999E-2</v>
      </c>
      <c r="G663" s="87">
        <v>0.28100000000000003</v>
      </c>
      <c r="H663" s="87">
        <v>0.32600000000000001</v>
      </c>
      <c r="I663" s="87">
        <v>6.0999999999999999E-2</v>
      </c>
      <c r="J663" s="87">
        <v>2.5999999999999999E-2</v>
      </c>
      <c r="K663" s="76">
        <f>((11/3)*L662)+((1/3)*L674)</f>
        <v>55479</v>
      </c>
      <c r="L663" s="94"/>
      <c r="M663" s="353">
        <f t="shared" si="76"/>
        <v>0.6</v>
      </c>
      <c r="N663" s="353">
        <v>0.26</v>
      </c>
      <c r="O663" s="353">
        <f t="shared" si="77"/>
        <v>0.61</v>
      </c>
      <c r="P663" s="353">
        <v>0.34620000000000001</v>
      </c>
      <c r="Q663" s="353">
        <v>0.69640000000000002</v>
      </c>
      <c r="R663" s="353">
        <v>0.6</v>
      </c>
      <c r="S663" s="353">
        <v>0.61</v>
      </c>
    </row>
    <row r="664" spans="1:19" s="78" customFormat="1">
      <c r="A664" s="77">
        <f t="shared" si="80"/>
        <v>57649</v>
      </c>
      <c r="B664" s="77">
        <f t="shared" si="79"/>
        <v>58013</v>
      </c>
      <c r="C664" s="86">
        <f t="shared" si="82"/>
        <v>0.28100000000000003</v>
      </c>
      <c r="D664" s="86">
        <f t="shared" si="82"/>
        <v>0.32600000000000001</v>
      </c>
      <c r="E664" s="86">
        <f t="shared" si="82"/>
        <v>6.0999999999999999E-2</v>
      </c>
      <c r="F664" s="86">
        <f t="shared" si="82"/>
        <v>2.5999999999999999E-2</v>
      </c>
      <c r="G664" s="87">
        <v>0.28100000000000003</v>
      </c>
      <c r="H664" s="87">
        <v>0.32600000000000001</v>
      </c>
      <c r="I664" s="87">
        <v>6.0999999999999999E-2</v>
      </c>
      <c r="J664" s="87">
        <v>2.5999999999999999E-2</v>
      </c>
      <c r="K664" s="76">
        <f>((10/3)*L662)+((2/3)*L674)</f>
        <v>55709</v>
      </c>
      <c r="L664" s="94"/>
      <c r="M664" s="353">
        <f t="shared" si="76"/>
        <v>0.6</v>
      </c>
      <c r="N664" s="353">
        <v>0.26</v>
      </c>
      <c r="O664" s="353">
        <f t="shared" si="77"/>
        <v>0.61</v>
      </c>
      <c r="P664" s="353">
        <v>0.34620000000000001</v>
      </c>
      <c r="Q664" s="353">
        <v>0.69640000000000002</v>
      </c>
      <c r="R664" s="353">
        <v>0.6</v>
      </c>
      <c r="S664" s="353">
        <v>0.61</v>
      </c>
    </row>
    <row r="665" spans="1:19" s="78" customFormat="1">
      <c r="A665" s="77">
        <f t="shared" si="80"/>
        <v>57679</v>
      </c>
      <c r="B665" s="77">
        <f t="shared" si="79"/>
        <v>58043</v>
      </c>
      <c r="C665" s="86">
        <f t="shared" si="82"/>
        <v>0.28100000000000003</v>
      </c>
      <c r="D665" s="86">
        <f t="shared" si="82"/>
        <v>0.32600000000000001</v>
      </c>
      <c r="E665" s="86">
        <f t="shared" si="82"/>
        <v>6.0999999999999999E-2</v>
      </c>
      <c r="F665" s="86">
        <f t="shared" si="82"/>
        <v>2.5999999999999999E-2</v>
      </c>
      <c r="G665" s="87">
        <v>0.28100000000000003</v>
      </c>
      <c r="H665" s="87">
        <v>0.32600000000000001</v>
      </c>
      <c r="I665" s="87">
        <v>6.0999999999999999E-2</v>
      </c>
      <c r="J665" s="87">
        <v>2.5999999999999999E-2</v>
      </c>
      <c r="K665" s="76">
        <f>((9/3)*L662)+((3/3)*L674)</f>
        <v>55939</v>
      </c>
      <c r="L665" s="94"/>
      <c r="M665" s="353">
        <f t="shared" si="76"/>
        <v>0.6</v>
      </c>
      <c r="N665" s="353">
        <v>0.26</v>
      </c>
      <c r="O665" s="353">
        <f t="shared" si="77"/>
        <v>0.61</v>
      </c>
      <c r="P665" s="353">
        <v>0.34620000000000001</v>
      </c>
      <c r="Q665" s="353">
        <v>0.69640000000000002</v>
      </c>
      <c r="R665" s="353">
        <v>0.6</v>
      </c>
      <c r="S665" s="353">
        <v>0.61</v>
      </c>
    </row>
    <row r="666" spans="1:19" s="78" customFormat="1">
      <c r="A666" s="77">
        <f t="shared" si="80"/>
        <v>57710</v>
      </c>
      <c r="B666" s="77">
        <f t="shared" si="79"/>
        <v>58074</v>
      </c>
      <c r="C666" s="86">
        <f t="shared" si="82"/>
        <v>0.28100000000000003</v>
      </c>
      <c r="D666" s="86">
        <f t="shared" si="82"/>
        <v>0.32600000000000001</v>
      </c>
      <c r="E666" s="86">
        <f t="shared" si="82"/>
        <v>6.0999999999999999E-2</v>
      </c>
      <c r="F666" s="86">
        <f t="shared" si="82"/>
        <v>2.5999999999999999E-2</v>
      </c>
      <c r="G666" s="87">
        <v>0.28100000000000003</v>
      </c>
      <c r="H666" s="87">
        <v>0.32600000000000001</v>
      </c>
      <c r="I666" s="87">
        <v>6.0999999999999999E-2</v>
      </c>
      <c r="J666" s="87">
        <v>2.5999999999999999E-2</v>
      </c>
      <c r="K666" s="76">
        <f>((8/3)*L662)+((4/3)*L674)</f>
        <v>56169</v>
      </c>
      <c r="L666" s="94"/>
      <c r="M666" s="353">
        <f t="shared" si="76"/>
        <v>0.6</v>
      </c>
      <c r="N666" s="353">
        <v>0.26</v>
      </c>
      <c r="O666" s="353">
        <f t="shared" si="77"/>
        <v>0.61</v>
      </c>
      <c r="P666" s="353">
        <v>0.34620000000000001</v>
      </c>
      <c r="Q666" s="353">
        <v>0.69640000000000002</v>
      </c>
      <c r="R666" s="353">
        <v>0.6</v>
      </c>
      <c r="S666" s="353">
        <v>0.61</v>
      </c>
    </row>
    <row r="667" spans="1:19" s="78" customFormat="1">
      <c r="A667" s="77">
        <f t="shared" si="80"/>
        <v>57741</v>
      </c>
      <c r="B667" s="77">
        <f t="shared" si="79"/>
        <v>58105</v>
      </c>
      <c r="C667" s="86">
        <f t="shared" si="82"/>
        <v>0.28100000000000003</v>
      </c>
      <c r="D667" s="86">
        <f t="shared" si="82"/>
        <v>0.32600000000000001</v>
      </c>
      <c r="E667" s="86">
        <f t="shared" si="82"/>
        <v>6.0999999999999999E-2</v>
      </c>
      <c r="F667" s="86">
        <f t="shared" si="82"/>
        <v>2.5999999999999999E-2</v>
      </c>
      <c r="G667" s="87">
        <v>0.28100000000000003</v>
      </c>
      <c r="H667" s="87">
        <v>0.32600000000000001</v>
      </c>
      <c r="I667" s="87">
        <v>6.0999999999999999E-2</v>
      </c>
      <c r="J667" s="87">
        <v>2.5999999999999999E-2</v>
      </c>
      <c r="K667" s="76">
        <f>((7/3)*L662)+((5/3)*L674)</f>
        <v>56399</v>
      </c>
      <c r="L667" s="94"/>
      <c r="M667" s="353">
        <f t="shared" si="76"/>
        <v>0.6</v>
      </c>
      <c r="N667" s="353">
        <v>0.26</v>
      </c>
      <c r="O667" s="353">
        <f t="shared" si="77"/>
        <v>0.61</v>
      </c>
      <c r="P667" s="353">
        <v>0.34620000000000001</v>
      </c>
      <c r="Q667" s="353">
        <v>0.69640000000000002</v>
      </c>
      <c r="R667" s="353">
        <v>0.6</v>
      </c>
      <c r="S667" s="353">
        <v>0.61</v>
      </c>
    </row>
    <row r="668" spans="1:19" s="78" customFormat="1">
      <c r="A668" s="77">
        <f t="shared" si="80"/>
        <v>57769</v>
      </c>
      <c r="B668" s="77">
        <f t="shared" si="79"/>
        <v>58133</v>
      </c>
      <c r="C668" s="86">
        <f t="shared" si="82"/>
        <v>0.28100000000000003</v>
      </c>
      <c r="D668" s="86">
        <f t="shared" si="82"/>
        <v>0.32600000000000001</v>
      </c>
      <c r="E668" s="86">
        <f t="shared" si="82"/>
        <v>6.0999999999999999E-2</v>
      </c>
      <c r="F668" s="86">
        <f t="shared" si="82"/>
        <v>2.5999999999999999E-2</v>
      </c>
      <c r="G668" s="87">
        <v>0.28100000000000003</v>
      </c>
      <c r="H668" s="87">
        <v>0.32600000000000001</v>
      </c>
      <c r="I668" s="87">
        <v>6.0999999999999999E-2</v>
      </c>
      <c r="J668" s="87">
        <v>2.5999999999999999E-2</v>
      </c>
      <c r="K668" s="76">
        <f>((6/3)*L662)+((6/3)*L674)</f>
        <v>56630</v>
      </c>
      <c r="L668" s="94"/>
      <c r="M668" s="353">
        <f t="shared" si="76"/>
        <v>0.6</v>
      </c>
      <c r="N668" s="353">
        <v>0.26</v>
      </c>
      <c r="O668" s="353">
        <f t="shared" si="77"/>
        <v>0.61</v>
      </c>
      <c r="P668" s="353">
        <v>0.34620000000000001</v>
      </c>
      <c r="Q668" s="353">
        <v>0.69640000000000002</v>
      </c>
      <c r="R668" s="353">
        <v>0.6</v>
      </c>
      <c r="S668" s="353">
        <v>0.61</v>
      </c>
    </row>
    <row r="669" spans="1:19" s="78" customFormat="1">
      <c r="A669" s="77">
        <f t="shared" si="80"/>
        <v>57800</v>
      </c>
      <c r="B669" s="77">
        <f t="shared" si="79"/>
        <v>58164</v>
      </c>
      <c r="C669" s="86">
        <f t="shared" si="82"/>
        <v>0.28100000000000003</v>
      </c>
      <c r="D669" s="86">
        <f t="shared" si="82"/>
        <v>0.32600000000000001</v>
      </c>
      <c r="E669" s="86">
        <f t="shared" si="82"/>
        <v>6.0999999999999999E-2</v>
      </c>
      <c r="F669" s="86">
        <f t="shared" si="82"/>
        <v>2.5999999999999999E-2</v>
      </c>
      <c r="G669" s="87">
        <v>0.28100000000000003</v>
      </c>
      <c r="H669" s="87">
        <v>0.32600000000000001</v>
      </c>
      <c r="I669" s="87">
        <v>6.0999999999999999E-2</v>
      </c>
      <c r="J669" s="87">
        <v>2.5999999999999999E-2</v>
      </c>
      <c r="K669" s="76">
        <f>((5/3)*L662)+((7/3)*L674)</f>
        <v>56860</v>
      </c>
      <c r="L669" s="94"/>
      <c r="M669" s="353">
        <f t="shared" si="76"/>
        <v>0.6</v>
      </c>
      <c r="N669" s="353">
        <v>0.26</v>
      </c>
      <c r="O669" s="353">
        <f t="shared" si="77"/>
        <v>0.61</v>
      </c>
      <c r="P669" s="353">
        <v>0.34620000000000001</v>
      </c>
      <c r="Q669" s="353">
        <v>0.69640000000000002</v>
      </c>
      <c r="R669" s="353">
        <v>0.6</v>
      </c>
      <c r="S669" s="353">
        <v>0.61</v>
      </c>
    </row>
    <row r="670" spans="1:19" s="78" customFormat="1">
      <c r="A670" s="77">
        <f t="shared" si="80"/>
        <v>57830</v>
      </c>
      <c r="B670" s="77">
        <f t="shared" si="79"/>
        <v>58194</v>
      </c>
      <c r="C670" s="86">
        <f t="shared" si="82"/>
        <v>0.28100000000000003</v>
      </c>
      <c r="D670" s="86">
        <f t="shared" si="82"/>
        <v>0.32600000000000001</v>
      </c>
      <c r="E670" s="86">
        <f t="shared" si="82"/>
        <v>6.0999999999999999E-2</v>
      </c>
      <c r="F670" s="86">
        <f t="shared" si="82"/>
        <v>2.5999999999999999E-2</v>
      </c>
      <c r="G670" s="87">
        <v>0.28100000000000003</v>
      </c>
      <c r="H670" s="87">
        <v>0.32600000000000001</v>
      </c>
      <c r="I670" s="87">
        <v>6.0999999999999999E-2</v>
      </c>
      <c r="J670" s="87">
        <v>2.5999999999999999E-2</v>
      </c>
      <c r="K670" s="76">
        <f>((4/3)*L662)+((8/3)*L674)</f>
        <v>57090</v>
      </c>
      <c r="L670" s="94"/>
      <c r="M670" s="353">
        <f t="shared" si="76"/>
        <v>0.6</v>
      </c>
      <c r="N670" s="353">
        <v>0.26</v>
      </c>
      <c r="O670" s="353">
        <f t="shared" si="77"/>
        <v>0.61</v>
      </c>
      <c r="P670" s="353">
        <v>0.34620000000000001</v>
      </c>
      <c r="Q670" s="353">
        <v>0.69640000000000002</v>
      </c>
      <c r="R670" s="353">
        <v>0.6</v>
      </c>
      <c r="S670" s="353">
        <v>0.61</v>
      </c>
    </row>
    <row r="671" spans="1:19" s="78" customFormat="1">
      <c r="A671" s="77">
        <f t="shared" si="80"/>
        <v>57861</v>
      </c>
      <c r="B671" s="77">
        <f t="shared" si="79"/>
        <v>58225</v>
      </c>
      <c r="C671" s="86">
        <f t="shared" si="82"/>
        <v>0.28100000000000003</v>
      </c>
      <c r="D671" s="86">
        <f t="shared" si="82"/>
        <v>0.32600000000000001</v>
      </c>
      <c r="E671" s="86">
        <f t="shared" si="82"/>
        <v>6.0999999999999999E-2</v>
      </c>
      <c r="F671" s="86">
        <f t="shared" si="82"/>
        <v>2.5999999999999999E-2</v>
      </c>
      <c r="G671" s="87">
        <v>0.28100000000000003</v>
      </c>
      <c r="H671" s="87">
        <v>0.32600000000000001</v>
      </c>
      <c r="I671" s="87">
        <v>6.0999999999999999E-2</v>
      </c>
      <c r="J671" s="87">
        <v>2.5999999999999999E-2</v>
      </c>
      <c r="K671" s="76">
        <f>((3/3)*L662)+((9/3)*L674)</f>
        <v>57320</v>
      </c>
      <c r="L671" s="94"/>
      <c r="M671" s="353">
        <f t="shared" si="76"/>
        <v>0.6</v>
      </c>
      <c r="N671" s="353">
        <v>0.26</v>
      </c>
      <c r="O671" s="353">
        <f t="shared" si="77"/>
        <v>0.61</v>
      </c>
      <c r="P671" s="353">
        <v>0.34620000000000001</v>
      </c>
      <c r="Q671" s="353">
        <v>0.69640000000000002</v>
      </c>
      <c r="R671" s="353">
        <v>0.6</v>
      </c>
      <c r="S671" s="353">
        <v>0.61</v>
      </c>
    </row>
    <row r="672" spans="1:19" s="78" customFormat="1">
      <c r="A672" s="77">
        <f t="shared" si="80"/>
        <v>57891</v>
      </c>
      <c r="B672" s="77">
        <f t="shared" si="79"/>
        <v>58255</v>
      </c>
      <c r="C672" s="86">
        <f t="shared" si="82"/>
        <v>0.28100000000000003</v>
      </c>
      <c r="D672" s="86">
        <f t="shared" si="82"/>
        <v>0.32600000000000001</v>
      </c>
      <c r="E672" s="86">
        <f t="shared" si="82"/>
        <v>6.0999999999999999E-2</v>
      </c>
      <c r="F672" s="86">
        <f t="shared" si="82"/>
        <v>2.5999999999999999E-2</v>
      </c>
      <c r="G672" s="87">
        <v>0.28100000000000003</v>
      </c>
      <c r="H672" s="87">
        <v>0.32600000000000001</v>
      </c>
      <c r="I672" s="87">
        <v>6.0999999999999999E-2</v>
      </c>
      <c r="J672" s="87">
        <v>2.5999999999999999E-2</v>
      </c>
      <c r="K672" s="76">
        <f>((2/3)*L662)+((10/3)*L674)</f>
        <v>57550</v>
      </c>
      <c r="L672" s="94"/>
      <c r="M672" s="353">
        <f t="shared" si="76"/>
        <v>0.6</v>
      </c>
      <c r="N672" s="353">
        <v>0.26</v>
      </c>
      <c r="O672" s="353">
        <f t="shared" si="77"/>
        <v>0.61</v>
      </c>
      <c r="P672" s="353">
        <v>0.34620000000000001</v>
      </c>
      <c r="Q672" s="353">
        <v>0.69640000000000002</v>
      </c>
      <c r="R672" s="353">
        <v>0.6</v>
      </c>
      <c r="S672" s="353">
        <v>0.61</v>
      </c>
    </row>
    <row r="673" spans="1:19" s="78" customFormat="1">
      <c r="A673" s="77">
        <f t="shared" si="80"/>
        <v>57922</v>
      </c>
      <c r="B673" s="77">
        <f t="shared" si="79"/>
        <v>58286</v>
      </c>
      <c r="C673" s="86">
        <f t="shared" si="82"/>
        <v>0.28100000000000003</v>
      </c>
      <c r="D673" s="86">
        <f t="shared" si="82"/>
        <v>0.32600000000000001</v>
      </c>
      <c r="E673" s="86">
        <f t="shared" si="82"/>
        <v>6.0999999999999999E-2</v>
      </c>
      <c r="F673" s="86">
        <f t="shared" si="82"/>
        <v>2.5999999999999999E-2</v>
      </c>
      <c r="G673" s="87">
        <v>0.28100000000000003</v>
      </c>
      <c r="H673" s="87">
        <v>0.32600000000000001</v>
      </c>
      <c r="I673" s="87">
        <v>6.0999999999999999E-2</v>
      </c>
      <c r="J673" s="87">
        <v>2.5999999999999999E-2</v>
      </c>
      <c r="K673" s="76">
        <f>((1/3)*L662)+((11/3)*L674)</f>
        <v>57781</v>
      </c>
      <c r="L673" s="94"/>
      <c r="M673" s="353">
        <f t="shared" si="76"/>
        <v>0.6</v>
      </c>
      <c r="N673" s="353">
        <v>0.26</v>
      </c>
      <c r="O673" s="353">
        <f t="shared" si="77"/>
        <v>0.61</v>
      </c>
      <c r="P673" s="353">
        <v>0.34620000000000001</v>
      </c>
      <c r="Q673" s="353">
        <v>0.69640000000000002</v>
      </c>
      <c r="R673" s="353">
        <v>0.6</v>
      </c>
      <c r="S673" s="353">
        <v>0.61</v>
      </c>
    </row>
    <row r="674" spans="1:19">
      <c r="A674" s="19">
        <f t="shared" si="80"/>
        <v>57953</v>
      </c>
      <c r="B674" s="19">
        <f t="shared" si="79"/>
        <v>58317</v>
      </c>
      <c r="C674" s="84">
        <f t="shared" si="82"/>
        <v>0.28100000000000003</v>
      </c>
      <c r="D674" s="84">
        <f t="shared" si="82"/>
        <v>0.32600000000000001</v>
      </c>
      <c r="E674" s="84">
        <f t="shared" si="82"/>
        <v>6.0999999999999999E-2</v>
      </c>
      <c r="F674" s="84">
        <f t="shared" si="82"/>
        <v>2.5999999999999999E-2</v>
      </c>
      <c r="G674" s="85">
        <v>0.28100000000000003</v>
      </c>
      <c r="H674" s="85">
        <v>0.32600000000000001</v>
      </c>
      <c r="I674" s="85">
        <v>6.0999999999999999E-2</v>
      </c>
      <c r="J674" s="85">
        <v>2.5999999999999999E-2</v>
      </c>
      <c r="K674" s="25">
        <f>(L674*4)</f>
        <v>58011</v>
      </c>
      <c r="L674" s="93">
        <f>L662*1.05</f>
        <v>14502.68</v>
      </c>
      <c r="M674" s="80">
        <f t="shared" si="76"/>
        <v>0.6</v>
      </c>
      <c r="N674" s="80">
        <v>0.26</v>
      </c>
      <c r="O674" s="80">
        <f t="shared" si="77"/>
        <v>0.61</v>
      </c>
      <c r="P674" s="80">
        <v>0.34620000000000001</v>
      </c>
      <c r="Q674" s="80">
        <v>0.69640000000000002</v>
      </c>
      <c r="R674" s="80">
        <v>0.6</v>
      </c>
      <c r="S674" s="80">
        <v>0.61</v>
      </c>
    </row>
    <row r="675" spans="1:19">
      <c r="A675" s="19">
        <f t="shared" si="80"/>
        <v>57983</v>
      </c>
      <c r="B675" s="19">
        <f t="shared" si="79"/>
        <v>58347</v>
      </c>
      <c r="C675" s="84">
        <f t="shared" ref="C675:F690" si="83">AVERAGE(G675:G686)</f>
        <v>0.28100000000000003</v>
      </c>
      <c r="D675" s="84">
        <f t="shared" si="83"/>
        <v>0.32600000000000001</v>
      </c>
      <c r="E675" s="84">
        <f t="shared" si="83"/>
        <v>6.0999999999999999E-2</v>
      </c>
      <c r="F675" s="84">
        <f t="shared" si="83"/>
        <v>2.5999999999999999E-2</v>
      </c>
      <c r="G675" s="85">
        <v>0.28100000000000003</v>
      </c>
      <c r="H675" s="85">
        <v>0.32600000000000001</v>
      </c>
      <c r="I675" s="85">
        <v>6.0999999999999999E-2</v>
      </c>
      <c r="J675" s="85">
        <v>2.5999999999999999E-2</v>
      </c>
      <c r="K675" s="25">
        <f>((11/3)*L674)+((1/3)*L686)</f>
        <v>58252</v>
      </c>
      <c r="L675" s="93"/>
      <c r="M675" s="80">
        <f t="shared" si="76"/>
        <v>0.6</v>
      </c>
      <c r="N675" s="80">
        <v>0.26</v>
      </c>
      <c r="O675" s="80">
        <f t="shared" si="77"/>
        <v>0.61</v>
      </c>
      <c r="P675" s="80">
        <v>0.34620000000000001</v>
      </c>
      <c r="Q675" s="80">
        <v>0.69640000000000002</v>
      </c>
      <c r="R675" s="80">
        <v>0.6</v>
      </c>
      <c r="S675" s="80">
        <v>0.61</v>
      </c>
    </row>
    <row r="676" spans="1:19">
      <c r="A676" s="19">
        <f t="shared" si="80"/>
        <v>58014</v>
      </c>
      <c r="B676" s="19">
        <f t="shared" si="79"/>
        <v>58378</v>
      </c>
      <c r="C676" s="84">
        <f t="shared" si="83"/>
        <v>0.28100000000000003</v>
      </c>
      <c r="D676" s="84">
        <f t="shared" si="83"/>
        <v>0.32600000000000001</v>
      </c>
      <c r="E676" s="84">
        <f t="shared" si="83"/>
        <v>6.0999999999999999E-2</v>
      </c>
      <c r="F676" s="84">
        <f t="shared" si="83"/>
        <v>2.5999999999999999E-2</v>
      </c>
      <c r="G676" s="85">
        <v>0.28100000000000003</v>
      </c>
      <c r="H676" s="85">
        <v>0.32600000000000001</v>
      </c>
      <c r="I676" s="85">
        <v>6.0999999999999999E-2</v>
      </c>
      <c r="J676" s="85">
        <v>2.5999999999999999E-2</v>
      </c>
      <c r="K676" s="25">
        <f>((10/3)*L674)+((2/3)*L686)</f>
        <v>58494</v>
      </c>
      <c r="L676" s="93"/>
      <c r="M676" s="80">
        <f t="shared" si="76"/>
        <v>0.6</v>
      </c>
      <c r="N676" s="80">
        <v>0.26</v>
      </c>
      <c r="O676" s="80">
        <f t="shared" si="77"/>
        <v>0.61</v>
      </c>
      <c r="P676" s="80">
        <v>0.34620000000000001</v>
      </c>
      <c r="Q676" s="80">
        <v>0.69640000000000002</v>
      </c>
      <c r="R676" s="80">
        <v>0.6</v>
      </c>
      <c r="S676" s="80">
        <v>0.61</v>
      </c>
    </row>
    <row r="677" spans="1:19">
      <c r="A677" s="19">
        <f t="shared" si="80"/>
        <v>58044</v>
      </c>
      <c r="B677" s="19">
        <f t="shared" si="79"/>
        <v>58408</v>
      </c>
      <c r="C677" s="84">
        <f t="shared" si="83"/>
        <v>0.28100000000000003</v>
      </c>
      <c r="D677" s="84">
        <f t="shared" si="83"/>
        <v>0.32600000000000001</v>
      </c>
      <c r="E677" s="84">
        <f t="shared" si="83"/>
        <v>6.0999999999999999E-2</v>
      </c>
      <c r="F677" s="84">
        <f t="shared" si="83"/>
        <v>2.5999999999999999E-2</v>
      </c>
      <c r="G677" s="85">
        <v>0.28100000000000003</v>
      </c>
      <c r="H677" s="85">
        <v>0.32600000000000001</v>
      </c>
      <c r="I677" s="85">
        <v>6.0999999999999999E-2</v>
      </c>
      <c r="J677" s="85">
        <v>2.5999999999999999E-2</v>
      </c>
      <c r="K677" s="25">
        <f>((9/3)*L674)+((3/3)*L686)</f>
        <v>58736</v>
      </c>
      <c r="L677" s="93"/>
      <c r="M677" s="80">
        <f t="shared" si="76"/>
        <v>0.6</v>
      </c>
      <c r="N677" s="80">
        <v>0.26</v>
      </c>
      <c r="O677" s="80">
        <f t="shared" si="77"/>
        <v>0.61</v>
      </c>
      <c r="P677" s="80">
        <v>0.34620000000000001</v>
      </c>
      <c r="Q677" s="80">
        <v>0.69640000000000002</v>
      </c>
      <c r="R677" s="80">
        <v>0.6</v>
      </c>
      <c r="S677" s="80">
        <v>0.61</v>
      </c>
    </row>
    <row r="678" spans="1:19">
      <c r="A678" s="19">
        <f t="shared" si="80"/>
        <v>58075</v>
      </c>
      <c r="B678" s="19">
        <f t="shared" si="79"/>
        <v>58439</v>
      </c>
      <c r="C678" s="84">
        <f t="shared" si="83"/>
        <v>0.28100000000000003</v>
      </c>
      <c r="D678" s="84">
        <f t="shared" si="83"/>
        <v>0.32600000000000001</v>
      </c>
      <c r="E678" s="84">
        <f t="shared" si="83"/>
        <v>6.0999999999999999E-2</v>
      </c>
      <c r="F678" s="84">
        <f t="shared" si="83"/>
        <v>2.5999999999999999E-2</v>
      </c>
      <c r="G678" s="85">
        <v>0.28100000000000003</v>
      </c>
      <c r="H678" s="85">
        <v>0.32600000000000001</v>
      </c>
      <c r="I678" s="85">
        <v>6.0999999999999999E-2</v>
      </c>
      <c r="J678" s="85">
        <v>2.5999999999999999E-2</v>
      </c>
      <c r="K678" s="25">
        <f>((8/3)*L674)+((4/3)*L686)</f>
        <v>58978</v>
      </c>
      <c r="L678" s="93"/>
      <c r="M678" s="80">
        <f t="shared" si="76"/>
        <v>0.6</v>
      </c>
      <c r="N678" s="80">
        <v>0.26</v>
      </c>
      <c r="O678" s="80">
        <f t="shared" si="77"/>
        <v>0.61</v>
      </c>
      <c r="P678" s="80">
        <v>0.34620000000000001</v>
      </c>
      <c r="Q678" s="80">
        <v>0.69640000000000002</v>
      </c>
      <c r="R678" s="80">
        <v>0.6</v>
      </c>
      <c r="S678" s="80">
        <v>0.61</v>
      </c>
    </row>
    <row r="679" spans="1:19">
      <c r="A679" s="19">
        <f t="shared" si="80"/>
        <v>58106</v>
      </c>
      <c r="B679" s="19">
        <f t="shared" si="79"/>
        <v>58470</v>
      </c>
      <c r="C679" s="84">
        <f t="shared" si="83"/>
        <v>0.28100000000000003</v>
      </c>
      <c r="D679" s="84">
        <f t="shared" si="83"/>
        <v>0.32600000000000001</v>
      </c>
      <c r="E679" s="84">
        <f t="shared" si="83"/>
        <v>6.0999999999999999E-2</v>
      </c>
      <c r="F679" s="84">
        <f t="shared" si="83"/>
        <v>2.5999999999999999E-2</v>
      </c>
      <c r="G679" s="85">
        <v>0.28100000000000003</v>
      </c>
      <c r="H679" s="85">
        <v>0.32600000000000001</v>
      </c>
      <c r="I679" s="85">
        <v>6.0999999999999999E-2</v>
      </c>
      <c r="J679" s="85">
        <v>2.5999999999999999E-2</v>
      </c>
      <c r="K679" s="25">
        <f>((7/3)*L674)+((5/3)*L686)</f>
        <v>59219</v>
      </c>
      <c r="L679" s="93"/>
      <c r="M679" s="80">
        <f t="shared" si="76"/>
        <v>0.6</v>
      </c>
      <c r="N679" s="80">
        <v>0.26</v>
      </c>
      <c r="O679" s="80">
        <f t="shared" si="77"/>
        <v>0.61</v>
      </c>
      <c r="P679" s="80">
        <v>0.34620000000000001</v>
      </c>
      <c r="Q679" s="80">
        <v>0.69640000000000002</v>
      </c>
      <c r="R679" s="80">
        <v>0.6</v>
      </c>
      <c r="S679" s="80">
        <v>0.61</v>
      </c>
    </row>
    <row r="680" spans="1:19">
      <c r="A680" s="19">
        <f t="shared" si="80"/>
        <v>58134</v>
      </c>
      <c r="B680" s="19">
        <f t="shared" si="79"/>
        <v>58499</v>
      </c>
      <c r="C680" s="84">
        <f t="shared" si="83"/>
        <v>0.28100000000000003</v>
      </c>
      <c r="D680" s="84">
        <f t="shared" si="83"/>
        <v>0.32600000000000001</v>
      </c>
      <c r="E680" s="84">
        <f t="shared" si="83"/>
        <v>6.0999999999999999E-2</v>
      </c>
      <c r="F680" s="84">
        <f t="shared" si="83"/>
        <v>2.5999999999999999E-2</v>
      </c>
      <c r="G680" s="85">
        <v>0.28100000000000003</v>
      </c>
      <c r="H680" s="85">
        <v>0.32600000000000001</v>
      </c>
      <c r="I680" s="85">
        <v>6.0999999999999999E-2</v>
      </c>
      <c r="J680" s="85">
        <v>2.5999999999999999E-2</v>
      </c>
      <c r="K680" s="25">
        <f>((6/3)*L674)+((6/3)*L686)</f>
        <v>59461</v>
      </c>
      <c r="L680" s="93"/>
      <c r="M680" s="80">
        <f t="shared" si="76"/>
        <v>0.6</v>
      </c>
      <c r="N680" s="80">
        <v>0.26</v>
      </c>
      <c r="O680" s="80">
        <f t="shared" si="77"/>
        <v>0.61</v>
      </c>
      <c r="P680" s="80">
        <v>0.34620000000000001</v>
      </c>
      <c r="Q680" s="80">
        <v>0.69640000000000002</v>
      </c>
      <c r="R680" s="80">
        <v>0.6</v>
      </c>
      <c r="S680" s="80">
        <v>0.61</v>
      </c>
    </row>
    <row r="681" spans="1:19">
      <c r="A681" s="19">
        <f t="shared" si="80"/>
        <v>58165</v>
      </c>
      <c r="B681" s="19">
        <f t="shared" si="79"/>
        <v>58530</v>
      </c>
      <c r="C681" s="84">
        <f t="shared" si="83"/>
        <v>0.28100000000000003</v>
      </c>
      <c r="D681" s="84">
        <f t="shared" si="83"/>
        <v>0.32600000000000001</v>
      </c>
      <c r="E681" s="84">
        <f t="shared" si="83"/>
        <v>6.0999999999999999E-2</v>
      </c>
      <c r="F681" s="84">
        <f t="shared" si="83"/>
        <v>2.5999999999999999E-2</v>
      </c>
      <c r="G681" s="85">
        <v>0.28100000000000003</v>
      </c>
      <c r="H681" s="85">
        <v>0.32600000000000001</v>
      </c>
      <c r="I681" s="85">
        <v>6.0999999999999999E-2</v>
      </c>
      <c r="J681" s="85">
        <v>2.5999999999999999E-2</v>
      </c>
      <c r="K681" s="25">
        <f>((5/3)*L674)+((7/3)*L686)</f>
        <v>59703</v>
      </c>
      <c r="L681" s="93"/>
      <c r="M681" s="80">
        <f t="shared" si="76"/>
        <v>0.6</v>
      </c>
      <c r="N681" s="80">
        <v>0.26</v>
      </c>
      <c r="O681" s="80">
        <f t="shared" si="77"/>
        <v>0.61</v>
      </c>
      <c r="P681" s="80">
        <v>0.34620000000000001</v>
      </c>
      <c r="Q681" s="80">
        <v>0.69640000000000002</v>
      </c>
      <c r="R681" s="80">
        <v>0.6</v>
      </c>
      <c r="S681" s="80">
        <v>0.61</v>
      </c>
    </row>
    <row r="682" spans="1:19">
      <c r="A682" s="19">
        <f t="shared" si="80"/>
        <v>58195</v>
      </c>
      <c r="B682" s="19">
        <f t="shared" si="79"/>
        <v>58560</v>
      </c>
      <c r="C682" s="84">
        <f t="shared" si="83"/>
        <v>0.28100000000000003</v>
      </c>
      <c r="D682" s="84">
        <f t="shared" si="83"/>
        <v>0.32600000000000001</v>
      </c>
      <c r="E682" s="84">
        <f t="shared" si="83"/>
        <v>6.0999999999999999E-2</v>
      </c>
      <c r="F682" s="84">
        <f t="shared" si="83"/>
        <v>2.5999999999999999E-2</v>
      </c>
      <c r="G682" s="85">
        <v>0.28100000000000003</v>
      </c>
      <c r="H682" s="85">
        <v>0.32600000000000001</v>
      </c>
      <c r="I682" s="85">
        <v>6.0999999999999999E-2</v>
      </c>
      <c r="J682" s="85">
        <v>2.5999999999999999E-2</v>
      </c>
      <c r="K682" s="25">
        <f>((4/3)*L674)+((8/3)*L686)</f>
        <v>59944</v>
      </c>
      <c r="L682" s="93"/>
      <c r="M682" s="80">
        <f t="shared" si="76"/>
        <v>0.6</v>
      </c>
      <c r="N682" s="80">
        <v>0.26</v>
      </c>
      <c r="O682" s="80">
        <f t="shared" si="77"/>
        <v>0.61</v>
      </c>
      <c r="P682" s="80">
        <v>0.34620000000000001</v>
      </c>
      <c r="Q682" s="80">
        <v>0.69640000000000002</v>
      </c>
      <c r="R682" s="80">
        <v>0.6</v>
      </c>
      <c r="S682" s="80">
        <v>0.61</v>
      </c>
    </row>
    <row r="683" spans="1:19">
      <c r="A683" s="19">
        <f t="shared" si="80"/>
        <v>58226</v>
      </c>
      <c r="B683" s="19">
        <f t="shared" si="79"/>
        <v>58591</v>
      </c>
      <c r="C683" s="84">
        <f t="shared" si="83"/>
        <v>0.28100000000000003</v>
      </c>
      <c r="D683" s="84">
        <f t="shared" si="83"/>
        <v>0.32600000000000001</v>
      </c>
      <c r="E683" s="84">
        <f t="shared" si="83"/>
        <v>6.0999999999999999E-2</v>
      </c>
      <c r="F683" s="84">
        <f t="shared" si="83"/>
        <v>2.5999999999999999E-2</v>
      </c>
      <c r="G683" s="85">
        <v>0.28100000000000003</v>
      </c>
      <c r="H683" s="85">
        <v>0.32600000000000001</v>
      </c>
      <c r="I683" s="85">
        <v>6.0999999999999999E-2</v>
      </c>
      <c r="J683" s="85">
        <v>2.5999999999999999E-2</v>
      </c>
      <c r="K683" s="25">
        <f>((3/3)*L674)+((9/3)*L686)</f>
        <v>60186</v>
      </c>
      <c r="L683" s="93"/>
      <c r="M683" s="80">
        <f t="shared" si="76"/>
        <v>0.6</v>
      </c>
      <c r="N683" s="80">
        <v>0.26</v>
      </c>
      <c r="O683" s="80">
        <f t="shared" si="77"/>
        <v>0.61</v>
      </c>
      <c r="P683" s="80">
        <v>0.34620000000000001</v>
      </c>
      <c r="Q683" s="80">
        <v>0.69640000000000002</v>
      </c>
      <c r="R683" s="80">
        <v>0.6</v>
      </c>
      <c r="S683" s="80">
        <v>0.61</v>
      </c>
    </row>
    <row r="684" spans="1:19">
      <c r="A684" s="19">
        <f t="shared" si="80"/>
        <v>58256</v>
      </c>
      <c r="B684" s="19">
        <f t="shared" si="79"/>
        <v>58621</v>
      </c>
      <c r="C684" s="84">
        <f t="shared" si="83"/>
        <v>0.28100000000000003</v>
      </c>
      <c r="D684" s="84">
        <f t="shared" si="83"/>
        <v>0.32600000000000001</v>
      </c>
      <c r="E684" s="84">
        <f t="shared" si="83"/>
        <v>6.0999999999999999E-2</v>
      </c>
      <c r="F684" s="84">
        <f t="shared" si="83"/>
        <v>2.5999999999999999E-2</v>
      </c>
      <c r="G684" s="85">
        <v>0.28100000000000003</v>
      </c>
      <c r="H684" s="85">
        <v>0.32600000000000001</v>
      </c>
      <c r="I684" s="85">
        <v>6.0999999999999999E-2</v>
      </c>
      <c r="J684" s="85">
        <v>2.5999999999999999E-2</v>
      </c>
      <c r="K684" s="25">
        <f>((2/3)*L674)+((10/3)*L686)</f>
        <v>60428</v>
      </c>
      <c r="L684" s="93"/>
      <c r="M684" s="80">
        <f t="shared" si="76"/>
        <v>0.6</v>
      </c>
      <c r="N684" s="80">
        <v>0.26</v>
      </c>
      <c r="O684" s="80">
        <f t="shared" si="77"/>
        <v>0.61</v>
      </c>
      <c r="P684" s="80">
        <v>0.34620000000000001</v>
      </c>
      <c r="Q684" s="80">
        <v>0.69640000000000002</v>
      </c>
      <c r="R684" s="80">
        <v>0.6</v>
      </c>
      <c r="S684" s="80">
        <v>0.61</v>
      </c>
    </row>
    <row r="685" spans="1:19">
      <c r="A685" s="19">
        <f t="shared" si="80"/>
        <v>58287</v>
      </c>
      <c r="B685" s="19">
        <f t="shared" si="79"/>
        <v>58652</v>
      </c>
      <c r="C685" s="81">
        <f t="shared" si="83"/>
        <v>0.28100000000000003</v>
      </c>
      <c r="D685" s="81">
        <f t="shared" si="83"/>
        <v>0.32600000000000001</v>
      </c>
      <c r="E685" s="81">
        <f t="shared" si="83"/>
        <v>6.0999999999999999E-2</v>
      </c>
      <c r="F685" s="81">
        <f t="shared" si="83"/>
        <v>2.5999999999999999E-2</v>
      </c>
      <c r="G685" s="85">
        <v>0.28100000000000003</v>
      </c>
      <c r="H685" s="85">
        <v>0.32600000000000001</v>
      </c>
      <c r="I685" s="85">
        <v>6.0999999999999999E-2</v>
      </c>
      <c r="J685" s="85">
        <v>2.5999999999999999E-2</v>
      </c>
      <c r="K685" s="25">
        <f>((1/3)*L674)+((11/3)*L686)</f>
        <v>60670</v>
      </c>
      <c r="L685" s="93"/>
      <c r="M685" s="80">
        <f t="shared" si="76"/>
        <v>0.6</v>
      </c>
      <c r="N685" s="80">
        <v>0.26</v>
      </c>
      <c r="O685" s="80">
        <f t="shared" si="77"/>
        <v>0.61</v>
      </c>
      <c r="P685" s="80">
        <v>0.34620000000000001</v>
      </c>
      <c r="Q685" s="80">
        <v>0.69640000000000002</v>
      </c>
      <c r="R685" s="80">
        <v>0.6</v>
      </c>
      <c r="S685" s="80">
        <v>0.61</v>
      </c>
    </row>
    <row r="686" spans="1:19" s="78" customFormat="1">
      <c r="A686" s="77">
        <f t="shared" si="80"/>
        <v>58318</v>
      </c>
      <c r="B686" s="77">
        <f t="shared" si="79"/>
        <v>58683</v>
      </c>
      <c r="C686" s="86">
        <f t="shared" si="83"/>
        <v>0.28100000000000003</v>
      </c>
      <c r="D686" s="86">
        <f t="shared" si="83"/>
        <v>0.32600000000000001</v>
      </c>
      <c r="E686" s="86">
        <f t="shared" si="83"/>
        <v>6.0999999999999999E-2</v>
      </c>
      <c r="F686" s="86">
        <f t="shared" si="83"/>
        <v>2.5999999999999999E-2</v>
      </c>
      <c r="G686" s="87">
        <v>0.28100000000000003</v>
      </c>
      <c r="H686" s="87">
        <v>0.32600000000000001</v>
      </c>
      <c r="I686" s="87">
        <v>6.0999999999999999E-2</v>
      </c>
      <c r="J686" s="87">
        <v>2.5999999999999999E-2</v>
      </c>
      <c r="K686" s="76">
        <f>(L686*4)</f>
        <v>60911</v>
      </c>
      <c r="L686" s="94">
        <f>L674*1.05</f>
        <v>15227.81</v>
      </c>
      <c r="M686" s="353">
        <f t="shared" si="76"/>
        <v>0.6</v>
      </c>
      <c r="N686" s="353">
        <v>0.26</v>
      </c>
      <c r="O686" s="353">
        <f t="shared" si="77"/>
        <v>0.61</v>
      </c>
      <c r="P686" s="353">
        <v>0.34620000000000001</v>
      </c>
      <c r="Q686" s="353">
        <v>0.69640000000000002</v>
      </c>
      <c r="R686" s="353">
        <v>0.6</v>
      </c>
      <c r="S686" s="353">
        <v>0.61</v>
      </c>
    </row>
    <row r="687" spans="1:19" s="78" customFormat="1">
      <c r="A687" s="77">
        <f t="shared" si="80"/>
        <v>58348</v>
      </c>
      <c r="B687" s="77">
        <f t="shared" si="79"/>
        <v>58713</v>
      </c>
      <c r="C687" s="86">
        <f t="shared" si="83"/>
        <v>0.28100000000000003</v>
      </c>
      <c r="D687" s="86">
        <f t="shared" si="83"/>
        <v>0.32600000000000001</v>
      </c>
      <c r="E687" s="86">
        <f t="shared" si="83"/>
        <v>6.0999999999999999E-2</v>
      </c>
      <c r="F687" s="86">
        <f t="shared" si="83"/>
        <v>2.5999999999999999E-2</v>
      </c>
      <c r="G687" s="87">
        <v>0.28100000000000003</v>
      </c>
      <c r="H687" s="87">
        <v>0.32600000000000001</v>
      </c>
      <c r="I687" s="87">
        <v>6.0999999999999999E-2</v>
      </c>
      <c r="J687" s="87">
        <v>2.5999999999999999E-2</v>
      </c>
      <c r="K687" s="76">
        <f>((11/3)*L686)+((1/3)*L698)</f>
        <v>61165</v>
      </c>
      <c r="L687" s="94"/>
      <c r="M687" s="353">
        <f t="shared" ref="M687:M750" si="84">AVERAGE(R687:R698)</f>
        <v>0.6</v>
      </c>
      <c r="N687" s="353">
        <v>0.26</v>
      </c>
      <c r="O687" s="353">
        <f t="shared" ref="O687:O750" si="85">AVERAGE(S687:S698)</f>
        <v>0.61</v>
      </c>
      <c r="P687" s="353">
        <v>0.34620000000000001</v>
      </c>
      <c r="Q687" s="353">
        <v>0.69640000000000002</v>
      </c>
      <c r="R687" s="353">
        <v>0.6</v>
      </c>
      <c r="S687" s="353">
        <v>0.61</v>
      </c>
    </row>
    <row r="688" spans="1:19" s="78" customFormat="1">
      <c r="A688" s="77">
        <f t="shared" si="80"/>
        <v>58379</v>
      </c>
      <c r="B688" s="77">
        <f t="shared" si="79"/>
        <v>58744</v>
      </c>
      <c r="C688" s="86">
        <f t="shared" si="83"/>
        <v>0.28100000000000003</v>
      </c>
      <c r="D688" s="86">
        <f t="shared" si="83"/>
        <v>0.32600000000000001</v>
      </c>
      <c r="E688" s="86">
        <f t="shared" si="83"/>
        <v>6.0999999999999999E-2</v>
      </c>
      <c r="F688" s="86">
        <f t="shared" si="83"/>
        <v>2.5999999999999999E-2</v>
      </c>
      <c r="G688" s="87">
        <v>0.28100000000000003</v>
      </c>
      <c r="H688" s="87">
        <v>0.32600000000000001</v>
      </c>
      <c r="I688" s="87">
        <v>6.0999999999999999E-2</v>
      </c>
      <c r="J688" s="87">
        <v>2.5999999999999999E-2</v>
      </c>
      <c r="K688" s="76">
        <f>((10/3)*L686)+((2/3)*L698)</f>
        <v>61419</v>
      </c>
      <c r="L688" s="94"/>
      <c r="M688" s="353">
        <f t="shared" si="84"/>
        <v>0.6</v>
      </c>
      <c r="N688" s="353">
        <v>0.26</v>
      </c>
      <c r="O688" s="353">
        <f t="shared" si="85"/>
        <v>0.61</v>
      </c>
      <c r="P688" s="353">
        <v>0.34620000000000001</v>
      </c>
      <c r="Q688" s="353">
        <v>0.69640000000000002</v>
      </c>
      <c r="R688" s="353">
        <v>0.6</v>
      </c>
      <c r="S688" s="353">
        <v>0.61</v>
      </c>
    </row>
    <row r="689" spans="1:19" s="78" customFormat="1">
      <c r="A689" s="77">
        <f t="shared" si="80"/>
        <v>58409</v>
      </c>
      <c r="B689" s="77">
        <f t="shared" si="79"/>
        <v>58774</v>
      </c>
      <c r="C689" s="86">
        <f t="shared" si="83"/>
        <v>0.28100000000000003</v>
      </c>
      <c r="D689" s="86">
        <f t="shared" si="83"/>
        <v>0.32600000000000001</v>
      </c>
      <c r="E689" s="86">
        <f t="shared" si="83"/>
        <v>6.0999999999999999E-2</v>
      </c>
      <c r="F689" s="86">
        <f t="shared" si="83"/>
        <v>2.5999999999999999E-2</v>
      </c>
      <c r="G689" s="87">
        <v>0.28100000000000003</v>
      </c>
      <c r="H689" s="87">
        <v>0.32600000000000001</v>
      </c>
      <c r="I689" s="87">
        <v>6.0999999999999999E-2</v>
      </c>
      <c r="J689" s="87">
        <v>2.5999999999999999E-2</v>
      </c>
      <c r="K689" s="76">
        <f>((9/3)*L686)+((3/3)*L698)</f>
        <v>61673</v>
      </c>
      <c r="L689" s="94"/>
      <c r="M689" s="353">
        <f t="shared" si="84"/>
        <v>0.6</v>
      </c>
      <c r="N689" s="353">
        <v>0.26</v>
      </c>
      <c r="O689" s="353">
        <f t="shared" si="85"/>
        <v>0.61</v>
      </c>
      <c r="P689" s="353">
        <v>0.34620000000000001</v>
      </c>
      <c r="Q689" s="353">
        <v>0.69640000000000002</v>
      </c>
      <c r="R689" s="353">
        <v>0.6</v>
      </c>
      <c r="S689" s="353">
        <v>0.61</v>
      </c>
    </row>
    <row r="690" spans="1:19" s="78" customFormat="1">
      <c r="A690" s="77">
        <f t="shared" si="80"/>
        <v>58440</v>
      </c>
      <c r="B690" s="77">
        <f t="shared" si="79"/>
        <v>58805</v>
      </c>
      <c r="C690" s="86">
        <f t="shared" si="83"/>
        <v>0.28100000000000003</v>
      </c>
      <c r="D690" s="86">
        <f t="shared" si="83"/>
        <v>0.32600000000000001</v>
      </c>
      <c r="E690" s="86">
        <f t="shared" si="83"/>
        <v>6.0999999999999999E-2</v>
      </c>
      <c r="F690" s="86">
        <f t="shared" si="83"/>
        <v>2.5999999999999999E-2</v>
      </c>
      <c r="G690" s="87">
        <v>0.28100000000000003</v>
      </c>
      <c r="H690" s="87">
        <v>0.32600000000000001</v>
      </c>
      <c r="I690" s="87">
        <v>6.0999999999999999E-2</v>
      </c>
      <c r="J690" s="87">
        <v>2.5999999999999999E-2</v>
      </c>
      <c r="K690" s="76">
        <f>((8/3)*L686)+((4/3)*L698)</f>
        <v>61926</v>
      </c>
      <c r="L690" s="94"/>
      <c r="M690" s="353">
        <f t="shared" si="84"/>
        <v>0.6</v>
      </c>
      <c r="N690" s="353">
        <v>0.26</v>
      </c>
      <c r="O690" s="353">
        <f t="shared" si="85"/>
        <v>0.61</v>
      </c>
      <c r="P690" s="353">
        <v>0.34620000000000001</v>
      </c>
      <c r="Q690" s="353">
        <v>0.69640000000000002</v>
      </c>
      <c r="R690" s="353">
        <v>0.6</v>
      </c>
      <c r="S690" s="353">
        <v>0.61</v>
      </c>
    </row>
    <row r="691" spans="1:19" s="78" customFormat="1">
      <c r="A691" s="77">
        <f t="shared" si="80"/>
        <v>58471</v>
      </c>
      <c r="B691" s="77">
        <f t="shared" si="79"/>
        <v>58836</v>
      </c>
      <c r="C691" s="86">
        <f t="shared" ref="C691:F706" si="86">AVERAGE(G691:G702)</f>
        <v>0.28100000000000003</v>
      </c>
      <c r="D691" s="86">
        <f t="shared" si="86"/>
        <v>0.32600000000000001</v>
      </c>
      <c r="E691" s="86">
        <f t="shared" si="86"/>
        <v>6.0999999999999999E-2</v>
      </c>
      <c r="F691" s="86">
        <f t="shared" si="86"/>
        <v>2.5999999999999999E-2</v>
      </c>
      <c r="G691" s="87">
        <v>0.28100000000000003</v>
      </c>
      <c r="H691" s="87">
        <v>0.32600000000000001</v>
      </c>
      <c r="I691" s="87">
        <v>6.0999999999999999E-2</v>
      </c>
      <c r="J691" s="87">
        <v>2.5999999999999999E-2</v>
      </c>
      <c r="K691" s="76">
        <f>((7/3)*L686)+((5/3)*L698)</f>
        <v>62180</v>
      </c>
      <c r="L691" s="94"/>
      <c r="M691" s="353">
        <f t="shared" si="84"/>
        <v>0.6</v>
      </c>
      <c r="N691" s="353">
        <v>0.26</v>
      </c>
      <c r="O691" s="353">
        <f t="shared" si="85"/>
        <v>0.61</v>
      </c>
      <c r="P691" s="353">
        <v>0.34620000000000001</v>
      </c>
      <c r="Q691" s="353">
        <v>0.69640000000000002</v>
      </c>
      <c r="R691" s="353">
        <v>0.6</v>
      </c>
      <c r="S691" s="353">
        <v>0.61</v>
      </c>
    </row>
    <row r="692" spans="1:19" s="78" customFormat="1">
      <c r="A692" s="77">
        <f t="shared" si="80"/>
        <v>58500</v>
      </c>
      <c r="B692" s="77">
        <f t="shared" si="79"/>
        <v>58864</v>
      </c>
      <c r="C692" s="86">
        <f t="shared" si="86"/>
        <v>0.28100000000000003</v>
      </c>
      <c r="D692" s="86">
        <f t="shared" si="86"/>
        <v>0.32600000000000001</v>
      </c>
      <c r="E692" s="86">
        <f t="shared" si="86"/>
        <v>6.0999999999999999E-2</v>
      </c>
      <c r="F692" s="86">
        <f t="shared" si="86"/>
        <v>2.5999999999999999E-2</v>
      </c>
      <c r="G692" s="87">
        <v>0.28100000000000003</v>
      </c>
      <c r="H692" s="87">
        <v>0.32600000000000001</v>
      </c>
      <c r="I692" s="87">
        <v>6.0999999999999999E-2</v>
      </c>
      <c r="J692" s="87">
        <v>2.5999999999999999E-2</v>
      </c>
      <c r="K692" s="76">
        <f>((6/3)*L686)+((6/3)*L698)</f>
        <v>62434</v>
      </c>
      <c r="L692" s="94"/>
      <c r="M692" s="353">
        <f t="shared" si="84"/>
        <v>0.6</v>
      </c>
      <c r="N692" s="353">
        <v>0.26</v>
      </c>
      <c r="O692" s="353">
        <f t="shared" si="85"/>
        <v>0.61</v>
      </c>
      <c r="P692" s="353">
        <v>0.34620000000000001</v>
      </c>
      <c r="Q692" s="353">
        <v>0.69640000000000002</v>
      </c>
      <c r="R692" s="353">
        <v>0.6</v>
      </c>
      <c r="S692" s="353">
        <v>0.61</v>
      </c>
    </row>
    <row r="693" spans="1:19" s="78" customFormat="1">
      <c r="A693" s="77">
        <f t="shared" si="80"/>
        <v>58531</v>
      </c>
      <c r="B693" s="77">
        <f t="shared" si="79"/>
        <v>58895</v>
      </c>
      <c r="C693" s="86">
        <f t="shared" si="86"/>
        <v>0.28100000000000003</v>
      </c>
      <c r="D693" s="86">
        <f t="shared" si="86"/>
        <v>0.32600000000000001</v>
      </c>
      <c r="E693" s="86">
        <f t="shared" si="86"/>
        <v>6.0999999999999999E-2</v>
      </c>
      <c r="F693" s="86">
        <f t="shared" si="86"/>
        <v>2.5999999999999999E-2</v>
      </c>
      <c r="G693" s="87">
        <v>0.28100000000000003</v>
      </c>
      <c r="H693" s="87">
        <v>0.32600000000000001</v>
      </c>
      <c r="I693" s="87">
        <v>6.0999999999999999E-2</v>
      </c>
      <c r="J693" s="87">
        <v>2.5999999999999999E-2</v>
      </c>
      <c r="K693" s="76">
        <f>((5/3)*L686)+((7/3)*L698)</f>
        <v>62688</v>
      </c>
      <c r="L693" s="94"/>
      <c r="M693" s="353">
        <f t="shared" si="84"/>
        <v>0.6</v>
      </c>
      <c r="N693" s="353">
        <v>0.26</v>
      </c>
      <c r="O693" s="353">
        <f t="shared" si="85"/>
        <v>0.61</v>
      </c>
      <c r="P693" s="353">
        <v>0.34620000000000001</v>
      </c>
      <c r="Q693" s="353">
        <v>0.69640000000000002</v>
      </c>
      <c r="R693" s="353">
        <v>0.6</v>
      </c>
      <c r="S693" s="353">
        <v>0.61</v>
      </c>
    </row>
    <row r="694" spans="1:19" s="78" customFormat="1">
      <c r="A694" s="77">
        <f t="shared" si="80"/>
        <v>58561</v>
      </c>
      <c r="B694" s="77">
        <f t="shared" si="79"/>
        <v>58925</v>
      </c>
      <c r="C694" s="86">
        <f t="shared" si="86"/>
        <v>0.28100000000000003</v>
      </c>
      <c r="D694" s="86">
        <f t="shared" si="86"/>
        <v>0.32600000000000001</v>
      </c>
      <c r="E694" s="86">
        <f t="shared" si="86"/>
        <v>6.0999999999999999E-2</v>
      </c>
      <c r="F694" s="86">
        <f t="shared" si="86"/>
        <v>2.5999999999999999E-2</v>
      </c>
      <c r="G694" s="87">
        <v>0.28100000000000003</v>
      </c>
      <c r="H694" s="87">
        <v>0.32600000000000001</v>
      </c>
      <c r="I694" s="87">
        <v>6.0999999999999999E-2</v>
      </c>
      <c r="J694" s="87">
        <v>2.5999999999999999E-2</v>
      </c>
      <c r="K694" s="76">
        <f>((4/3)*L686)+((8/3)*L698)</f>
        <v>62942</v>
      </c>
      <c r="L694" s="94"/>
      <c r="M694" s="353">
        <f t="shared" si="84"/>
        <v>0.6</v>
      </c>
      <c r="N694" s="353">
        <v>0.26</v>
      </c>
      <c r="O694" s="353">
        <f t="shared" si="85"/>
        <v>0.61</v>
      </c>
      <c r="P694" s="353">
        <v>0.34620000000000001</v>
      </c>
      <c r="Q694" s="353">
        <v>0.69640000000000002</v>
      </c>
      <c r="R694" s="353">
        <v>0.6</v>
      </c>
      <c r="S694" s="353">
        <v>0.61</v>
      </c>
    </row>
    <row r="695" spans="1:19" s="78" customFormat="1">
      <c r="A695" s="77">
        <f t="shared" si="80"/>
        <v>58592</v>
      </c>
      <c r="B695" s="77">
        <f t="shared" si="79"/>
        <v>58956</v>
      </c>
      <c r="C695" s="86">
        <f t="shared" si="86"/>
        <v>0.28100000000000003</v>
      </c>
      <c r="D695" s="86">
        <f t="shared" si="86"/>
        <v>0.32600000000000001</v>
      </c>
      <c r="E695" s="86">
        <f t="shared" si="86"/>
        <v>6.0999999999999999E-2</v>
      </c>
      <c r="F695" s="86">
        <f t="shared" si="86"/>
        <v>2.5999999999999999E-2</v>
      </c>
      <c r="G695" s="87">
        <v>0.28100000000000003</v>
      </c>
      <c r="H695" s="87">
        <v>0.32600000000000001</v>
      </c>
      <c r="I695" s="87">
        <v>6.0999999999999999E-2</v>
      </c>
      <c r="J695" s="87">
        <v>2.5999999999999999E-2</v>
      </c>
      <c r="K695" s="76">
        <f>((3/3)*L686)+((9/3)*L698)</f>
        <v>63195</v>
      </c>
      <c r="L695" s="94"/>
      <c r="M695" s="353">
        <f t="shared" si="84"/>
        <v>0.6</v>
      </c>
      <c r="N695" s="353">
        <v>0.26</v>
      </c>
      <c r="O695" s="353">
        <f t="shared" si="85"/>
        <v>0.61</v>
      </c>
      <c r="P695" s="353">
        <v>0.34620000000000001</v>
      </c>
      <c r="Q695" s="353">
        <v>0.69640000000000002</v>
      </c>
      <c r="R695" s="353">
        <v>0.6</v>
      </c>
      <c r="S695" s="353">
        <v>0.61</v>
      </c>
    </row>
    <row r="696" spans="1:19" s="78" customFormat="1">
      <c r="A696" s="77">
        <f t="shared" si="80"/>
        <v>58622</v>
      </c>
      <c r="B696" s="77">
        <f t="shared" si="79"/>
        <v>58986</v>
      </c>
      <c r="C696" s="86">
        <f t="shared" si="86"/>
        <v>0.28100000000000003</v>
      </c>
      <c r="D696" s="86">
        <f t="shared" si="86"/>
        <v>0.32600000000000001</v>
      </c>
      <c r="E696" s="86">
        <f t="shared" si="86"/>
        <v>6.0999999999999999E-2</v>
      </c>
      <c r="F696" s="86">
        <f t="shared" si="86"/>
        <v>2.5999999999999999E-2</v>
      </c>
      <c r="G696" s="87">
        <v>0.28100000000000003</v>
      </c>
      <c r="H696" s="87">
        <v>0.32600000000000001</v>
      </c>
      <c r="I696" s="87">
        <v>6.0999999999999999E-2</v>
      </c>
      <c r="J696" s="87">
        <v>2.5999999999999999E-2</v>
      </c>
      <c r="K696" s="76">
        <f>((2/3)*L686)+((10/3)*L698)</f>
        <v>63449</v>
      </c>
      <c r="L696" s="94"/>
      <c r="M696" s="353">
        <f t="shared" si="84"/>
        <v>0.6</v>
      </c>
      <c r="N696" s="353">
        <v>0.26</v>
      </c>
      <c r="O696" s="353">
        <f t="shared" si="85"/>
        <v>0.61</v>
      </c>
      <c r="P696" s="353">
        <v>0.34620000000000001</v>
      </c>
      <c r="Q696" s="353">
        <v>0.69640000000000002</v>
      </c>
      <c r="R696" s="353">
        <v>0.6</v>
      </c>
      <c r="S696" s="353">
        <v>0.61</v>
      </c>
    </row>
    <row r="697" spans="1:19" s="78" customFormat="1">
      <c r="A697" s="77">
        <f t="shared" si="80"/>
        <v>58653</v>
      </c>
      <c r="B697" s="77">
        <f t="shared" si="79"/>
        <v>59017</v>
      </c>
      <c r="C697" s="86">
        <f t="shared" si="86"/>
        <v>0.28100000000000003</v>
      </c>
      <c r="D697" s="86">
        <f t="shared" si="86"/>
        <v>0.32600000000000001</v>
      </c>
      <c r="E697" s="86">
        <f t="shared" si="86"/>
        <v>6.0999999999999999E-2</v>
      </c>
      <c r="F697" s="86">
        <f t="shared" si="86"/>
        <v>2.5999999999999999E-2</v>
      </c>
      <c r="G697" s="87">
        <v>0.28100000000000003</v>
      </c>
      <c r="H697" s="87">
        <v>0.32600000000000001</v>
      </c>
      <c r="I697" s="87">
        <v>6.0999999999999999E-2</v>
      </c>
      <c r="J697" s="87">
        <v>2.5999999999999999E-2</v>
      </c>
      <c r="K697" s="76">
        <f>((1/3)*L686)+((11/3)*L698)</f>
        <v>63703</v>
      </c>
      <c r="L697" s="94"/>
      <c r="M697" s="353">
        <f t="shared" si="84"/>
        <v>0.6</v>
      </c>
      <c r="N697" s="353">
        <v>0.26</v>
      </c>
      <c r="O697" s="353">
        <f t="shared" si="85"/>
        <v>0.61</v>
      </c>
      <c r="P697" s="353">
        <v>0.34620000000000001</v>
      </c>
      <c r="Q697" s="353">
        <v>0.69640000000000002</v>
      </c>
      <c r="R697" s="353">
        <v>0.6</v>
      </c>
      <c r="S697" s="353">
        <v>0.61</v>
      </c>
    </row>
    <row r="698" spans="1:19">
      <c r="A698" s="19">
        <f t="shared" si="80"/>
        <v>58684</v>
      </c>
      <c r="B698" s="19">
        <f t="shared" si="79"/>
        <v>59048</v>
      </c>
      <c r="C698" s="84">
        <f t="shared" si="86"/>
        <v>0.28100000000000003</v>
      </c>
      <c r="D698" s="84">
        <f t="shared" si="86"/>
        <v>0.32600000000000001</v>
      </c>
      <c r="E698" s="84">
        <f t="shared" si="86"/>
        <v>6.0999999999999999E-2</v>
      </c>
      <c r="F698" s="84">
        <f t="shared" si="86"/>
        <v>2.5999999999999999E-2</v>
      </c>
      <c r="G698" s="85">
        <v>0.28100000000000003</v>
      </c>
      <c r="H698" s="85">
        <v>0.32600000000000001</v>
      </c>
      <c r="I698" s="85">
        <v>6.0999999999999999E-2</v>
      </c>
      <c r="J698" s="85">
        <v>2.5999999999999999E-2</v>
      </c>
      <c r="K698" s="25">
        <f>(L698*4)</f>
        <v>63957</v>
      </c>
      <c r="L698" s="93">
        <f>L686*1.05</f>
        <v>15989.2</v>
      </c>
      <c r="M698" s="80">
        <f t="shared" si="84"/>
        <v>0.6</v>
      </c>
      <c r="N698" s="80">
        <v>0.26</v>
      </c>
      <c r="O698" s="80">
        <f t="shared" si="85"/>
        <v>0.61</v>
      </c>
      <c r="P698" s="80">
        <v>0.34620000000000001</v>
      </c>
      <c r="Q698" s="80">
        <v>0.69640000000000002</v>
      </c>
      <c r="R698" s="80">
        <v>0.6</v>
      </c>
      <c r="S698" s="80">
        <v>0.61</v>
      </c>
    </row>
    <row r="699" spans="1:19">
      <c r="A699" s="19">
        <f t="shared" si="80"/>
        <v>58714</v>
      </c>
      <c r="B699" s="19">
        <f t="shared" si="79"/>
        <v>59078</v>
      </c>
      <c r="C699" s="84">
        <f t="shared" si="86"/>
        <v>0.28100000000000003</v>
      </c>
      <c r="D699" s="84">
        <f t="shared" si="86"/>
        <v>0.32600000000000001</v>
      </c>
      <c r="E699" s="84">
        <f t="shared" si="86"/>
        <v>6.0999999999999999E-2</v>
      </c>
      <c r="F699" s="84">
        <f t="shared" si="86"/>
        <v>2.5999999999999999E-2</v>
      </c>
      <c r="G699" s="85">
        <v>0.28100000000000003</v>
      </c>
      <c r="H699" s="85">
        <v>0.32600000000000001</v>
      </c>
      <c r="I699" s="85">
        <v>6.0999999999999999E-2</v>
      </c>
      <c r="J699" s="85">
        <v>2.5999999999999999E-2</v>
      </c>
      <c r="K699" s="25">
        <f>((11/3)*L698)+((1/3)*L710)</f>
        <v>64223</v>
      </c>
      <c r="L699" s="93"/>
      <c r="M699" s="80">
        <f t="shared" si="84"/>
        <v>0.6</v>
      </c>
      <c r="N699" s="80">
        <v>0.26</v>
      </c>
      <c r="O699" s="80">
        <f t="shared" si="85"/>
        <v>0.61</v>
      </c>
      <c r="P699" s="80">
        <v>0.34620000000000001</v>
      </c>
      <c r="Q699" s="80">
        <v>0.69640000000000002</v>
      </c>
      <c r="R699" s="80">
        <v>0.6</v>
      </c>
      <c r="S699" s="80">
        <v>0.61</v>
      </c>
    </row>
    <row r="700" spans="1:19">
      <c r="A700" s="19">
        <f t="shared" si="80"/>
        <v>58745</v>
      </c>
      <c r="B700" s="19">
        <f t="shared" si="79"/>
        <v>59109</v>
      </c>
      <c r="C700" s="84">
        <f t="shared" si="86"/>
        <v>0.28100000000000003</v>
      </c>
      <c r="D700" s="84">
        <f t="shared" si="86"/>
        <v>0.32600000000000001</v>
      </c>
      <c r="E700" s="84">
        <f t="shared" si="86"/>
        <v>6.0999999999999999E-2</v>
      </c>
      <c r="F700" s="84">
        <f t="shared" si="86"/>
        <v>2.5999999999999999E-2</v>
      </c>
      <c r="G700" s="85">
        <v>0.28100000000000003</v>
      </c>
      <c r="H700" s="85">
        <v>0.32600000000000001</v>
      </c>
      <c r="I700" s="85">
        <v>6.0999999999999999E-2</v>
      </c>
      <c r="J700" s="85">
        <v>2.5999999999999999E-2</v>
      </c>
      <c r="K700" s="25">
        <f>((10/3)*L698)+((2/3)*L710)</f>
        <v>64490</v>
      </c>
      <c r="L700" s="93"/>
      <c r="M700" s="80">
        <f t="shared" si="84"/>
        <v>0.6</v>
      </c>
      <c r="N700" s="80">
        <v>0.26</v>
      </c>
      <c r="O700" s="80">
        <f t="shared" si="85"/>
        <v>0.61</v>
      </c>
      <c r="P700" s="80">
        <v>0.34620000000000001</v>
      </c>
      <c r="Q700" s="80">
        <v>0.69640000000000002</v>
      </c>
      <c r="R700" s="80">
        <v>0.6</v>
      </c>
      <c r="S700" s="80">
        <v>0.61</v>
      </c>
    </row>
    <row r="701" spans="1:19">
      <c r="A701" s="19">
        <f t="shared" si="80"/>
        <v>58775</v>
      </c>
      <c r="B701" s="19">
        <f t="shared" si="79"/>
        <v>59139</v>
      </c>
      <c r="C701" s="84">
        <f t="shared" si="86"/>
        <v>0.28100000000000003</v>
      </c>
      <c r="D701" s="84">
        <f t="shared" si="86"/>
        <v>0.32600000000000001</v>
      </c>
      <c r="E701" s="84">
        <f t="shared" si="86"/>
        <v>6.0999999999999999E-2</v>
      </c>
      <c r="F701" s="84">
        <f t="shared" si="86"/>
        <v>2.5999999999999999E-2</v>
      </c>
      <c r="G701" s="85">
        <v>0.28100000000000003</v>
      </c>
      <c r="H701" s="85">
        <v>0.32600000000000001</v>
      </c>
      <c r="I701" s="85">
        <v>6.0999999999999999E-2</v>
      </c>
      <c r="J701" s="85">
        <v>2.5999999999999999E-2</v>
      </c>
      <c r="K701" s="25">
        <f>((9/3)*L698)+((3/3)*L710)</f>
        <v>64756</v>
      </c>
      <c r="L701" s="93"/>
      <c r="M701" s="80">
        <f t="shared" si="84"/>
        <v>0.6</v>
      </c>
      <c r="N701" s="80">
        <v>0.26</v>
      </c>
      <c r="O701" s="80">
        <f t="shared" si="85"/>
        <v>0.61</v>
      </c>
      <c r="P701" s="80">
        <v>0.34620000000000001</v>
      </c>
      <c r="Q701" s="80">
        <v>0.69640000000000002</v>
      </c>
      <c r="R701" s="80">
        <v>0.6</v>
      </c>
      <c r="S701" s="80">
        <v>0.61</v>
      </c>
    </row>
    <row r="702" spans="1:19">
      <c r="A702" s="19">
        <f t="shared" si="80"/>
        <v>58806</v>
      </c>
      <c r="B702" s="19">
        <f t="shared" si="79"/>
        <v>59170</v>
      </c>
      <c r="C702" s="84">
        <f t="shared" si="86"/>
        <v>0.28100000000000003</v>
      </c>
      <c r="D702" s="84">
        <f t="shared" si="86"/>
        <v>0.32600000000000001</v>
      </c>
      <c r="E702" s="84">
        <f t="shared" si="86"/>
        <v>6.0999999999999999E-2</v>
      </c>
      <c r="F702" s="84">
        <f t="shared" si="86"/>
        <v>2.5999999999999999E-2</v>
      </c>
      <c r="G702" s="85">
        <v>0.28100000000000003</v>
      </c>
      <c r="H702" s="85">
        <v>0.32600000000000001</v>
      </c>
      <c r="I702" s="85">
        <v>6.0999999999999999E-2</v>
      </c>
      <c r="J702" s="85">
        <v>2.5999999999999999E-2</v>
      </c>
      <c r="K702" s="25">
        <f>((8/3)*L698)+((4/3)*L710)</f>
        <v>65023</v>
      </c>
      <c r="L702" s="93"/>
      <c r="M702" s="80">
        <f t="shared" si="84"/>
        <v>0.6</v>
      </c>
      <c r="N702" s="80">
        <v>0.26</v>
      </c>
      <c r="O702" s="80">
        <f t="shared" si="85"/>
        <v>0.61</v>
      </c>
      <c r="P702" s="80">
        <v>0.34620000000000001</v>
      </c>
      <c r="Q702" s="80">
        <v>0.69640000000000002</v>
      </c>
      <c r="R702" s="80">
        <v>0.6</v>
      </c>
      <c r="S702" s="80">
        <v>0.61</v>
      </c>
    </row>
    <row r="703" spans="1:19">
      <c r="A703" s="19">
        <f t="shared" si="80"/>
        <v>58837</v>
      </c>
      <c r="B703" s="19">
        <f t="shared" si="79"/>
        <v>59201</v>
      </c>
      <c r="C703" s="84">
        <f t="shared" si="86"/>
        <v>0.28100000000000003</v>
      </c>
      <c r="D703" s="84">
        <f t="shared" si="86"/>
        <v>0.32600000000000001</v>
      </c>
      <c r="E703" s="84">
        <f t="shared" si="86"/>
        <v>6.0999999999999999E-2</v>
      </c>
      <c r="F703" s="84">
        <f t="shared" si="86"/>
        <v>2.5999999999999999E-2</v>
      </c>
      <c r="G703" s="85">
        <v>0.28100000000000003</v>
      </c>
      <c r="H703" s="85">
        <v>0.32600000000000001</v>
      </c>
      <c r="I703" s="85">
        <v>6.0999999999999999E-2</v>
      </c>
      <c r="J703" s="85">
        <v>2.5999999999999999E-2</v>
      </c>
      <c r="K703" s="25">
        <f>((7/3)*L698)+((5/3)*L710)</f>
        <v>65289</v>
      </c>
      <c r="L703" s="93"/>
      <c r="M703" s="80">
        <f t="shared" si="84"/>
        <v>0.6</v>
      </c>
      <c r="N703" s="80">
        <v>0.26</v>
      </c>
      <c r="O703" s="80">
        <f t="shared" si="85"/>
        <v>0.61</v>
      </c>
      <c r="P703" s="80">
        <v>0.34620000000000001</v>
      </c>
      <c r="Q703" s="80">
        <v>0.69640000000000002</v>
      </c>
      <c r="R703" s="80">
        <v>0.6</v>
      </c>
      <c r="S703" s="80">
        <v>0.61</v>
      </c>
    </row>
    <row r="704" spans="1:19">
      <c r="A704" s="19">
        <f t="shared" si="80"/>
        <v>58865</v>
      </c>
      <c r="B704" s="19">
        <f t="shared" si="79"/>
        <v>59229</v>
      </c>
      <c r="C704" s="84">
        <f t="shared" si="86"/>
        <v>0.28100000000000003</v>
      </c>
      <c r="D704" s="84">
        <f t="shared" si="86"/>
        <v>0.32600000000000001</v>
      </c>
      <c r="E704" s="84">
        <f t="shared" si="86"/>
        <v>6.0999999999999999E-2</v>
      </c>
      <c r="F704" s="84">
        <f t="shared" si="86"/>
        <v>2.5999999999999999E-2</v>
      </c>
      <c r="G704" s="85">
        <v>0.28100000000000003</v>
      </c>
      <c r="H704" s="85">
        <v>0.32600000000000001</v>
      </c>
      <c r="I704" s="85">
        <v>6.0999999999999999E-2</v>
      </c>
      <c r="J704" s="85">
        <v>2.5999999999999999E-2</v>
      </c>
      <c r="K704" s="25">
        <f>((6/3)*L698)+((6/3)*L710)</f>
        <v>65556</v>
      </c>
      <c r="L704" s="93"/>
      <c r="M704" s="80">
        <f t="shared" si="84"/>
        <v>0.6</v>
      </c>
      <c r="N704" s="80">
        <v>0.26</v>
      </c>
      <c r="O704" s="80">
        <f t="shared" si="85"/>
        <v>0.61</v>
      </c>
      <c r="P704" s="80">
        <v>0.34620000000000001</v>
      </c>
      <c r="Q704" s="80">
        <v>0.69640000000000002</v>
      </c>
      <c r="R704" s="80">
        <v>0.6</v>
      </c>
      <c r="S704" s="80">
        <v>0.61</v>
      </c>
    </row>
    <row r="705" spans="1:19">
      <c r="A705" s="19">
        <f t="shared" si="80"/>
        <v>58896</v>
      </c>
      <c r="B705" s="19">
        <f t="shared" si="79"/>
        <v>59260</v>
      </c>
      <c r="C705" s="84">
        <f t="shared" si="86"/>
        <v>0.28100000000000003</v>
      </c>
      <c r="D705" s="84">
        <f t="shared" si="86"/>
        <v>0.32600000000000001</v>
      </c>
      <c r="E705" s="84">
        <f t="shared" si="86"/>
        <v>6.0999999999999999E-2</v>
      </c>
      <c r="F705" s="84">
        <f t="shared" si="86"/>
        <v>2.5999999999999999E-2</v>
      </c>
      <c r="G705" s="85">
        <v>0.28100000000000003</v>
      </c>
      <c r="H705" s="85">
        <v>0.32600000000000001</v>
      </c>
      <c r="I705" s="85">
        <v>6.0999999999999999E-2</v>
      </c>
      <c r="J705" s="85">
        <v>2.5999999999999999E-2</v>
      </c>
      <c r="K705" s="25">
        <f>((5/3)*L698)+((7/3)*L710)</f>
        <v>65822</v>
      </c>
      <c r="L705" s="93"/>
      <c r="M705" s="80">
        <f t="shared" si="84"/>
        <v>0.6</v>
      </c>
      <c r="N705" s="80">
        <v>0.26</v>
      </c>
      <c r="O705" s="80">
        <f t="shared" si="85"/>
        <v>0.61</v>
      </c>
      <c r="P705" s="80">
        <v>0.34620000000000001</v>
      </c>
      <c r="Q705" s="80">
        <v>0.69640000000000002</v>
      </c>
      <c r="R705" s="80">
        <v>0.6</v>
      </c>
      <c r="S705" s="80">
        <v>0.61</v>
      </c>
    </row>
    <row r="706" spans="1:19">
      <c r="A706" s="19">
        <f t="shared" si="80"/>
        <v>58926</v>
      </c>
      <c r="B706" s="19">
        <f t="shared" ref="B706:B769" si="87">EDATE(A706,12)-1</f>
        <v>59290</v>
      </c>
      <c r="C706" s="84">
        <f t="shared" si="86"/>
        <v>0.28100000000000003</v>
      </c>
      <c r="D706" s="84">
        <f t="shared" si="86"/>
        <v>0.32600000000000001</v>
      </c>
      <c r="E706" s="84">
        <f t="shared" si="86"/>
        <v>6.0999999999999999E-2</v>
      </c>
      <c r="F706" s="84">
        <f t="shared" si="86"/>
        <v>2.5999999999999999E-2</v>
      </c>
      <c r="G706" s="85">
        <v>0.28100000000000003</v>
      </c>
      <c r="H706" s="85">
        <v>0.32600000000000001</v>
      </c>
      <c r="I706" s="85">
        <v>6.0999999999999999E-2</v>
      </c>
      <c r="J706" s="85">
        <v>2.5999999999999999E-2</v>
      </c>
      <c r="K706" s="25">
        <f>((4/3)*L698)+((8/3)*L710)</f>
        <v>66089</v>
      </c>
      <c r="L706" s="93"/>
      <c r="M706" s="80">
        <f t="shared" si="84"/>
        <v>0.6</v>
      </c>
      <c r="N706" s="80">
        <v>0.26</v>
      </c>
      <c r="O706" s="80">
        <f t="shared" si="85"/>
        <v>0.61</v>
      </c>
      <c r="P706" s="80">
        <v>0.34620000000000001</v>
      </c>
      <c r="Q706" s="80">
        <v>0.69640000000000002</v>
      </c>
      <c r="R706" s="80">
        <v>0.6</v>
      </c>
      <c r="S706" s="80">
        <v>0.61</v>
      </c>
    </row>
    <row r="707" spans="1:19">
      <c r="A707" s="19">
        <f t="shared" ref="A707:A770" si="88">EDATE(A706,1)</f>
        <v>58957</v>
      </c>
      <c r="B707" s="19">
        <f t="shared" si="87"/>
        <v>59321</v>
      </c>
      <c r="C707" s="84">
        <f t="shared" ref="C707:F722" si="89">AVERAGE(G707:G718)</f>
        <v>0.28100000000000003</v>
      </c>
      <c r="D707" s="84">
        <f t="shared" si="89"/>
        <v>0.32600000000000001</v>
      </c>
      <c r="E707" s="84">
        <f t="shared" si="89"/>
        <v>6.0999999999999999E-2</v>
      </c>
      <c r="F707" s="84">
        <f t="shared" si="89"/>
        <v>2.5999999999999999E-2</v>
      </c>
      <c r="G707" s="85">
        <v>0.28100000000000003</v>
      </c>
      <c r="H707" s="85">
        <v>0.32600000000000001</v>
      </c>
      <c r="I707" s="85">
        <v>6.0999999999999999E-2</v>
      </c>
      <c r="J707" s="85">
        <v>2.5999999999999999E-2</v>
      </c>
      <c r="K707" s="25">
        <f>((3/3)*L698)+((9/3)*L710)</f>
        <v>66355</v>
      </c>
      <c r="L707" s="93"/>
      <c r="M707" s="80">
        <f t="shared" si="84"/>
        <v>0.6</v>
      </c>
      <c r="N707" s="80">
        <v>0.26</v>
      </c>
      <c r="O707" s="80">
        <f t="shared" si="85"/>
        <v>0.61</v>
      </c>
      <c r="P707" s="80">
        <v>0.34620000000000001</v>
      </c>
      <c r="Q707" s="80">
        <v>0.69640000000000002</v>
      </c>
      <c r="R707" s="80">
        <v>0.6</v>
      </c>
      <c r="S707" s="80">
        <v>0.61</v>
      </c>
    </row>
    <row r="708" spans="1:19">
      <c r="A708" s="19">
        <f t="shared" si="88"/>
        <v>58987</v>
      </c>
      <c r="B708" s="19">
        <f t="shared" si="87"/>
        <v>59351</v>
      </c>
      <c r="C708" s="84">
        <f t="shared" si="89"/>
        <v>0.28100000000000003</v>
      </c>
      <c r="D708" s="84">
        <f t="shared" si="89"/>
        <v>0.32600000000000001</v>
      </c>
      <c r="E708" s="84">
        <f t="shared" si="89"/>
        <v>6.0999999999999999E-2</v>
      </c>
      <c r="F708" s="84">
        <f t="shared" si="89"/>
        <v>2.5999999999999999E-2</v>
      </c>
      <c r="G708" s="85">
        <v>0.28100000000000003</v>
      </c>
      <c r="H708" s="85">
        <v>0.32600000000000001</v>
      </c>
      <c r="I708" s="85">
        <v>6.0999999999999999E-2</v>
      </c>
      <c r="J708" s="85">
        <v>2.5999999999999999E-2</v>
      </c>
      <c r="K708" s="25">
        <f>((2/3)*L698)+((10/3)*L710)</f>
        <v>66622</v>
      </c>
      <c r="L708" s="93"/>
      <c r="M708" s="80">
        <f t="shared" si="84"/>
        <v>0.6</v>
      </c>
      <c r="N708" s="80">
        <v>0.26</v>
      </c>
      <c r="O708" s="80">
        <f t="shared" si="85"/>
        <v>0.61</v>
      </c>
      <c r="P708" s="80">
        <v>0.34620000000000001</v>
      </c>
      <c r="Q708" s="80">
        <v>0.69640000000000002</v>
      </c>
      <c r="R708" s="80">
        <v>0.6</v>
      </c>
      <c r="S708" s="80">
        <v>0.61</v>
      </c>
    </row>
    <row r="709" spans="1:19">
      <c r="A709" s="19">
        <f t="shared" si="88"/>
        <v>59018</v>
      </c>
      <c r="B709" s="19">
        <f t="shared" si="87"/>
        <v>59382</v>
      </c>
      <c r="C709" s="81">
        <f t="shared" si="89"/>
        <v>0.28100000000000003</v>
      </c>
      <c r="D709" s="81">
        <f t="shared" si="89"/>
        <v>0.32600000000000001</v>
      </c>
      <c r="E709" s="81">
        <f t="shared" si="89"/>
        <v>6.0999999999999999E-2</v>
      </c>
      <c r="F709" s="81">
        <f t="shared" si="89"/>
        <v>2.5999999999999999E-2</v>
      </c>
      <c r="G709" s="85">
        <v>0.28100000000000003</v>
      </c>
      <c r="H709" s="85">
        <v>0.32600000000000001</v>
      </c>
      <c r="I709" s="85">
        <v>6.0999999999999999E-2</v>
      </c>
      <c r="J709" s="85">
        <v>2.5999999999999999E-2</v>
      </c>
      <c r="K709" s="25">
        <f>((1/3)*L698)+((11/3)*L710)</f>
        <v>66888</v>
      </c>
      <c r="L709" s="93"/>
      <c r="M709" s="80">
        <f t="shared" si="84"/>
        <v>0.6</v>
      </c>
      <c r="N709" s="80">
        <v>0.26</v>
      </c>
      <c r="O709" s="80">
        <f t="shared" si="85"/>
        <v>0.61</v>
      </c>
      <c r="P709" s="80">
        <v>0.34620000000000001</v>
      </c>
      <c r="Q709" s="80">
        <v>0.69640000000000002</v>
      </c>
      <c r="R709" s="80">
        <v>0.6</v>
      </c>
      <c r="S709" s="80">
        <v>0.61</v>
      </c>
    </row>
    <row r="710" spans="1:19" s="78" customFormat="1">
      <c r="A710" s="77">
        <f t="shared" si="88"/>
        <v>59049</v>
      </c>
      <c r="B710" s="77">
        <f t="shared" si="87"/>
        <v>59413</v>
      </c>
      <c r="C710" s="86">
        <f t="shared" si="89"/>
        <v>0.28100000000000003</v>
      </c>
      <c r="D710" s="86">
        <f t="shared" si="89"/>
        <v>0.32600000000000001</v>
      </c>
      <c r="E710" s="86">
        <f t="shared" si="89"/>
        <v>6.0999999999999999E-2</v>
      </c>
      <c r="F710" s="86">
        <f t="shared" si="89"/>
        <v>2.5999999999999999E-2</v>
      </c>
      <c r="G710" s="87">
        <v>0.28100000000000003</v>
      </c>
      <c r="H710" s="87">
        <v>0.32600000000000001</v>
      </c>
      <c r="I710" s="87">
        <v>6.0999999999999999E-2</v>
      </c>
      <c r="J710" s="87">
        <v>2.5999999999999999E-2</v>
      </c>
      <c r="K710" s="76">
        <f>(L710*4)</f>
        <v>67155</v>
      </c>
      <c r="L710" s="94">
        <f>L698*1.05</f>
        <v>16788.66</v>
      </c>
      <c r="M710" s="353">
        <f t="shared" si="84"/>
        <v>0.6</v>
      </c>
      <c r="N710" s="353">
        <v>0.26</v>
      </c>
      <c r="O710" s="353">
        <f t="shared" si="85"/>
        <v>0.61</v>
      </c>
      <c r="P710" s="353">
        <v>0.34620000000000001</v>
      </c>
      <c r="Q710" s="353">
        <v>0.69640000000000002</v>
      </c>
      <c r="R710" s="353">
        <v>0.6</v>
      </c>
      <c r="S710" s="353">
        <v>0.61</v>
      </c>
    </row>
    <row r="711" spans="1:19" s="78" customFormat="1">
      <c r="A711" s="77">
        <f t="shared" si="88"/>
        <v>59079</v>
      </c>
      <c r="B711" s="77">
        <f t="shared" si="87"/>
        <v>59443</v>
      </c>
      <c r="C711" s="86">
        <f t="shared" si="89"/>
        <v>0.28100000000000003</v>
      </c>
      <c r="D711" s="86">
        <f t="shared" si="89"/>
        <v>0.32600000000000001</v>
      </c>
      <c r="E711" s="86">
        <f t="shared" si="89"/>
        <v>6.0999999999999999E-2</v>
      </c>
      <c r="F711" s="86">
        <f t="shared" si="89"/>
        <v>2.5999999999999999E-2</v>
      </c>
      <c r="G711" s="87">
        <v>0.28100000000000003</v>
      </c>
      <c r="H711" s="87">
        <v>0.32600000000000001</v>
      </c>
      <c r="I711" s="87">
        <v>6.0999999999999999E-2</v>
      </c>
      <c r="J711" s="87">
        <v>2.5999999999999999E-2</v>
      </c>
      <c r="K711" s="76">
        <f>((11/3)*L710)+((1/3)*L722)</f>
        <v>67434</v>
      </c>
      <c r="L711" s="94"/>
      <c r="M711" s="353">
        <f t="shared" si="84"/>
        <v>0.6</v>
      </c>
      <c r="N711" s="353">
        <v>0.26</v>
      </c>
      <c r="O711" s="353">
        <f t="shared" si="85"/>
        <v>0.61</v>
      </c>
      <c r="P711" s="353">
        <v>0.34620000000000001</v>
      </c>
      <c r="Q711" s="353">
        <v>0.69640000000000002</v>
      </c>
      <c r="R711" s="353">
        <v>0.6</v>
      </c>
      <c r="S711" s="353">
        <v>0.61</v>
      </c>
    </row>
    <row r="712" spans="1:19" s="78" customFormat="1">
      <c r="A712" s="77">
        <f t="shared" si="88"/>
        <v>59110</v>
      </c>
      <c r="B712" s="77">
        <f t="shared" si="87"/>
        <v>59474</v>
      </c>
      <c r="C712" s="86">
        <f t="shared" si="89"/>
        <v>0.28100000000000003</v>
      </c>
      <c r="D712" s="86">
        <f t="shared" si="89"/>
        <v>0.32600000000000001</v>
      </c>
      <c r="E712" s="86">
        <f t="shared" si="89"/>
        <v>6.0999999999999999E-2</v>
      </c>
      <c r="F712" s="86">
        <f t="shared" si="89"/>
        <v>2.5999999999999999E-2</v>
      </c>
      <c r="G712" s="87">
        <v>0.28100000000000003</v>
      </c>
      <c r="H712" s="87">
        <v>0.32600000000000001</v>
      </c>
      <c r="I712" s="87">
        <v>6.0999999999999999E-2</v>
      </c>
      <c r="J712" s="87">
        <v>2.5999999999999999E-2</v>
      </c>
      <c r="K712" s="76">
        <f>((10/3)*L710)+((2/3)*L722)</f>
        <v>67714</v>
      </c>
      <c r="L712" s="94"/>
      <c r="M712" s="353">
        <f t="shared" si="84"/>
        <v>0.6</v>
      </c>
      <c r="N712" s="353">
        <v>0.26</v>
      </c>
      <c r="O712" s="353">
        <f t="shared" si="85"/>
        <v>0.61</v>
      </c>
      <c r="P712" s="353">
        <v>0.34620000000000001</v>
      </c>
      <c r="Q712" s="353">
        <v>0.69640000000000002</v>
      </c>
      <c r="R712" s="353">
        <v>0.6</v>
      </c>
      <c r="S712" s="353">
        <v>0.61</v>
      </c>
    </row>
    <row r="713" spans="1:19" s="78" customFormat="1">
      <c r="A713" s="77">
        <f t="shared" si="88"/>
        <v>59140</v>
      </c>
      <c r="B713" s="77">
        <f t="shared" si="87"/>
        <v>59504</v>
      </c>
      <c r="C713" s="86">
        <f t="shared" si="89"/>
        <v>0.28100000000000003</v>
      </c>
      <c r="D713" s="86">
        <f t="shared" si="89"/>
        <v>0.32600000000000001</v>
      </c>
      <c r="E713" s="86">
        <f t="shared" si="89"/>
        <v>6.0999999999999999E-2</v>
      </c>
      <c r="F713" s="86">
        <f t="shared" si="89"/>
        <v>2.5999999999999999E-2</v>
      </c>
      <c r="G713" s="87">
        <v>0.28100000000000003</v>
      </c>
      <c r="H713" s="87">
        <v>0.32600000000000001</v>
      </c>
      <c r="I713" s="87">
        <v>6.0999999999999999E-2</v>
      </c>
      <c r="J713" s="87">
        <v>2.5999999999999999E-2</v>
      </c>
      <c r="K713" s="76">
        <f>((9/3)*L710)+((3/3)*L722)</f>
        <v>67994</v>
      </c>
      <c r="L713" s="94"/>
      <c r="M713" s="353">
        <f t="shared" si="84"/>
        <v>0.6</v>
      </c>
      <c r="N713" s="353">
        <v>0.26</v>
      </c>
      <c r="O713" s="353">
        <f t="shared" si="85"/>
        <v>0.61</v>
      </c>
      <c r="P713" s="353">
        <v>0.34620000000000001</v>
      </c>
      <c r="Q713" s="353">
        <v>0.69640000000000002</v>
      </c>
      <c r="R713" s="353">
        <v>0.6</v>
      </c>
      <c r="S713" s="353">
        <v>0.61</v>
      </c>
    </row>
    <row r="714" spans="1:19" s="78" customFormat="1">
      <c r="A714" s="77">
        <f t="shared" si="88"/>
        <v>59171</v>
      </c>
      <c r="B714" s="77">
        <f t="shared" si="87"/>
        <v>59535</v>
      </c>
      <c r="C714" s="86">
        <f t="shared" si="89"/>
        <v>0.28100000000000003</v>
      </c>
      <c r="D714" s="86">
        <f t="shared" si="89"/>
        <v>0.32600000000000001</v>
      </c>
      <c r="E714" s="86">
        <f t="shared" si="89"/>
        <v>6.0999999999999999E-2</v>
      </c>
      <c r="F714" s="86">
        <f t="shared" si="89"/>
        <v>2.5999999999999999E-2</v>
      </c>
      <c r="G714" s="87">
        <v>0.28100000000000003</v>
      </c>
      <c r="H714" s="87">
        <v>0.32600000000000001</v>
      </c>
      <c r="I714" s="87">
        <v>6.0999999999999999E-2</v>
      </c>
      <c r="J714" s="87">
        <v>2.5999999999999999E-2</v>
      </c>
      <c r="K714" s="76">
        <f>((8/3)*L710)+((4/3)*L722)</f>
        <v>68274</v>
      </c>
      <c r="L714" s="94"/>
      <c r="M714" s="353">
        <f t="shared" si="84"/>
        <v>0.6</v>
      </c>
      <c r="N714" s="353">
        <v>0.26</v>
      </c>
      <c r="O714" s="353">
        <f t="shared" si="85"/>
        <v>0.61</v>
      </c>
      <c r="P714" s="353">
        <v>0.34620000000000001</v>
      </c>
      <c r="Q714" s="353">
        <v>0.69640000000000002</v>
      </c>
      <c r="R714" s="353">
        <v>0.6</v>
      </c>
      <c r="S714" s="353">
        <v>0.61</v>
      </c>
    </row>
    <row r="715" spans="1:19" s="78" customFormat="1">
      <c r="A715" s="77">
        <f t="shared" si="88"/>
        <v>59202</v>
      </c>
      <c r="B715" s="77">
        <f t="shared" si="87"/>
        <v>59566</v>
      </c>
      <c r="C715" s="86">
        <f t="shared" si="89"/>
        <v>0.28100000000000003</v>
      </c>
      <c r="D715" s="86">
        <f t="shared" si="89"/>
        <v>0.32600000000000001</v>
      </c>
      <c r="E715" s="86">
        <f t="shared" si="89"/>
        <v>6.0999999999999999E-2</v>
      </c>
      <c r="F715" s="86">
        <f t="shared" si="89"/>
        <v>2.5999999999999999E-2</v>
      </c>
      <c r="G715" s="87">
        <v>0.28100000000000003</v>
      </c>
      <c r="H715" s="87">
        <v>0.32600000000000001</v>
      </c>
      <c r="I715" s="87">
        <v>6.0999999999999999E-2</v>
      </c>
      <c r="J715" s="87">
        <v>2.5999999999999999E-2</v>
      </c>
      <c r="K715" s="76">
        <f>((7/3)*L710)+((5/3)*L722)</f>
        <v>68554</v>
      </c>
      <c r="L715" s="94"/>
      <c r="M715" s="353">
        <f t="shared" si="84"/>
        <v>0.6</v>
      </c>
      <c r="N715" s="353">
        <v>0.26</v>
      </c>
      <c r="O715" s="353">
        <f t="shared" si="85"/>
        <v>0.61</v>
      </c>
      <c r="P715" s="353">
        <v>0.34620000000000001</v>
      </c>
      <c r="Q715" s="353">
        <v>0.69640000000000002</v>
      </c>
      <c r="R715" s="353">
        <v>0.6</v>
      </c>
      <c r="S715" s="353">
        <v>0.61</v>
      </c>
    </row>
    <row r="716" spans="1:19" s="78" customFormat="1">
      <c r="A716" s="77">
        <f t="shared" si="88"/>
        <v>59230</v>
      </c>
      <c r="B716" s="77">
        <f t="shared" si="87"/>
        <v>59594</v>
      </c>
      <c r="C716" s="86">
        <f t="shared" si="89"/>
        <v>0.28100000000000003</v>
      </c>
      <c r="D716" s="86">
        <f t="shared" si="89"/>
        <v>0.32600000000000001</v>
      </c>
      <c r="E716" s="86">
        <f t="shared" si="89"/>
        <v>6.0999999999999999E-2</v>
      </c>
      <c r="F716" s="86">
        <f t="shared" si="89"/>
        <v>2.5999999999999999E-2</v>
      </c>
      <c r="G716" s="87">
        <v>0.28100000000000003</v>
      </c>
      <c r="H716" s="87">
        <v>0.32600000000000001</v>
      </c>
      <c r="I716" s="87">
        <v>6.0999999999999999E-2</v>
      </c>
      <c r="J716" s="87">
        <v>2.5999999999999999E-2</v>
      </c>
      <c r="K716" s="76">
        <f>((6/3)*L710)+((6/3)*L722)</f>
        <v>68834</v>
      </c>
      <c r="L716" s="94"/>
      <c r="M716" s="353">
        <f t="shared" si="84"/>
        <v>0.6</v>
      </c>
      <c r="N716" s="353">
        <v>0.26</v>
      </c>
      <c r="O716" s="353">
        <f t="shared" si="85"/>
        <v>0.61</v>
      </c>
      <c r="P716" s="353">
        <v>0.34620000000000001</v>
      </c>
      <c r="Q716" s="353">
        <v>0.69640000000000002</v>
      </c>
      <c r="R716" s="353">
        <v>0.6</v>
      </c>
      <c r="S716" s="353">
        <v>0.61</v>
      </c>
    </row>
    <row r="717" spans="1:19" s="78" customFormat="1">
      <c r="A717" s="77">
        <f t="shared" si="88"/>
        <v>59261</v>
      </c>
      <c r="B717" s="77">
        <f t="shared" si="87"/>
        <v>59625</v>
      </c>
      <c r="C717" s="86">
        <f t="shared" si="89"/>
        <v>0.28100000000000003</v>
      </c>
      <c r="D717" s="86">
        <f t="shared" si="89"/>
        <v>0.32600000000000001</v>
      </c>
      <c r="E717" s="86">
        <f t="shared" si="89"/>
        <v>6.0999999999999999E-2</v>
      </c>
      <c r="F717" s="86">
        <f t="shared" si="89"/>
        <v>2.5999999999999999E-2</v>
      </c>
      <c r="G717" s="87">
        <v>0.28100000000000003</v>
      </c>
      <c r="H717" s="87">
        <v>0.32600000000000001</v>
      </c>
      <c r="I717" s="87">
        <v>6.0999999999999999E-2</v>
      </c>
      <c r="J717" s="87">
        <v>2.5999999999999999E-2</v>
      </c>
      <c r="K717" s="76">
        <f>((5/3)*L710)+((7/3)*L722)</f>
        <v>69113</v>
      </c>
      <c r="L717" s="94"/>
      <c r="M717" s="353">
        <f t="shared" si="84"/>
        <v>0.6</v>
      </c>
      <c r="N717" s="353">
        <v>0.26</v>
      </c>
      <c r="O717" s="353">
        <f t="shared" si="85"/>
        <v>0.61</v>
      </c>
      <c r="P717" s="353">
        <v>0.34620000000000001</v>
      </c>
      <c r="Q717" s="353">
        <v>0.69640000000000002</v>
      </c>
      <c r="R717" s="353">
        <v>0.6</v>
      </c>
      <c r="S717" s="353">
        <v>0.61</v>
      </c>
    </row>
    <row r="718" spans="1:19" s="78" customFormat="1">
      <c r="A718" s="77">
        <f t="shared" si="88"/>
        <v>59291</v>
      </c>
      <c r="B718" s="77">
        <f t="shared" si="87"/>
        <v>59655</v>
      </c>
      <c r="C718" s="86">
        <f t="shared" si="89"/>
        <v>0.28100000000000003</v>
      </c>
      <c r="D718" s="86">
        <f t="shared" si="89"/>
        <v>0.32600000000000001</v>
      </c>
      <c r="E718" s="86">
        <f t="shared" si="89"/>
        <v>6.0999999999999999E-2</v>
      </c>
      <c r="F718" s="86">
        <f t="shared" si="89"/>
        <v>2.5999999999999999E-2</v>
      </c>
      <c r="G718" s="87">
        <v>0.28100000000000003</v>
      </c>
      <c r="H718" s="87">
        <v>0.32600000000000001</v>
      </c>
      <c r="I718" s="87">
        <v>6.0999999999999999E-2</v>
      </c>
      <c r="J718" s="87">
        <v>2.5999999999999999E-2</v>
      </c>
      <c r="K718" s="76">
        <f>((4/3)*L710)+((8/3)*L722)</f>
        <v>69393</v>
      </c>
      <c r="L718" s="94"/>
      <c r="M718" s="353">
        <f t="shared" si="84"/>
        <v>0.6</v>
      </c>
      <c r="N718" s="353">
        <v>0.26</v>
      </c>
      <c r="O718" s="353">
        <f t="shared" si="85"/>
        <v>0.61</v>
      </c>
      <c r="P718" s="353">
        <v>0.34620000000000001</v>
      </c>
      <c r="Q718" s="353">
        <v>0.69640000000000002</v>
      </c>
      <c r="R718" s="353">
        <v>0.6</v>
      </c>
      <c r="S718" s="353">
        <v>0.61</v>
      </c>
    </row>
    <row r="719" spans="1:19" s="78" customFormat="1">
      <c r="A719" s="77">
        <f t="shared" si="88"/>
        <v>59322</v>
      </c>
      <c r="B719" s="77">
        <f t="shared" si="87"/>
        <v>59686</v>
      </c>
      <c r="C719" s="86">
        <f t="shared" si="89"/>
        <v>0.28100000000000003</v>
      </c>
      <c r="D719" s="86">
        <f t="shared" si="89"/>
        <v>0.32600000000000001</v>
      </c>
      <c r="E719" s="86">
        <f t="shared" si="89"/>
        <v>6.0999999999999999E-2</v>
      </c>
      <c r="F719" s="86">
        <f t="shared" si="89"/>
        <v>2.5999999999999999E-2</v>
      </c>
      <c r="G719" s="87">
        <v>0.28100000000000003</v>
      </c>
      <c r="H719" s="87">
        <v>0.32600000000000001</v>
      </c>
      <c r="I719" s="87">
        <v>6.0999999999999999E-2</v>
      </c>
      <c r="J719" s="87">
        <v>2.5999999999999999E-2</v>
      </c>
      <c r="K719" s="76">
        <f>((3/3)*L710)+((9/3)*L722)</f>
        <v>69673</v>
      </c>
      <c r="L719" s="94"/>
      <c r="M719" s="353">
        <f t="shared" si="84"/>
        <v>0.6</v>
      </c>
      <c r="N719" s="353">
        <v>0.26</v>
      </c>
      <c r="O719" s="353">
        <f t="shared" si="85"/>
        <v>0.61</v>
      </c>
      <c r="P719" s="353">
        <v>0.34620000000000001</v>
      </c>
      <c r="Q719" s="353">
        <v>0.69640000000000002</v>
      </c>
      <c r="R719" s="353">
        <v>0.6</v>
      </c>
      <c r="S719" s="353">
        <v>0.61</v>
      </c>
    </row>
    <row r="720" spans="1:19" s="78" customFormat="1">
      <c r="A720" s="77">
        <f t="shared" si="88"/>
        <v>59352</v>
      </c>
      <c r="B720" s="77">
        <f t="shared" si="87"/>
        <v>59716</v>
      </c>
      <c r="C720" s="86">
        <f t="shared" si="89"/>
        <v>0.28100000000000003</v>
      </c>
      <c r="D720" s="86">
        <f t="shared" si="89"/>
        <v>0.32600000000000001</v>
      </c>
      <c r="E720" s="86">
        <f t="shared" si="89"/>
        <v>6.0999999999999999E-2</v>
      </c>
      <c r="F720" s="86">
        <f t="shared" si="89"/>
        <v>2.5999999999999999E-2</v>
      </c>
      <c r="G720" s="87">
        <v>0.28100000000000003</v>
      </c>
      <c r="H720" s="87">
        <v>0.32600000000000001</v>
      </c>
      <c r="I720" s="87">
        <v>6.0999999999999999E-2</v>
      </c>
      <c r="J720" s="87">
        <v>2.5999999999999999E-2</v>
      </c>
      <c r="K720" s="76">
        <f>((2/3)*L710)+((10/3)*L722)</f>
        <v>69953</v>
      </c>
      <c r="L720" s="94"/>
      <c r="M720" s="353">
        <f t="shared" si="84"/>
        <v>0.6</v>
      </c>
      <c r="N720" s="353">
        <v>0.26</v>
      </c>
      <c r="O720" s="353">
        <f t="shared" si="85"/>
        <v>0.61</v>
      </c>
      <c r="P720" s="353">
        <v>0.34620000000000001</v>
      </c>
      <c r="Q720" s="353">
        <v>0.69640000000000002</v>
      </c>
      <c r="R720" s="353">
        <v>0.6</v>
      </c>
      <c r="S720" s="353">
        <v>0.61</v>
      </c>
    </row>
    <row r="721" spans="1:19" s="78" customFormat="1">
      <c r="A721" s="77">
        <f t="shared" si="88"/>
        <v>59383</v>
      </c>
      <c r="B721" s="77">
        <f t="shared" si="87"/>
        <v>59747</v>
      </c>
      <c r="C721" s="86">
        <f t="shared" si="89"/>
        <v>0.28100000000000003</v>
      </c>
      <c r="D721" s="86">
        <f t="shared" si="89"/>
        <v>0.32600000000000001</v>
      </c>
      <c r="E721" s="86">
        <f t="shared" si="89"/>
        <v>6.0999999999999999E-2</v>
      </c>
      <c r="F721" s="86">
        <f t="shared" si="89"/>
        <v>2.5999999999999999E-2</v>
      </c>
      <c r="G721" s="87">
        <v>0.28100000000000003</v>
      </c>
      <c r="H721" s="87">
        <v>0.32600000000000001</v>
      </c>
      <c r="I721" s="87">
        <v>6.0999999999999999E-2</v>
      </c>
      <c r="J721" s="87">
        <v>2.5999999999999999E-2</v>
      </c>
      <c r="K721" s="76">
        <f>((1/3)*L710)+((11/3)*L722)</f>
        <v>70233</v>
      </c>
      <c r="L721" s="94"/>
      <c r="M721" s="353">
        <f t="shared" si="84"/>
        <v>0.6</v>
      </c>
      <c r="N721" s="353">
        <v>0.26</v>
      </c>
      <c r="O721" s="353">
        <f t="shared" si="85"/>
        <v>0.61</v>
      </c>
      <c r="P721" s="353">
        <v>0.34620000000000001</v>
      </c>
      <c r="Q721" s="353">
        <v>0.69640000000000002</v>
      </c>
      <c r="R721" s="353">
        <v>0.6</v>
      </c>
      <c r="S721" s="353">
        <v>0.61</v>
      </c>
    </row>
    <row r="722" spans="1:19">
      <c r="A722" s="19">
        <f t="shared" si="88"/>
        <v>59414</v>
      </c>
      <c r="B722" s="19">
        <f t="shared" si="87"/>
        <v>59778</v>
      </c>
      <c r="C722" s="84">
        <f t="shared" si="89"/>
        <v>0.28100000000000003</v>
      </c>
      <c r="D722" s="84">
        <f t="shared" si="89"/>
        <v>0.32600000000000001</v>
      </c>
      <c r="E722" s="84">
        <f t="shared" si="89"/>
        <v>6.0999999999999999E-2</v>
      </c>
      <c r="F722" s="84">
        <f t="shared" si="89"/>
        <v>2.5999999999999999E-2</v>
      </c>
      <c r="G722" s="85">
        <v>0.28100000000000003</v>
      </c>
      <c r="H722" s="85">
        <v>0.32600000000000001</v>
      </c>
      <c r="I722" s="85">
        <v>6.0999999999999999E-2</v>
      </c>
      <c r="J722" s="85">
        <v>2.5999999999999999E-2</v>
      </c>
      <c r="K722" s="25">
        <f>(L722*4)</f>
        <v>70512</v>
      </c>
      <c r="L722" s="93">
        <f>L710*1.05</f>
        <v>17628.09</v>
      </c>
      <c r="M722" s="80">
        <f t="shared" si="84"/>
        <v>0.6</v>
      </c>
      <c r="N722" s="80">
        <v>0.26</v>
      </c>
      <c r="O722" s="80">
        <f t="shared" si="85"/>
        <v>0.61</v>
      </c>
      <c r="P722" s="80">
        <v>0.34620000000000001</v>
      </c>
      <c r="Q722" s="80">
        <v>0.69640000000000002</v>
      </c>
      <c r="R722" s="80">
        <v>0.6</v>
      </c>
      <c r="S722" s="80">
        <v>0.61</v>
      </c>
    </row>
    <row r="723" spans="1:19">
      <c r="A723" s="19">
        <f t="shared" si="88"/>
        <v>59444</v>
      </c>
      <c r="B723" s="19">
        <f t="shared" si="87"/>
        <v>59808</v>
      </c>
      <c r="C723" s="84">
        <f t="shared" ref="C723:F738" si="90">AVERAGE(G723:G734)</f>
        <v>0.28100000000000003</v>
      </c>
      <c r="D723" s="84">
        <f t="shared" si="90"/>
        <v>0.32600000000000001</v>
      </c>
      <c r="E723" s="84">
        <f t="shared" si="90"/>
        <v>6.0999999999999999E-2</v>
      </c>
      <c r="F723" s="84">
        <f t="shared" si="90"/>
        <v>2.5999999999999999E-2</v>
      </c>
      <c r="G723" s="85">
        <v>0.28100000000000003</v>
      </c>
      <c r="H723" s="85">
        <v>0.32600000000000001</v>
      </c>
      <c r="I723" s="85">
        <v>6.0999999999999999E-2</v>
      </c>
      <c r="J723" s="85">
        <v>2.5999999999999999E-2</v>
      </c>
      <c r="K723" s="25">
        <f>((11/3)*L722)+((1/3)*L734)</f>
        <v>70806</v>
      </c>
      <c r="L723" s="93"/>
      <c r="M723" s="80">
        <f t="shared" si="84"/>
        <v>0.6</v>
      </c>
      <c r="N723" s="80">
        <v>0.26</v>
      </c>
      <c r="O723" s="80">
        <f t="shared" si="85"/>
        <v>0.61</v>
      </c>
      <c r="P723" s="80">
        <v>0.34620000000000001</v>
      </c>
      <c r="Q723" s="80">
        <v>0.69640000000000002</v>
      </c>
      <c r="R723" s="80">
        <v>0.6</v>
      </c>
      <c r="S723" s="80">
        <v>0.61</v>
      </c>
    </row>
    <row r="724" spans="1:19">
      <c r="A724" s="19">
        <f t="shared" si="88"/>
        <v>59475</v>
      </c>
      <c r="B724" s="19">
        <f t="shared" si="87"/>
        <v>59839</v>
      </c>
      <c r="C724" s="84">
        <f t="shared" si="90"/>
        <v>0.28100000000000003</v>
      </c>
      <c r="D724" s="84">
        <f t="shared" si="90"/>
        <v>0.32600000000000001</v>
      </c>
      <c r="E724" s="84">
        <f t="shared" si="90"/>
        <v>6.0999999999999999E-2</v>
      </c>
      <c r="F724" s="84">
        <f t="shared" si="90"/>
        <v>2.5999999999999999E-2</v>
      </c>
      <c r="G724" s="85">
        <v>0.28100000000000003</v>
      </c>
      <c r="H724" s="85">
        <v>0.32600000000000001</v>
      </c>
      <c r="I724" s="85">
        <v>6.0999999999999999E-2</v>
      </c>
      <c r="J724" s="85">
        <v>2.5999999999999999E-2</v>
      </c>
      <c r="K724" s="25">
        <f>((10/3)*L722)+((2/3)*L734)</f>
        <v>71100</v>
      </c>
      <c r="L724" s="93"/>
      <c r="M724" s="80">
        <f t="shared" si="84"/>
        <v>0.6</v>
      </c>
      <c r="N724" s="80">
        <v>0.26</v>
      </c>
      <c r="O724" s="80">
        <f t="shared" si="85"/>
        <v>0.61</v>
      </c>
      <c r="P724" s="80">
        <v>0.34620000000000001</v>
      </c>
      <c r="Q724" s="80">
        <v>0.69640000000000002</v>
      </c>
      <c r="R724" s="80">
        <v>0.6</v>
      </c>
      <c r="S724" s="80">
        <v>0.61</v>
      </c>
    </row>
    <row r="725" spans="1:19">
      <c r="A725" s="19">
        <f t="shared" si="88"/>
        <v>59505</v>
      </c>
      <c r="B725" s="19">
        <f t="shared" si="87"/>
        <v>59869</v>
      </c>
      <c r="C725" s="84">
        <f t="shared" si="90"/>
        <v>0.28100000000000003</v>
      </c>
      <c r="D725" s="84">
        <f t="shared" si="90"/>
        <v>0.32600000000000001</v>
      </c>
      <c r="E725" s="84">
        <f t="shared" si="90"/>
        <v>6.0999999999999999E-2</v>
      </c>
      <c r="F725" s="84">
        <f t="shared" si="90"/>
        <v>2.5999999999999999E-2</v>
      </c>
      <c r="G725" s="85">
        <v>0.28100000000000003</v>
      </c>
      <c r="H725" s="85">
        <v>0.32600000000000001</v>
      </c>
      <c r="I725" s="85">
        <v>6.0999999999999999E-2</v>
      </c>
      <c r="J725" s="85">
        <v>2.5999999999999999E-2</v>
      </c>
      <c r="K725" s="25">
        <f>((9/3)*L722)+((3/3)*L734)</f>
        <v>71394</v>
      </c>
      <c r="L725" s="93"/>
      <c r="M725" s="80">
        <f t="shared" si="84"/>
        <v>0.6</v>
      </c>
      <c r="N725" s="80">
        <v>0.26</v>
      </c>
      <c r="O725" s="80">
        <f t="shared" si="85"/>
        <v>0.61</v>
      </c>
      <c r="P725" s="80">
        <v>0.34620000000000001</v>
      </c>
      <c r="Q725" s="80">
        <v>0.69640000000000002</v>
      </c>
      <c r="R725" s="80">
        <v>0.6</v>
      </c>
      <c r="S725" s="80">
        <v>0.61</v>
      </c>
    </row>
    <row r="726" spans="1:19">
      <c r="A726" s="19">
        <f t="shared" si="88"/>
        <v>59536</v>
      </c>
      <c r="B726" s="19">
        <f t="shared" si="87"/>
        <v>59900</v>
      </c>
      <c r="C726" s="84">
        <f t="shared" si="90"/>
        <v>0.28100000000000003</v>
      </c>
      <c r="D726" s="84">
        <f t="shared" si="90"/>
        <v>0.32600000000000001</v>
      </c>
      <c r="E726" s="84">
        <f t="shared" si="90"/>
        <v>6.0999999999999999E-2</v>
      </c>
      <c r="F726" s="84">
        <f t="shared" si="90"/>
        <v>2.5999999999999999E-2</v>
      </c>
      <c r="G726" s="85">
        <v>0.28100000000000003</v>
      </c>
      <c r="H726" s="85">
        <v>0.32600000000000001</v>
      </c>
      <c r="I726" s="85">
        <v>6.0999999999999999E-2</v>
      </c>
      <c r="J726" s="85">
        <v>2.5999999999999999E-2</v>
      </c>
      <c r="K726" s="25">
        <f>((8/3)*L722)+((4/3)*L734)</f>
        <v>71688</v>
      </c>
      <c r="L726" s="93"/>
      <c r="M726" s="80">
        <f t="shared" si="84"/>
        <v>0.6</v>
      </c>
      <c r="N726" s="80">
        <v>0.26</v>
      </c>
      <c r="O726" s="80">
        <f t="shared" si="85"/>
        <v>0.61</v>
      </c>
      <c r="P726" s="80">
        <v>0.34620000000000001</v>
      </c>
      <c r="Q726" s="80">
        <v>0.69640000000000002</v>
      </c>
      <c r="R726" s="80">
        <v>0.6</v>
      </c>
      <c r="S726" s="80">
        <v>0.61</v>
      </c>
    </row>
    <row r="727" spans="1:19">
      <c r="A727" s="19">
        <f t="shared" si="88"/>
        <v>59567</v>
      </c>
      <c r="B727" s="19">
        <f t="shared" si="87"/>
        <v>59931</v>
      </c>
      <c r="C727" s="84">
        <f t="shared" si="90"/>
        <v>0.28100000000000003</v>
      </c>
      <c r="D727" s="84">
        <f t="shared" si="90"/>
        <v>0.32600000000000001</v>
      </c>
      <c r="E727" s="84">
        <f t="shared" si="90"/>
        <v>6.0999999999999999E-2</v>
      </c>
      <c r="F727" s="84">
        <f t="shared" si="90"/>
        <v>2.5999999999999999E-2</v>
      </c>
      <c r="G727" s="85">
        <v>0.28100000000000003</v>
      </c>
      <c r="H727" s="85">
        <v>0.32600000000000001</v>
      </c>
      <c r="I727" s="85">
        <v>6.0999999999999999E-2</v>
      </c>
      <c r="J727" s="85">
        <v>2.5999999999999999E-2</v>
      </c>
      <c r="K727" s="25">
        <f>((7/3)*L722)+((5/3)*L734)</f>
        <v>71981</v>
      </c>
      <c r="L727" s="93"/>
      <c r="M727" s="80">
        <f t="shared" si="84"/>
        <v>0.6</v>
      </c>
      <c r="N727" s="80">
        <v>0.26</v>
      </c>
      <c r="O727" s="80">
        <f t="shared" si="85"/>
        <v>0.61</v>
      </c>
      <c r="P727" s="80">
        <v>0.34620000000000001</v>
      </c>
      <c r="Q727" s="80">
        <v>0.69640000000000002</v>
      </c>
      <c r="R727" s="80">
        <v>0.6</v>
      </c>
      <c r="S727" s="80">
        <v>0.61</v>
      </c>
    </row>
    <row r="728" spans="1:19">
      <c r="A728" s="19">
        <f t="shared" si="88"/>
        <v>59595</v>
      </c>
      <c r="B728" s="19">
        <f t="shared" si="87"/>
        <v>59960</v>
      </c>
      <c r="C728" s="84">
        <f t="shared" si="90"/>
        <v>0.28100000000000003</v>
      </c>
      <c r="D728" s="84">
        <f t="shared" si="90"/>
        <v>0.32600000000000001</v>
      </c>
      <c r="E728" s="84">
        <f t="shared" si="90"/>
        <v>6.0999999999999999E-2</v>
      </c>
      <c r="F728" s="84">
        <f t="shared" si="90"/>
        <v>2.5999999999999999E-2</v>
      </c>
      <c r="G728" s="85">
        <v>0.28100000000000003</v>
      </c>
      <c r="H728" s="85">
        <v>0.32600000000000001</v>
      </c>
      <c r="I728" s="85">
        <v>6.0999999999999999E-2</v>
      </c>
      <c r="J728" s="85">
        <v>2.5999999999999999E-2</v>
      </c>
      <c r="K728" s="25">
        <f>((6/3)*L722)+((6/3)*L734)</f>
        <v>72275</v>
      </c>
      <c r="L728" s="93"/>
      <c r="M728" s="80">
        <f t="shared" si="84"/>
        <v>0.6</v>
      </c>
      <c r="N728" s="80">
        <v>0.26</v>
      </c>
      <c r="O728" s="80">
        <f t="shared" si="85"/>
        <v>0.61</v>
      </c>
      <c r="P728" s="80">
        <v>0.34620000000000001</v>
      </c>
      <c r="Q728" s="80">
        <v>0.69640000000000002</v>
      </c>
      <c r="R728" s="80">
        <v>0.6</v>
      </c>
      <c r="S728" s="80">
        <v>0.61</v>
      </c>
    </row>
    <row r="729" spans="1:19">
      <c r="A729" s="19">
        <f t="shared" si="88"/>
        <v>59626</v>
      </c>
      <c r="B729" s="19">
        <f t="shared" si="87"/>
        <v>59991</v>
      </c>
      <c r="C729" s="84">
        <f t="shared" si="90"/>
        <v>0.28100000000000003</v>
      </c>
      <c r="D729" s="84">
        <f t="shared" si="90"/>
        <v>0.32600000000000001</v>
      </c>
      <c r="E729" s="84">
        <f t="shared" si="90"/>
        <v>6.0999999999999999E-2</v>
      </c>
      <c r="F729" s="84">
        <f t="shared" si="90"/>
        <v>2.5999999999999999E-2</v>
      </c>
      <c r="G729" s="85">
        <v>0.28100000000000003</v>
      </c>
      <c r="H729" s="85">
        <v>0.32600000000000001</v>
      </c>
      <c r="I729" s="85">
        <v>6.0999999999999999E-2</v>
      </c>
      <c r="J729" s="85">
        <v>2.5999999999999999E-2</v>
      </c>
      <c r="K729" s="25">
        <f>((5/3)*L722)+((7/3)*L734)</f>
        <v>72569</v>
      </c>
      <c r="L729" s="93"/>
      <c r="M729" s="80">
        <f t="shared" si="84"/>
        <v>0.6</v>
      </c>
      <c r="N729" s="80">
        <v>0.26</v>
      </c>
      <c r="O729" s="80">
        <f t="shared" si="85"/>
        <v>0.61</v>
      </c>
      <c r="P729" s="80">
        <v>0.34620000000000001</v>
      </c>
      <c r="Q729" s="80">
        <v>0.69640000000000002</v>
      </c>
      <c r="R729" s="80">
        <v>0.6</v>
      </c>
      <c r="S729" s="80">
        <v>0.61</v>
      </c>
    </row>
    <row r="730" spans="1:19">
      <c r="A730" s="19">
        <f t="shared" si="88"/>
        <v>59656</v>
      </c>
      <c r="B730" s="19">
        <f t="shared" si="87"/>
        <v>60021</v>
      </c>
      <c r="C730" s="84">
        <f t="shared" si="90"/>
        <v>0.28100000000000003</v>
      </c>
      <c r="D730" s="84">
        <f t="shared" si="90"/>
        <v>0.32600000000000001</v>
      </c>
      <c r="E730" s="84">
        <f t="shared" si="90"/>
        <v>6.0999999999999999E-2</v>
      </c>
      <c r="F730" s="84">
        <f t="shared" si="90"/>
        <v>2.5999999999999999E-2</v>
      </c>
      <c r="G730" s="85">
        <v>0.28100000000000003</v>
      </c>
      <c r="H730" s="85">
        <v>0.32600000000000001</v>
      </c>
      <c r="I730" s="85">
        <v>6.0999999999999999E-2</v>
      </c>
      <c r="J730" s="85">
        <v>2.5999999999999999E-2</v>
      </c>
      <c r="K730" s="25">
        <f>((4/3)*L722)+((8/3)*L734)</f>
        <v>72863</v>
      </c>
      <c r="L730" s="93"/>
      <c r="M730" s="80">
        <f t="shared" si="84"/>
        <v>0.6</v>
      </c>
      <c r="N730" s="80">
        <v>0.26</v>
      </c>
      <c r="O730" s="80">
        <f t="shared" si="85"/>
        <v>0.61</v>
      </c>
      <c r="P730" s="80">
        <v>0.34620000000000001</v>
      </c>
      <c r="Q730" s="80">
        <v>0.69640000000000002</v>
      </c>
      <c r="R730" s="80">
        <v>0.6</v>
      </c>
      <c r="S730" s="80">
        <v>0.61</v>
      </c>
    </row>
    <row r="731" spans="1:19">
      <c r="A731" s="19">
        <f t="shared" si="88"/>
        <v>59687</v>
      </c>
      <c r="B731" s="19">
        <f t="shared" si="87"/>
        <v>60052</v>
      </c>
      <c r="C731" s="84">
        <f t="shared" si="90"/>
        <v>0.28100000000000003</v>
      </c>
      <c r="D731" s="84">
        <f t="shared" si="90"/>
        <v>0.32600000000000001</v>
      </c>
      <c r="E731" s="84">
        <f t="shared" si="90"/>
        <v>6.0999999999999999E-2</v>
      </c>
      <c r="F731" s="84">
        <f t="shared" si="90"/>
        <v>2.5999999999999999E-2</v>
      </c>
      <c r="G731" s="85">
        <v>0.28100000000000003</v>
      </c>
      <c r="H731" s="85">
        <v>0.32600000000000001</v>
      </c>
      <c r="I731" s="85">
        <v>6.0999999999999999E-2</v>
      </c>
      <c r="J731" s="85">
        <v>2.5999999999999999E-2</v>
      </c>
      <c r="K731" s="25">
        <f>((3/3)*L722)+((9/3)*L734)</f>
        <v>73157</v>
      </c>
      <c r="L731" s="93"/>
      <c r="M731" s="80">
        <f t="shared" si="84"/>
        <v>0.6</v>
      </c>
      <c r="N731" s="80">
        <v>0.26</v>
      </c>
      <c r="O731" s="80">
        <f t="shared" si="85"/>
        <v>0.61</v>
      </c>
      <c r="P731" s="80">
        <v>0.34620000000000001</v>
      </c>
      <c r="Q731" s="80">
        <v>0.69640000000000002</v>
      </c>
      <c r="R731" s="80">
        <v>0.6</v>
      </c>
      <c r="S731" s="80">
        <v>0.61</v>
      </c>
    </row>
    <row r="732" spans="1:19">
      <c r="A732" s="19">
        <f t="shared" si="88"/>
        <v>59717</v>
      </c>
      <c r="B732" s="19">
        <f t="shared" si="87"/>
        <v>60082</v>
      </c>
      <c r="C732" s="84">
        <f t="shared" si="90"/>
        <v>0.28100000000000003</v>
      </c>
      <c r="D732" s="84">
        <f t="shared" si="90"/>
        <v>0.32600000000000001</v>
      </c>
      <c r="E732" s="84">
        <f t="shared" si="90"/>
        <v>6.0999999999999999E-2</v>
      </c>
      <c r="F732" s="84">
        <f t="shared" si="90"/>
        <v>2.5999999999999999E-2</v>
      </c>
      <c r="G732" s="85">
        <v>0.28100000000000003</v>
      </c>
      <c r="H732" s="85">
        <v>0.32600000000000001</v>
      </c>
      <c r="I732" s="85">
        <v>6.0999999999999999E-2</v>
      </c>
      <c r="J732" s="85">
        <v>2.5999999999999999E-2</v>
      </c>
      <c r="K732" s="25">
        <f>((2/3)*L722)+((10/3)*L734)</f>
        <v>73450</v>
      </c>
      <c r="L732" s="93"/>
      <c r="M732" s="80">
        <f t="shared" si="84"/>
        <v>0.6</v>
      </c>
      <c r="N732" s="80">
        <v>0.26</v>
      </c>
      <c r="O732" s="80">
        <f t="shared" si="85"/>
        <v>0.61</v>
      </c>
      <c r="P732" s="80">
        <v>0.34620000000000001</v>
      </c>
      <c r="Q732" s="80">
        <v>0.69640000000000002</v>
      </c>
      <c r="R732" s="80">
        <v>0.6</v>
      </c>
      <c r="S732" s="80">
        <v>0.61</v>
      </c>
    </row>
    <row r="733" spans="1:19">
      <c r="A733" s="19">
        <f t="shared" si="88"/>
        <v>59748</v>
      </c>
      <c r="B733" s="19">
        <f t="shared" si="87"/>
        <v>60113</v>
      </c>
      <c r="C733" s="81">
        <f t="shared" si="90"/>
        <v>0.28100000000000003</v>
      </c>
      <c r="D733" s="81">
        <f t="shared" si="90"/>
        <v>0.32600000000000001</v>
      </c>
      <c r="E733" s="81">
        <f t="shared" si="90"/>
        <v>6.0999999999999999E-2</v>
      </c>
      <c r="F733" s="81">
        <f t="shared" si="90"/>
        <v>2.5999999999999999E-2</v>
      </c>
      <c r="G733" s="85">
        <v>0.28100000000000003</v>
      </c>
      <c r="H733" s="85">
        <v>0.32600000000000001</v>
      </c>
      <c r="I733" s="85">
        <v>6.0999999999999999E-2</v>
      </c>
      <c r="J733" s="85">
        <v>2.5999999999999999E-2</v>
      </c>
      <c r="K733" s="25">
        <f>((1/3)*L722)+((11/3)*L734)</f>
        <v>73744</v>
      </c>
      <c r="L733" s="93"/>
      <c r="M733" s="80">
        <f t="shared" si="84"/>
        <v>0.6</v>
      </c>
      <c r="N733" s="80">
        <v>0.26</v>
      </c>
      <c r="O733" s="80">
        <f t="shared" si="85"/>
        <v>0.61</v>
      </c>
      <c r="P733" s="80">
        <v>0.34620000000000001</v>
      </c>
      <c r="Q733" s="80">
        <v>0.69640000000000002</v>
      </c>
      <c r="R733" s="80">
        <v>0.6</v>
      </c>
      <c r="S733" s="80">
        <v>0.61</v>
      </c>
    </row>
    <row r="734" spans="1:19" s="78" customFormat="1">
      <c r="A734" s="77">
        <f t="shared" si="88"/>
        <v>59779</v>
      </c>
      <c r="B734" s="77">
        <f t="shared" si="87"/>
        <v>60144</v>
      </c>
      <c r="C734" s="86">
        <f t="shared" si="90"/>
        <v>0.28100000000000003</v>
      </c>
      <c r="D734" s="86">
        <f t="shared" si="90"/>
        <v>0.32600000000000001</v>
      </c>
      <c r="E734" s="86">
        <f t="shared" si="90"/>
        <v>6.0999999999999999E-2</v>
      </c>
      <c r="F734" s="86">
        <f t="shared" si="90"/>
        <v>2.5999999999999999E-2</v>
      </c>
      <c r="G734" s="87">
        <v>0.28100000000000003</v>
      </c>
      <c r="H734" s="87">
        <v>0.32600000000000001</v>
      </c>
      <c r="I734" s="87">
        <v>6.0999999999999999E-2</v>
      </c>
      <c r="J734" s="87">
        <v>2.5999999999999999E-2</v>
      </c>
      <c r="K734" s="76">
        <f>(L734*4)</f>
        <v>74038</v>
      </c>
      <c r="L734" s="94">
        <f>L722*1.05</f>
        <v>18509.490000000002</v>
      </c>
      <c r="M734" s="353">
        <f t="shared" si="84"/>
        <v>0.6</v>
      </c>
      <c r="N734" s="353">
        <v>0.26</v>
      </c>
      <c r="O734" s="353">
        <f t="shared" si="85"/>
        <v>0.61</v>
      </c>
      <c r="P734" s="353">
        <v>0.34620000000000001</v>
      </c>
      <c r="Q734" s="353">
        <v>0.69640000000000002</v>
      </c>
      <c r="R734" s="353">
        <v>0.6</v>
      </c>
      <c r="S734" s="353">
        <v>0.61</v>
      </c>
    </row>
    <row r="735" spans="1:19" s="78" customFormat="1">
      <c r="A735" s="77">
        <f t="shared" si="88"/>
        <v>59809</v>
      </c>
      <c r="B735" s="77">
        <f t="shared" si="87"/>
        <v>60174</v>
      </c>
      <c r="C735" s="86">
        <f t="shared" si="90"/>
        <v>0.2828</v>
      </c>
      <c r="D735" s="86">
        <f t="shared" si="90"/>
        <v>0.32600000000000001</v>
      </c>
      <c r="E735" s="86">
        <f t="shared" si="90"/>
        <v>6.13E-2</v>
      </c>
      <c r="F735" s="86">
        <f t="shared" si="90"/>
        <v>3.2199999999999999E-2</v>
      </c>
      <c r="G735" s="87">
        <v>0.28100000000000003</v>
      </c>
      <c r="H735" s="87">
        <v>0.32600000000000001</v>
      </c>
      <c r="I735" s="87">
        <v>6.0999999999999999E-2</v>
      </c>
      <c r="J735" s="87">
        <v>2.5999999999999999E-2</v>
      </c>
      <c r="K735" s="76">
        <f>((11/3)*L734)+((1/3)*L746)</f>
        <v>74346</v>
      </c>
      <c r="L735" s="94"/>
      <c r="M735" s="353">
        <f t="shared" si="84"/>
        <v>0.6</v>
      </c>
      <c r="N735" s="353">
        <v>0.26</v>
      </c>
      <c r="O735" s="353">
        <f t="shared" si="85"/>
        <v>0.61</v>
      </c>
      <c r="P735" s="353">
        <v>0.34620000000000001</v>
      </c>
      <c r="Q735" s="353">
        <v>0.69640000000000002</v>
      </c>
      <c r="R735" s="353">
        <v>0.6</v>
      </c>
      <c r="S735" s="353">
        <v>0.61</v>
      </c>
    </row>
    <row r="736" spans="1:19" s="78" customFormat="1">
      <c r="A736" s="77">
        <f t="shared" si="88"/>
        <v>59840</v>
      </c>
      <c r="B736" s="77">
        <f t="shared" si="87"/>
        <v>60205</v>
      </c>
      <c r="C736" s="86">
        <f t="shared" si="90"/>
        <v>0.28470000000000001</v>
      </c>
      <c r="D736" s="86">
        <f t="shared" si="90"/>
        <v>0.32600000000000001</v>
      </c>
      <c r="E736" s="86">
        <f t="shared" si="90"/>
        <v>6.1699999999999998E-2</v>
      </c>
      <c r="F736" s="86">
        <f t="shared" si="90"/>
        <v>3.8300000000000001E-2</v>
      </c>
      <c r="G736" s="87">
        <v>0.28100000000000003</v>
      </c>
      <c r="H736" s="87">
        <v>0.32600000000000001</v>
      </c>
      <c r="I736" s="87">
        <v>6.0999999999999999E-2</v>
      </c>
      <c r="J736" s="87">
        <v>2.5999999999999999E-2</v>
      </c>
      <c r="K736" s="76">
        <f>((10/3)*L734)+((2/3)*L746)</f>
        <v>74655</v>
      </c>
      <c r="L736" s="94"/>
      <c r="M736" s="353">
        <f t="shared" si="84"/>
        <v>0.6</v>
      </c>
      <c r="N736" s="353">
        <v>0.26</v>
      </c>
      <c r="O736" s="353">
        <f t="shared" si="85"/>
        <v>0.61</v>
      </c>
      <c r="P736" s="353">
        <v>0.34620000000000001</v>
      </c>
      <c r="Q736" s="353">
        <v>0.69640000000000002</v>
      </c>
      <c r="R736" s="353">
        <v>0.6</v>
      </c>
      <c r="S736" s="353">
        <v>0.61</v>
      </c>
    </row>
    <row r="737" spans="1:19" s="78" customFormat="1">
      <c r="A737" s="77">
        <f t="shared" si="88"/>
        <v>59870</v>
      </c>
      <c r="B737" s="77">
        <f t="shared" si="87"/>
        <v>60235</v>
      </c>
      <c r="C737" s="86">
        <f t="shared" si="90"/>
        <v>0.28649999999999998</v>
      </c>
      <c r="D737" s="86">
        <f t="shared" si="90"/>
        <v>0.32600000000000001</v>
      </c>
      <c r="E737" s="86">
        <f t="shared" si="90"/>
        <v>6.2E-2</v>
      </c>
      <c r="F737" s="86">
        <f t="shared" si="90"/>
        <v>4.4499999999999998E-2</v>
      </c>
      <c r="G737" s="87">
        <v>0.28100000000000003</v>
      </c>
      <c r="H737" s="87">
        <v>0.32600000000000001</v>
      </c>
      <c r="I737" s="87">
        <v>6.0999999999999999E-2</v>
      </c>
      <c r="J737" s="87">
        <v>2.5999999999999999E-2</v>
      </c>
      <c r="K737" s="76">
        <f>((9/3)*L734)+((3/3)*L746)</f>
        <v>74963</v>
      </c>
      <c r="L737" s="94"/>
      <c r="M737" s="353">
        <f t="shared" si="84"/>
        <v>0.6</v>
      </c>
      <c r="N737" s="353">
        <v>0.26</v>
      </c>
      <c r="O737" s="353">
        <f t="shared" si="85"/>
        <v>0.61</v>
      </c>
      <c r="P737" s="353">
        <v>0.34620000000000001</v>
      </c>
      <c r="Q737" s="353">
        <v>0.69640000000000002</v>
      </c>
      <c r="R737" s="353">
        <v>0.6</v>
      </c>
      <c r="S737" s="353">
        <v>0.61</v>
      </c>
    </row>
    <row r="738" spans="1:19" s="78" customFormat="1">
      <c r="A738" s="77">
        <f t="shared" si="88"/>
        <v>59901</v>
      </c>
      <c r="B738" s="77">
        <f t="shared" si="87"/>
        <v>60266</v>
      </c>
      <c r="C738" s="86">
        <f t="shared" si="90"/>
        <v>0.2883</v>
      </c>
      <c r="D738" s="86">
        <f t="shared" si="90"/>
        <v>0.32600000000000001</v>
      </c>
      <c r="E738" s="86">
        <f t="shared" si="90"/>
        <v>6.2300000000000001E-2</v>
      </c>
      <c r="F738" s="86">
        <f t="shared" si="90"/>
        <v>5.0700000000000002E-2</v>
      </c>
      <c r="G738" s="87">
        <v>0.28100000000000003</v>
      </c>
      <c r="H738" s="87">
        <v>0.32600000000000001</v>
      </c>
      <c r="I738" s="87">
        <v>6.0999999999999999E-2</v>
      </c>
      <c r="J738" s="87">
        <v>2.5999999999999999E-2</v>
      </c>
      <c r="K738" s="76">
        <f>((8/3)*L734)+((4/3)*L746)</f>
        <v>75272</v>
      </c>
      <c r="L738" s="94"/>
      <c r="M738" s="353">
        <f t="shared" si="84"/>
        <v>0.6</v>
      </c>
      <c r="N738" s="353">
        <v>0.26</v>
      </c>
      <c r="O738" s="353">
        <f t="shared" si="85"/>
        <v>0.61</v>
      </c>
      <c r="P738" s="353">
        <v>0.34620000000000001</v>
      </c>
      <c r="Q738" s="353">
        <v>0.69640000000000002</v>
      </c>
      <c r="R738" s="353">
        <v>0.6</v>
      </c>
      <c r="S738" s="353">
        <v>0.61</v>
      </c>
    </row>
    <row r="739" spans="1:19" s="78" customFormat="1">
      <c r="A739" s="77">
        <f t="shared" si="88"/>
        <v>59932</v>
      </c>
      <c r="B739" s="77">
        <f t="shared" si="87"/>
        <v>60297</v>
      </c>
      <c r="C739" s="86">
        <f t="shared" ref="C739:F754" si="91">AVERAGE(G739:G750)</f>
        <v>0.29020000000000001</v>
      </c>
      <c r="D739" s="86">
        <f t="shared" si="91"/>
        <v>0.32600000000000001</v>
      </c>
      <c r="E739" s="86">
        <f t="shared" si="91"/>
        <v>6.2700000000000006E-2</v>
      </c>
      <c r="F739" s="86">
        <f t="shared" si="91"/>
        <v>5.6800000000000003E-2</v>
      </c>
      <c r="G739" s="87">
        <v>0.28100000000000003</v>
      </c>
      <c r="H739" s="87">
        <v>0.32600000000000001</v>
      </c>
      <c r="I739" s="87">
        <v>6.0999999999999999E-2</v>
      </c>
      <c r="J739" s="87">
        <v>2.5999999999999999E-2</v>
      </c>
      <c r="K739" s="76">
        <f>((7/3)*L734)+((5/3)*L746)</f>
        <v>75580</v>
      </c>
      <c r="L739" s="94"/>
      <c r="M739" s="353">
        <f t="shared" si="84"/>
        <v>0.6</v>
      </c>
      <c r="N739" s="353">
        <v>0.26</v>
      </c>
      <c r="O739" s="353">
        <f t="shared" si="85"/>
        <v>0.61</v>
      </c>
      <c r="P739" s="353">
        <v>0.34620000000000001</v>
      </c>
      <c r="Q739" s="353">
        <v>0.69640000000000002</v>
      </c>
      <c r="R739" s="353">
        <v>0.6</v>
      </c>
      <c r="S739" s="353">
        <v>0.61</v>
      </c>
    </row>
    <row r="740" spans="1:19" s="78" customFormat="1">
      <c r="A740" s="77">
        <f t="shared" si="88"/>
        <v>59961</v>
      </c>
      <c r="B740" s="77">
        <f t="shared" si="87"/>
        <v>60325</v>
      </c>
      <c r="C740" s="86">
        <f t="shared" si="91"/>
        <v>0.29199999999999998</v>
      </c>
      <c r="D740" s="86">
        <f t="shared" si="91"/>
        <v>0.32600000000000001</v>
      </c>
      <c r="E740" s="86">
        <f t="shared" si="91"/>
        <v>6.3E-2</v>
      </c>
      <c r="F740" s="86">
        <f t="shared" si="91"/>
        <v>6.3E-2</v>
      </c>
      <c r="G740" s="87">
        <v>0.28100000000000003</v>
      </c>
      <c r="H740" s="87">
        <v>0.32600000000000001</v>
      </c>
      <c r="I740" s="87">
        <v>6.0999999999999999E-2</v>
      </c>
      <c r="J740" s="87">
        <v>2.5999999999999999E-2</v>
      </c>
      <c r="K740" s="76">
        <f>((6/3)*L734)+((6/3)*L746)</f>
        <v>75889</v>
      </c>
      <c r="L740" s="94"/>
      <c r="M740" s="353">
        <f t="shared" si="84"/>
        <v>0.6</v>
      </c>
      <c r="N740" s="353">
        <v>0.26</v>
      </c>
      <c r="O740" s="353">
        <f t="shared" si="85"/>
        <v>0.61</v>
      </c>
      <c r="P740" s="353">
        <v>0.34620000000000001</v>
      </c>
      <c r="Q740" s="353">
        <v>0.69640000000000002</v>
      </c>
      <c r="R740" s="353">
        <v>0.6</v>
      </c>
      <c r="S740" s="353">
        <v>0.61</v>
      </c>
    </row>
    <row r="741" spans="1:19" s="78" customFormat="1">
      <c r="A741" s="77">
        <f t="shared" si="88"/>
        <v>59992</v>
      </c>
      <c r="B741" s="77">
        <f t="shared" si="87"/>
        <v>60356</v>
      </c>
      <c r="C741" s="86">
        <f t="shared" si="91"/>
        <v>0.29380000000000001</v>
      </c>
      <c r="D741" s="86">
        <f t="shared" si="91"/>
        <v>0.32600000000000001</v>
      </c>
      <c r="E741" s="86">
        <f t="shared" si="91"/>
        <v>6.3299999999999995E-2</v>
      </c>
      <c r="F741" s="86">
        <f t="shared" si="91"/>
        <v>6.9199999999999998E-2</v>
      </c>
      <c r="G741" s="87">
        <v>0.28100000000000003</v>
      </c>
      <c r="H741" s="87">
        <v>0.32600000000000001</v>
      </c>
      <c r="I741" s="87">
        <v>6.0999999999999999E-2</v>
      </c>
      <c r="J741" s="87">
        <v>2.5999999999999999E-2</v>
      </c>
      <c r="K741" s="76">
        <f>((5/3)*L734)+((7/3)*L746)</f>
        <v>76197</v>
      </c>
      <c r="L741" s="94"/>
      <c r="M741" s="353">
        <f t="shared" si="84"/>
        <v>0.6</v>
      </c>
      <c r="N741" s="353">
        <v>0.26</v>
      </c>
      <c r="O741" s="353">
        <f t="shared" si="85"/>
        <v>0.61</v>
      </c>
      <c r="P741" s="353">
        <v>0.34620000000000001</v>
      </c>
      <c r="Q741" s="353">
        <v>0.69640000000000002</v>
      </c>
      <c r="R741" s="353">
        <v>0.6</v>
      </c>
      <c r="S741" s="353">
        <v>0.61</v>
      </c>
    </row>
    <row r="742" spans="1:19" s="78" customFormat="1">
      <c r="A742" s="77">
        <f t="shared" si="88"/>
        <v>60022</v>
      </c>
      <c r="B742" s="77">
        <f t="shared" si="87"/>
        <v>60386</v>
      </c>
      <c r="C742" s="86">
        <f t="shared" si="91"/>
        <v>0.29570000000000002</v>
      </c>
      <c r="D742" s="86">
        <f t="shared" si="91"/>
        <v>0.32600000000000001</v>
      </c>
      <c r="E742" s="86">
        <f t="shared" si="91"/>
        <v>6.3700000000000007E-2</v>
      </c>
      <c r="F742" s="86">
        <f t="shared" si="91"/>
        <v>7.5300000000000006E-2</v>
      </c>
      <c r="G742" s="87">
        <v>0.28100000000000003</v>
      </c>
      <c r="H742" s="87">
        <v>0.32600000000000001</v>
      </c>
      <c r="I742" s="87">
        <v>6.0999999999999999E-2</v>
      </c>
      <c r="J742" s="87">
        <v>2.5999999999999999E-2</v>
      </c>
      <c r="K742" s="76">
        <f>((4/3)*L734)+((8/3)*L746)</f>
        <v>76506</v>
      </c>
      <c r="L742" s="94"/>
      <c r="M742" s="353">
        <f t="shared" si="84"/>
        <v>0.6</v>
      </c>
      <c r="N742" s="353">
        <v>0.26</v>
      </c>
      <c r="O742" s="353">
        <f t="shared" si="85"/>
        <v>0.61</v>
      </c>
      <c r="P742" s="353">
        <v>0.34620000000000001</v>
      </c>
      <c r="Q742" s="353">
        <v>0.69640000000000002</v>
      </c>
      <c r="R742" s="353">
        <v>0.6</v>
      </c>
      <c r="S742" s="353">
        <v>0.61</v>
      </c>
    </row>
    <row r="743" spans="1:19" s="78" customFormat="1">
      <c r="A743" s="77">
        <f t="shared" si="88"/>
        <v>60053</v>
      </c>
      <c r="B743" s="77">
        <f t="shared" si="87"/>
        <v>60417</v>
      </c>
      <c r="C743" s="86">
        <f t="shared" si="91"/>
        <v>0.29749999999999999</v>
      </c>
      <c r="D743" s="86">
        <f t="shared" si="91"/>
        <v>0.32600000000000001</v>
      </c>
      <c r="E743" s="86">
        <f t="shared" si="91"/>
        <v>6.4000000000000001E-2</v>
      </c>
      <c r="F743" s="86">
        <f t="shared" si="91"/>
        <v>8.1500000000000003E-2</v>
      </c>
      <c r="G743" s="87">
        <v>0.28100000000000003</v>
      </c>
      <c r="H743" s="87">
        <v>0.32600000000000001</v>
      </c>
      <c r="I743" s="87">
        <v>6.0999999999999999E-2</v>
      </c>
      <c r="J743" s="87">
        <v>2.5999999999999999E-2</v>
      </c>
      <c r="K743" s="76">
        <f>((3/3)*L734)+((9/3)*L746)</f>
        <v>76814</v>
      </c>
      <c r="L743" s="94"/>
      <c r="M743" s="353">
        <f t="shared" si="84"/>
        <v>0.6</v>
      </c>
      <c r="N743" s="353">
        <v>0.26</v>
      </c>
      <c r="O743" s="353">
        <f t="shared" si="85"/>
        <v>0.61</v>
      </c>
      <c r="P743" s="353">
        <v>0.34620000000000001</v>
      </c>
      <c r="Q743" s="353">
        <v>0.69640000000000002</v>
      </c>
      <c r="R743" s="353">
        <v>0.6</v>
      </c>
      <c r="S743" s="353">
        <v>0.61</v>
      </c>
    </row>
    <row r="744" spans="1:19" s="78" customFormat="1">
      <c r="A744" s="77">
        <f t="shared" si="88"/>
        <v>60083</v>
      </c>
      <c r="B744" s="77">
        <f t="shared" si="87"/>
        <v>60447</v>
      </c>
      <c r="C744" s="86">
        <f t="shared" si="91"/>
        <v>0.29930000000000001</v>
      </c>
      <c r="D744" s="86">
        <f t="shared" si="91"/>
        <v>0.32600000000000001</v>
      </c>
      <c r="E744" s="86">
        <f t="shared" si="91"/>
        <v>6.4299999999999996E-2</v>
      </c>
      <c r="F744" s="86">
        <f t="shared" si="91"/>
        <v>8.77E-2</v>
      </c>
      <c r="G744" s="87">
        <v>0.28100000000000003</v>
      </c>
      <c r="H744" s="87">
        <v>0.32600000000000001</v>
      </c>
      <c r="I744" s="87">
        <v>6.0999999999999999E-2</v>
      </c>
      <c r="J744" s="87">
        <v>2.5999999999999999E-2</v>
      </c>
      <c r="K744" s="76">
        <f>((2/3)*L734)+((10/3)*L746)</f>
        <v>77123</v>
      </c>
      <c r="L744" s="94"/>
      <c r="M744" s="353">
        <f t="shared" si="84"/>
        <v>0.6</v>
      </c>
      <c r="N744" s="353">
        <v>0.26</v>
      </c>
      <c r="O744" s="353">
        <f t="shared" si="85"/>
        <v>0.61</v>
      </c>
      <c r="P744" s="353">
        <v>0.34620000000000001</v>
      </c>
      <c r="Q744" s="353">
        <v>0.69640000000000002</v>
      </c>
      <c r="R744" s="353">
        <v>0.6</v>
      </c>
      <c r="S744" s="353">
        <v>0.61</v>
      </c>
    </row>
    <row r="745" spans="1:19" s="78" customFormat="1">
      <c r="A745" s="77">
        <f t="shared" si="88"/>
        <v>60114</v>
      </c>
      <c r="B745" s="77">
        <f t="shared" si="87"/>
        <v>60478</v>
      </c>
      <c r="C745" s="86">
        <f t="shared" si="91"/>
        <v>0.30120000000000002</v>
      </c>
      <c r="D745" s="86">
        <f t="shared" si="91"/>
        <v>0.32600000000000001</v>
      </c>
      <c r="E745" s="86">
        <f t="shared" si="91"/>
        <v>6.4699999999999994E-2</v>
      </c>
      <c r="F745" s="86">
        <f t="shared" si="91"/>
        <v>9.3799999999999994E-2</v>
      </c>
      <c r="G745" s="87">
        <v>0.28100000000000003</v>
      </c>
      <c r="H745" s="87">
        <v>0.32600000000000001</v>
      </c>
      <c r="I745" s="87">
        <v>6.0999999999999999E-2</v>
      </c>
      <c r="J745" s="87">
        <v>2.5999999999999999E-2</v>
      </c>
      <c r="K745" s="76">
        <f>((1/3)*L734)+((11/3)*L746)</f>
        <v>77431</v>
      </c>
      <c r="L745" s="94"/>
      <c r="M745" s="353">
        <f t="shared" si="84"/>
        <v>0.6</v>
      </c>
      <c r="N745" s="353">
        <v>0.26</v>
      </c>
      <c r="O745" s="353">
        <f t="shared" si="85"/>
        <v>0.61</v>
      </c>
      <c r="P745" s="353">
        <v>0.34620000000000001</v>
      </c>
      <c r="Q745" s="353">
        <v>0.69640000000000002</v>
      </c>
      <c r="R745" s="353">
        <v>0.6</v>
      </c>
      <c r="S745" s="353">
        <v>0.61</v>
      </c>
    </row>
    <row r="746" spans="1:19">
      <c r="A746" s="19">
        <f t="shared" si="88"/>
        <v>60145</v>
      </c>
      <c r="B746" s="19">
        <f t="shared" si="87"/>
        <v>60509</v>
      </c>
      <c r="C746" s="84">
        <f t="shared" si="91"/>
        <v>0.30299999999999999</v>
      </c>
      <c r="D746" s="84">
        <f t="shared" si="91"/>
        <v>0.32600000000000001</v>
      </c>
      <c r="E746" s="84">
        <f t="shared" si="91"/>
        <v>6.5000000000000002E-2</v>
      </c>
      <c r="F746" s="84">
        <f t="shared" si="91"/>
        <v>0.1</v>
      </c>
      <c r="G746" s="85">
        <v>0.30299999999999999</v>
      </c>
      <c r="H746" s="85">
        <v>0.32600000000000001</v>
      </c>
      <c r="I746" s="85">
        <v>6.5000000000000002E-2</v>
      </c>
      <c r="J746" s="85">
        <v>0.1</v>
      </c>
      <c r="K746" s="25">
        <f>(L746*4)</f>
        <v>77740</v>
      </c>
      <c r="L746" s="93">
        <f>L734*1.05</f>
        <v>19434.96</v>
      </c>
      <c r="M746" s="80">
        <f t="shared" si="84"/>
        <v>0.6</v>
      </c>
      <c r="N746" s="80">
        <v>0.26</v>
      </c>
      <c r="O746" s="80">
        <f t="shared" si="85"/>
        <v>0.61</v>
      </c>
      <c r="P746" s="80">
        <v>0.34620000000000001</v>
      </c>
      <c r="Q746" s="80">
        <v>0.69640000000000002</v>
      </c>
      <c r="R746" s="80">
        <v>0.6</v>
      </c>
      <c r="S746" s="80">
        <v>0.61</v>
      </c>
    </row>
    <row r="747" spans="1:19">
      <c r="A747" s="19">
        <f t="shared" si="88"/>
        <v>60175</v>
      </c>
      <c r="B747" s="19">
        <f t="shared" si="87"/>
        <v>60539</v>
      </c>
      <c r="C747" s="84">
        <f t="shared" si="91"/>
        <v>0.30299999999999999</v>
      </c>
      <c r="D747" s="84">
        <f t="shared" si="91"/>
        <v>0.32600000000000001</v>
      </c>
      <c r="E747" s="84">
        <f t="shared" si="91"/>
        <v>6.5000000000000002E-2</v>
      </c>
      <c r="F747" s="84">
        <f t="shared" si="91"/>
        <v>0.1</v>
      </c>
      <c r="G747" s="85">
        <v>0.30299999999999999</v>
      </c>
      <c r="H747" s="85">
        <v>0.32600000000000001</v>
      </c>
      <c r="I747" s="85">
        <v>6.5000000000000002E-2</v>
      </c>
      <c r="J747" s="85">
        <v>0.1</v>
      </c>
      <c r="K747" s="25">
        <f>((11/3)*L746)+((1/3)*L758)</f>
        <v>78064</v>
      </c>
      <c r="L747" s="93"/>
      <c r="M747" s="80">
        <f t="shared" si="84"/>
        <v>0.6</v>
      </c>
      <c r="N747" s="80">
        <v>0.26</v>
      </c>
      <c r="O747" s="80">
        <f t="shared" si="85"/>
        <v>0.61</v>
      </c>
      <c r="P747" s="80">
        <v>0.34620000000000001</v>
      </c>
      <c r="Q747" s="80">
        <v>0.69640000000000002</v>
      </c>
      <c r="R747" s="80">
        <v>0.6</v>
      </c>
      <c r="S747" s="80">
        <v>0.61</v>
      </c>
    </row>
    <row r="748" spans="1:19">
      <c r="A748" s="19">
        <f t="shared" si="88"/>
        <v>60206</v>
      </c>
      <c r="B748" s="19">
        <f t="shared" si="87"/>
        <v>60570</v>
      </c>
      <c r="C748" s="84">
        <f t="shared" si="91"/>
        <v>0.30299999999999999</v>
      </c>
      <c r="D748" s="84">
        <f t="shared" si="91"/>
        <v>0.32600000000000001</v>
      </c>
      <c r="E748" s="84">
        <f t="shared" si="91"/>
        <v>6.5000000000000002E-2</v>
      </c>
      <c r="F748" s="84">
        <f t="shared" si="91"/>
        <v>0.1</v>
      </c>
      <c r="G748" s="85">
        <v>0.30299999999999999</v>
      </c>
      <c r="H748" s="85">
        <v>0.32600000000000001</v>
      </c>
      <c r="I748" s="85">
        <v>6.5000000000000002E-2</v>
      </c>
      <c r="J748" s="85">
        <v>0.1</v>
      </c>
      <c r="K748" s="25">
        <f>((10/3)*L746)+((2/3)*L758)</f>
        <v>78388</v>
      </c>
      <c r="L748" s="93"/>
      <c r="M748" s="80">
        <f t="shared" si="84"/>
        <v>0.6</v>
      </c>
      <c r="N748" s="80">
        <v>0.26</v>
      </c>
      <c r="O748" s="80">
        <f t="shared" si="85"/>
        <v>0.61</v>
      </c>
      <c r="P748" s="80">
        <v>0.34620000000000001</v>
      </c>
      <c r="Q748" s="80">
        <v>0.69640000000000002</v>
      </c>
      <c r="R748" s="80">
        <v>0.6</v>
      </c>
      <c r="S748" s="80">
        <v>0.61</v>
      </c>
    </row>
    <row r="749" spans="1:19">
      <c r="A749" s="19">
        <f t="shared" si="88"/>
        <v>60236</v>
      </c>
      <c r="B749" s="19">
        <f t="shared" si="87"/>
        <v>60600</v>
      </c>
      <c r="C749" s="84">
        <f t="shared" si="91"/>
        <v>0.30299999999999999</v>
      </c>
      <c r="D749" s="84">
        <f t="shared" si="91"/>
        <v>0.32600000000000001</v>
      </c>
      <c r="E749" s="84">
        <f t="shared" si="91"/>
        <v>6.5000000000000002E-2</v>
      </c>
      <c r="F749" s="84">
        <f t="shared" si="91"/>
        <v>0.1</v>
      </c>
      <c r="G749" s="85">
        <v>0.30299999999999999</v>
      </c>
      <c r="H749" s="85">
        <v>0.32600000000000001</v>
      </c>
      <c r="I749" s="85">
        <v>6.5000000000000002E-2</v>
      </c>
      <c r="J749" s="85">
        <v>0.1</v>
      </c>
      <c r="K749" s="25">
        <f>((9/3)*L746)+((3/3)*L758)</f>
        <v>78712</v>
      </c>
      <c r="L749" s="93"/>
      <c r="M749" s="80">
        <f t="shared" si="84"/>
        <v>0.6</v>
      </c>
      <c r="N749" s="80">
        <v>0.26</v>
      </c>
      <c r="O749" s="80">
        <f t="shared" si="85"/>
        <v>0.61</v>
      </c>
      <c r="P749" s="80">
        <v>0.34620000000000001</v>
      </c>
      <c r="Q749" s="80">
        <v>0.69640000000000002</v>
      </c>
      <c r="R749" s="80">
        <v>0.6</v>
      </c>
      <c r="S749" s="80">
        <v>0.61</v>
      </c>
    </row>
    <row r="750" spans="1:19">
      <c r="A750" s="19">
        <f t="shared" si="88"/>
        <v>60267</v>
      </c>
      <c r="B750" s="19">
        <f t="shared" si="87"/>
        <v>60631</v>
      </c>
      <c r="C750" s="84">
        <f t="shared" si="91"/>
        <v>0.30299999999999999</v>
      </c>
      <c r="D750" s="84">
        <f t="shared" si="91"/>
        <v>0.32600000000000001</v>
      </c>
      <c r="E750" s="84">
        <f t="shared" si="91"/>
        <v>6.5000000000000002E-2</v>
      </c>
      <c r="F750" s="84">
        <f t="shared" si="91"/>
        <v>0.1</v>
      </c>
      <c r="G750" s="85">
        <v>0.30299999999999999</v>
      </c>
      <c r="H750" s="85">
        <v>0.32600000000000001</v>
      </c>
      <c r="I750" s="85">
        <v>6.5000000000000002E-2</v>
      </c>
      <c r="J750" s="85">
        <v>0.1</v>
      </c>
      <c r="K750" s="25">
        <f>((8/3)*L746)+((4/3)*L758)</f>
        <v>79036</v>
      </c>
      <c r="L750" s="93"/>
      <c r="M750" s="80">
        <f t="shared" si="84"/>
        <v>0.6</v>
      </c>
      <c r="N750" s="80">
        <v>0.26</v>
      </c>
      <c r="O750" s="80">
        <f t="shared" si="85"/>
        <v>0.61</v>
      </c>
      <c r="P750" s="80">
        <v>0.34620000000000001</v>
      </c>
      <c r="Q750" s="80">
        <v>0.69640000000000002</v>
      </c>
      <c r="R750" s="80">
        <v>0.6</v>
      </c>
      <c r="S750" s="80">
        <v>0.61</v>
      </c>
    </row>
    <row r="751" spans="1:19">
      <c r="A751" s="19">
        <f t="shared" si="88"/>
        <v>60298</v>
      </c>
      <c r="B751" s="19">
        <f t="shared" si="87"/>
        <v>60662</v>
      </c>
      <c r="C751" s="84">
        <f t="shared" si="91"/>
        <v>0.30299999999999999</v>
      </c>
      <c r="D751" s="84">
        <f t="shared" si="91"/>
        <v>0.32600000000000001</v>
      </c>
      <c r="E751" s="84">
        <f t="shared" si="91"/>
        <v>6.5000000000000002E-2</v>
      </c>
      <c r="F751" s="84">
        <f t="shared" si="91"/>
        <v>0.1</v>
      </c>
      <c r="G751" s="85">
        <v>0.30299999999999999</v>
      </c>
      <c r="H751" s="85">
        <v>0.32600000000000001</v>
      </c>
      <c r="I751" s="85">
        <v>6.5000000000000002E-2</v>
      </c>
      <c r="J751" s="85">
        <v>0.1</v>
      </c>
      <c r="K751" s="25">
        <f>((7/3)*L746)+((5/3)*L758)</f>
        <v>79359</v>
      </c>
      <c r="L751" s="93"/>
      <c r="M751" s="80">
        <f t="shared" ref="M751:M805" si="92">AVERAGE(R751:R762)</f>
        <v>0.6</v>
      </c>
      <c r="N751" s="80">
        <v>0.26</v>
      </c>
      <c r="O751" s="80">
        <f t="shared" ref="O751:O805" si="93">AVERAGE(S751:S762)</f>
        <v>0.61</v>
      </c>
      <c r="P751" s="80">
        <v>0.34620000000000001</v>
      </c>
      <c r="Q751" s="80">
        <v>0.69640000000000002</v>
      </c>
      <c r="R751" s="80">
        <v>0.6</v>
      </c>
      <c r="S751" s="80">
        <v>0.61</v>
      </c>
    </row>
    <row r="752" spans="1:19">
      <c r="A752" s="19">
        <f t="shared" si="88"/>
        <v>60326</v>
      </c>
      <c r="B752" s="19">
        <f t="shared" si="87"/>
        <v>60690</v>
      </c>
      <c r="C752" s="84">
        <f t="shared" si="91"/>
        <v>0.30299999999999999</v>
      </c>
      <c r="D752" s="84">
        <f t="shared" si="91"/>
        <v>0.32600000000000001</v>
      </c>
      <c r="E752" s="84">
        <f t="shared" si="91"/>
        <v>6.5000000000000002E-2</v>
      </c>
      <c r="F752" s="84">
        <f t="shared" si="91"/>
        <v>0.1</v>
      </c>
      <c r="G752" s="85">
        <v>0.30299999999999999</v>
      </c>
      <c r="H752" s="85">
        <v>0.32600000000000001</v>
      </c>
      <c r="I752" s="85">
        <v>6.5000000000000002E-2</v>
      </c>
      <c r="J752" s="85">
        <v>0.1</v>
      </c>
      <c r="K752" s="25">
        <f>((6/3)*L746)+((6/3)*L758)</f>
        <v>79683</v>
      </c>
      <c r="L752" s="93"/>
      <c r="M752" s="80">
        <f t="shared" si="92"/>
        <v>0.6</v>
      </c>
      <c r="N752" s="80">
        <v>0.26</v>
      </c>
      <c r="O752" s="80">
        <f t="shared" si="93"/>
        <v>0.61</v>
      </c>
      <c r="P752" s="80">
        <v>0.34620000000000001</v>
      </c>
      <c r="Q752" s="80">
        <v>0.69640000000000002</v>
      </c>
      <c r="R752" s="80">
        <v>0.6</v>
      </c>
      <c r="S752" s="80">
        <v>0.61</v>
      </c>
    </row>
    <row r="753" spans="1:19">
      <c r="A753" s="19">
        <f t="shared" si="88"/>
        <v>60357</v>
      </c>
      <c r="B753" s="19">
        <f t="shared" si="87"/>
        <v>60721</v>
      </c>
      <c r="C753" s="84">
        <f t="shared" si="91"/>
        <v>0.30299999999999999</v>
      </c>
      <c r="D753" s="84">
        <f t="shared" si="91"/>
        <v>0.32600000000000001</v>
      </c>
      <c r="E753" s="84">
        <f t="shared" si="91"/>
        <v>6.5000000000000002E-2</v>
      </c>
      <c r="F753" s="84">
        <f t="shared" si="91"/>
        <v>0.1</v>
      </c>
      <c r="G753" s="85">
        <v>0.30299999999999999</v>
      </c>
      <c r="H753" s="85">
        <v>0.32600000000000001</v>
      </c>
      <c r="I753" s="85">
        <v>6.5000000000000002E-2</v>
      </c>
      <c r="J753" s="85">
        <v>0.1</v>
      </c>
      <c r="K753" s="25">
        <f>((5/3)*L746)+((7/3)*L758)</f>
        <v>80007</v>
      </c>
      <c r="L753" s="93"/>
      <c r="M753" s="80">
        <f t="shared" si="92"/>
        <v>0.6</v>
      </c>
      <c r="N753" s="80">
        <v>0.26</v>
      </c>
      <c r="O753" s="80">
        <f t="shared" si="93"/>
        <v>0.61</v>
      </c>
      <c r="P753" s="80">
        <v>0.34620000000000001</v>
      </c>
      <c r="Q753" s="80">
        <v>0.69640000000000002</v>
      </c>
      <c r="R753" s="80">
        <v>0.6</v>
      </c>
      <c r="S753" s="80">
        <v>0.61</v>
      </c>
    </row>
    <row r="754" spans="1:19">
      <c r="A754" s="19">
        <f t="shared" si="88"/>
        <v>60387</v>
      </c>
      <c r="B754" s="19">
        <f t="shared" si="87"/>
        <v>60751</v>
      </c>
      <c r="C754" s="84">
        <f t="shared" si="91"/>
        <v>0.30299999999999999</v>
      </c>
      <c r="D754" s="84">
        <f t="shared" si="91"/>
        <v>0.32600000000000001</v>
      </c>
      <c r="E754" s="84">
        <f t="shared" si="91"/>
        <v>6.5000000000000002E-2</v>
      </c>
      <c r="F754" s="84">
        <f t="shared" si="91"/>
        <v>0.1</v>
      </c>
      <c r="G754" s="85">
        <v>0.30299999999999999</v>
      </c>
      <c r="H754" s="85">
        <v>0.32600000000000001</v>
      </c>
      <c r="I754" s="85">
        <v>6.5000000000000002E-2</v>
      </c>
      <c r="J754" s="85">
        <v>0.1</v>
      </c>
      <c r="K754" s="25">
        <f>((4/3)*L746)+((8/3)*L758)</f>
        <v>80331</v>
      </c>
      <c r="L754" s="93"/>
      <c r="M754" s="80">
        <f t="shared" si="92"/>
        <v>0.6</v>
      </c>
      <c r="N754" s="80">
        <v>0.26</v>
      </c>
      <c r="O754" s="80">
        <f t="shared" si="93"/>
        <v>0.61</v>
      </c>
      <c r="P754" s="80">
        <v>0.34620000000000001</v>
      </c>
      <c r="Q754" s="80">
        <v>0.69640000000000002</v>
      </c>
      <c r="R754" s="80">
        <v>0.6</v>
      </c>
      <c r="S754" s="80">
        <v>0.61</v>
      </c>
    </row>
    <row r="755" spans="1:19">
      <c r="A755" s="19">
        <f t="shared" si="88"/>
        <v>60418</v>
      </c>
      <c r="B755" s="19">
        <f t="shared" si="87"/>
        <v>60782</v>
      </c>
      <c r="C755" s="84">
        <f t="shared" ref="C755:F770" si="94">AVERAGE(G755:G766)</f>
        <v>0.30299999999999999</v>
      </c>
      <c r="D755" s="84">
        <f t="shared" si="94"/>
        <v>0.32600000000000001</v>
      </c>
      <c r="E755" s="84">
        <f t="shared" si="94"/>
        <v>6.5000000000000002E-2</v>
      </c>
      <c r="F755" s="84">
        <f t="shared" si="94"/>
        <v>0.1</v>
      </c>
      <c r="G755" s="85">
        <v>0.30299999999999999</v>
      </c>
      <c r="H755" s="85">
        <v>0.32600000000000001</v>
      </c>
      <c r="I755" s="85">
        <v>6.5000000000000002E-2</v>
      </c>
      <c r="J755" s="85">
        <v>0.1</v>
      </c>
      <c r="K755" s="25">
        <f>((3/3)*L746)+((9/3)*L758)</f>
        <v>80655</v>
      </c>
      <c r="L755" s="93"/>
      <c r="M755" s="80">
        <f t="shared" si="92"/>
        <v>0.6</v>
      </c>
      <c r="N755" s="80">
        <v>0.26</v>
      </c>
      <c r="O755" s="80">
        <f t="shared" si="93"/>
        <v>0.61</v>
      </c>
      <c r="P755" s="80">
        <v>0.34620000000000001</v>
      </c>
      <c r="Q755" s="80">
        <v>0.69640000000000002</v>
      </c>
      <c r="R755" s="80">
        <v>0.6</v>
      </c>
      <c r="S755" s="80">
        <v>0.61</v>
      </c>
    </row>
    <row r="756" spans="1:19">
      <c r="A756" s="19">
        <f t="shared" si="88"/>
        <v>60448</v>
      </c>
      <c r="B756" s="19">
        <f t="shared" si="87"/>
        <v>60812</v>
      </c>
      <c r="C756" s="84">
        <f t="shared" si="94"/>
        <v>0.30299999999999999</v>
      </c>
      <c r="D756" s="84">
        <f t="shared" si="94"/>
        <v>0.32600000000000001</v>
      </c>
      <c r="E756" s="84">
        <f t="shared" si="94"/>
        <v>6.5000000000000002E-2</v>
      </c>
      <c r="F756" s="84">
        <f t="shared" si="94"/>
        <v>0.1</v>
      </c>
      <c r="G756" s="85">
        <v>0.30299999999999999</v>
      </c>
      <c r="H756" s="85">
        <v>0.32600000000000001</v>
      </c>
      <c r="I756" s="85">
        <v>6.5000000000000002E-2</v>
      </c>
      <c r="J756" s="85">
        <v>0.1</v>
      </c>
      <c r="K756" s="25">
        <f>((2/3)*L746)+((10/3)*L758)</f>
        <v>80979</v>
      </c>
      <c r="L756" s="93"/>
      <c r="M756" s="80">
        <f t="shared" si="92"/>
        <v>0.6</v>
      </c>
      <c r="N756" s="80">
        <v>0.26</v>
      </c>
      <c r="O756" s="80">
        <f t="shared" si="93"/>
        <v>0.61</v>
      </c>
      <c r="P756" s="80">
        <v>0.34620000000000001</v>
      </c>
      <c r="Q756" s="80">
        <v>0.69640000000000002</v>
      </c>
      <c r="R756" s="80">
        <v>0.6</v>
      </c>
      <c r="S756" s="80">
        <v>0.61</v>
      </c>
    </row>
    <row r="757" spans="1:19">
      <c r="A757" s="19">
        <f t="shared" si="88"/>
        <v>60479</v>
      </c>
      <c r="B757" s="19">
        <f t="shared" si="87"/>
        <v>60843</v>
      </c>
      <c r="C757" s="81">
        <f t="shared" si="94"/>
        <v>0.30299999999999999</v>
      </c>
      <c r="D757" s="81">
        <f t="shared" si="94"/>
        <v>0.32600000000000001</v>
      </c>
      <c r="E757" s="81">
        <f t="shared" si="94"/>
        <v>6.5000000000000002E-2</v>
      </c>
      <c r="F757" s="81">
        <f t="shared" si="94"/>
        <v>0.1</v>
      </c>
      <c r="G757" s="85">
        <v>0.30299999999999999</v>
      </c>
      <c r="H757" s="85">
        <v>0.32600000000000001</v>
      </c>
      <c r="I757" s="85">
        <v>6.5000000000000002E-2</v>
      </c>
      <c r="J757" s="85">
        <v>0.1</v>
      </c>
      <c r="K757" s="25">
        <f>((1/3)*L746)+((11/3)*L758)</f>
        <v>81303</v>
      </c>
      <c r="L757" s="93"/>
      <c r="M757" s="80">
        <f t="shared" si="92"/>
        <v>0.6</v>
      </c>
      <c r="N757" s="80">
        <v>0.26</v>
      </c>
      <c r="O757" s="80">
        <f t="shared" si="93"/>
        <v>0.61</v>
      </c>
      <c r="P757" s="80">
        <v>0.34620000000000001</v>
      </c>
      <c r="Q757" s="80">
        <v>0.69640000000000002</v>
      </c>
      <c r="R757" s="80">
        <v>0.6</v>
      </c>
      <c r="S757" s="80">
        <v>0.61</v>
      </c>
    </row>
    <row r="758" spans="1:19" s="78" customFormat="1">
      <c r="A758" s="77">
        <f t="shared" si="88"/>
        <v>60510</v>
      </c>
      <c r="B758" s="77">
        <f t="shared" si="87"/>
        <v>60874</v>
      </c>
      <c r="C758" s="86">
        <f t="shared" si="94"/>
        <v>0.30299999999999999</v>
      </c>
      <c r="D758" s="86">
        <f t="shared" si="94"/>
        <v>0.32600000000000001</v>
      </c>
      <c r="E758" s="86">
        <f t="shared" si="94"/>
        <v>6.5000000000000002E-2</v>
      </c>
      <c r="F758" s="86">
        <f t="shared" si="94"/>
        <v>0.1</v>
      </c>
      <c r="G758" s="87">
        <v>0.30299999999999999</v>
      </c>
      <c r="H758" s="87">
        <v>0.32600000000000001</v>
      </c>
      <c r="I758" s="87">
        <v>6.5000000000000002E-2</v>
      </c>
      <c r="J758" s="87">
        <v>0.1</v>
      </c>
      <c r="K758" s="76">
        <f>(L758*4)</f>
        <v>81627</v>
      </c>
      <c r="L758" s="94">
        <f>L746*1.05</f>
        <v>20406.71</v>
      </c>
      <c r="M758" s="353">
        <f t="shared" si="92"/>
        <v>0.6</v>
      </c>
      <c r="N758" s="353">
        <v>0.26</v>
      </c>
      <c r="O758" s="353">
        <f t="shared" si="93"/>
        <v>0.61</v>
      </c>
      <c r="P758" s="353">
        <v>0.34620000000000001</v>
      </c>
      <c r="Q758" s="353">
        <v>0.69640000000000002</v>
      </c>
      <c r="R758" s="353">
        <v>0.6</v>
      </c>
      <c r="S758" s="353">
        <v>0.61</v>
      </c>
    </row>
    <row r="759" spans="1:19" s="78" customFormat="1">
      <c r="A759" s="77">
        <f t="shared" si="88"/>
        <v>60540</v>
      </c>
      <c r="B759" s="77">
        <f t="shared" si="87"/>
        <v>60904</v>
      </c>
      <c r="C759" s="86">
        <f t="shared" si="94"/>
        <v>0.30299999999999999</v>
      </c>
      <c r="D759" s="86">
        <f t="shared" si="94"/>
        <v>0.32600000000000001</v>
      </c>
      <c r="E759" s="86">
        <f t="shared" si="94"/>
        <v>6.5000000000000002E-2</v>
      </c>
      <c r="F759" s="86">
        <f t="shared" si="94"/>
        <v>0.1</v>
      </c>
      <c r="G759" s="87">
        <v>0.30299999999999999</v>
      </c>
      <c r="H759" s="87">
        <v>0.32600000000000001</v>
      </c>
      <c r="I759" s="87">
        <v>6.5000000000000002E-2</v>
      </c>
      <c r="J759" s="87">
        <v>0.1</v>
      </c>
      <c r="K759" s="76">
        <f>((11/3)*L758)+((1/3)*L770)</f>
        <v>81967</v>
      </c>
      <c r="L759" s="94"/>
      <c r="M759" s="353">
        <f t="shared" si="92"/>
        <v>0.6</v>
      </c>
      <c r="N759" s="353">
        <v>0.26</v>
      </c>
      <c r="O759" s="353">
        <f t="shared" si="93"/>
        <v>0.61</v>
      </c>
      <c r="P759" s="353">
        <v>0.34620000000000001</v>
      </c>
      <c r="Q759" s="353">
        <v>0.69640000000000002</v>
      </c>
      <c r="R759" s="353">
        <v>0.6</v>
      </c>
      <c r="S759" s="353">
        <v>0.61</v>
      </c>
    </row>
    <row r="760" spans="1:19" s="78" customFormat="1">
      <c r="A760" s="77">
        <f t="shared" si="88"/>
        <v>60571</v>
      </c>
      <c r="B760" s="77">
        <f t="shared" si="87"/>
        <v>60935</v>
      </c>
      <c r="C760" s="86">
        <f t="shared" si="94"/>
        <v>0.30299999999999999</v>
      </c>
      <c r="D760" s="86">
        <f t="shared" si="94"/>
        <v>0.32600000000000001</v>
      </c>
      <c r="E760" s="86">
        <f t="shared" si="94"/>
        <v>6.5000000000000002E-2</v>
      </c>
      <c r="F760" s="86">
        <f t="shared" si="94"/>
        <v>0.1</v>
      </c>
      <c r="G760" s="87">
        <v>0.30299999999999999</v>
      </c>
      <c r="H760" s="87">
        <v>0.32600000000000001</v>
      </c>
      <c r="I760" s="87">
        <v>6.5000000000000002E-2</v>
      </c>
      <c r="J760" s="87">
        <v>0.1</v>
      </c>
      <c r="K760" s="76">
        <f>((10/3)*L758)+((2/3)*L770)</f>
        <v>82307</v>
      </c>
      <c r="L760" s="94"/>
      <c r="M760" s="353">
        <f t="shared" si="92"/>
        <v>0.6</v>
      </c>
      <c r="N760" s="353">
        <v>0.26</v>
      </c>
      <c r="O760" s="353">
        <f t="shared" si="93"/>
        <v>0.61</v>
      </c>
      <c r="P760" s="353">
        <v>0.34620000000000001</v>
      </c>
      <c r="Q760" s="353">
        <v>0.69640000000000002</v>
      </c>
      <c r="R760" s="353">
        <v>0.6</v>
      </c>
      <c r="S760" s="353">
        <v>0.61</v>
      </c>
    </row>
    <row r="761" spans="1:19" s="78" customFormat="1">
      <c r="A761" s="77">
        <f t="shared" si="88"/>
        <v>60601</v>
      </c>
      <c r="B761" s="77">
        <f t="shared" si="87"/>
        <v>60965</v>
      </c>
      <c r="C761" s="86">
        <f t="shared" si="94"/>
        <v>0.30299999999999999</v>
      </c>
      <c r="D761" s="86">
        <f t="shared" si="94"/>
        <v>0.32600000000000001</v>
      </c>
      <c r="E761" s="86">
        <f t="shared" si="94"/>
        <v>6.5000000000000002E-2</v>
      </c>
      <c r="F761" s="86">
        <f t="shared" si="94"/>
        <v>0.1</v>
      </c>
      <c r="G761" s="87">
        <v>0.30299999999999999</v>
      </c>
      <c r="H761" s="87">
        <v>0.32600000000000001</v>
      </c>
      <c r="I761" s="87">
        <v>6.5000000000000002E-2</v>
      </c>
      <c r="J761" s="87">
        <v>0.1</v>
      </c>
      <c r="K761" s="76">
        <f>((9/3)*L758)+((3/3)*L770)</f>
        <v>82647</v>
      </c>
      <c r="L761" s="94"/>
      <c r="M761" s="353">
        <f t="shared" si="92"/>
        <v>0.6</v>
      </c>
      <c r="N761" s="353">
        <v>0.26</v>
      </c>
      <c r="O761" s="353">
        <f t="shared" si="93"/>
        <v>0.61</v>
      </c>
      <c r="P761" s="353">
        <v>0.34620000000000001</v>
      </c>
      <c r="Q761" s="353">
        <v>0.69640000000000002</v>
      </c>
      <c r="R761" s="353">
        <v>0.6</v>
      </c>
      <c r="S761" s="353">
        <v>0.61</v>
      </c>
    </row>
    <row r="762" spans="1:19" s="78" customFormat="1">
      <c r="A762" s="77">
        <f t="shared" si="88"/>
        <v>60632</v>
      </c>
      <c r="B762" s="77">
        <f t="shared" si="87"/>
        <v>60996</v>
      </c>
      <c r="C762" s="86">
        <f t="shared" si="94"/>
        <v>0.30299999999999999</v>
      </c>
      <c r="D762" s="86">
        <f t="shared" si="94"/>
        <v>0.32600000000000001</v>
      </c>
      <c r="E762" s="86">
        <f t="shared" si="94"/>
        <v>6.5000000000000002E-2</v>
      </c>
      <c r="F762" s="86">
        <f t="shared" si="94"/>
        <v>0.1</v>
      </c>
      <c r="G762" s="87">
        <v>0.30299999999999999</v>
      </c>
      <c r="H762" s="87">
        <v>0.32600000000000001</v>
      </c>
      <c r="I762" s="87">
        <v>6.5000000000000002E-2</v>
      </c>
      <c r="J762" s="87">
        <v>0.1</v>
      </c>
      <c r="K762" s="76">
        <f>((8/3)*L758)+((4/3)*L770)</f>
        <v>82987</v>
      </c>
      <c r="L762" s="94"/>
      <c r="M762" s="353">
        <f t="shared" si="92"/>
        <v>0.6</v>
      </c>
      <c r="N762" s="353">
        <v>0.26</v>
      </c>
      <c r="O762" s="353">
        <f t="shared" si="93"/>
        <v>0.61</v>
      </c>
      <c r="P762" s="353">
        <v>0.34620000000000001</v>
      </c>
      <c r="Q762" s="353">
        <v>0.69640000000000002</v>
      </c>
      <c r="R762" s="353">
        <v>0.6</v>
      </c>
      <c r="S762" s="353">
        <v>0.61</v>
      </c>
    </row>
    <row r="763" spans="1:19" s="78" customFormat="1">
      <c r="A763" s="77">
        <f t="shared" si="88"/>
        <v>60663</v>
      </c>
      <c r="B763" s="77">
        <f t="shared" si="87"/>
        <v>61027</v>
      </c>
      <c r="C763" s="86">
        <f t="shared" si="94"/>
        <v>0.30299999999999999</v>
      </c>
      <c r="D763" s="86">
        <f t="shared" si="94"/>
        <v>0.32600000000000001</v>
      </c>
      <c r="E763" s="86">
        <f t="shared" si="94"/>
        <v>6.5000000000000002E-2</v>
      </c>
      <c r="F763" s="86">
        <f t="shared" si="94"/>
        <v>0.1</v>
      </c>
      <c r="G763" s="87">
        <v>0.30299999999999999</v>
      </c>
      <c r="H763" s="87">
        <v>0.32600000000000001</v>
      </c>
      <c r="I763" s="87">
        <v>6.5000000000000002E-2</v>
      </c>
      <c r="J763" s="87">
        <v>0.1</v>
      </c>
      <c r="K763" s="76">
        <f>((7/3)*L758)+((5/3)*L770)</f>
        <v>83327</v>
      </c>
      <c r="L763" s="94"/>
      <c r="M763" s="353">
        <f t="shared" si="92"/>
        <v>0.6</v>
      </c>
      <c r="N763" s="353">
        <v>0.26</v>
      </c>
      <c r="O763" s="353">
        <f t="shared" si="93"/>
        <v>0.61</v>
      </c>
      <c r="P763" s="353">
        <v>0.34620000000000001</v>
      </c>
      <c r="Q763" s="353">
        <v>0.69640000000000002</v>
      </c>
      <c r="R763" s="353">
        <v>0.6</v>
      </c>
      <c r="S763" s="353">
        <v>0.61</v>
      </c>
    </row>
    <row r="764" spans="1:19" s="78" customFormat="1">
      <c r="A764" s="77">
        <f t="shared" si="88"/>
        <v>60691</v>
      </c>
      <c r="B764" s="77">
        <f t="shared" si="87"/>
        <v>61055</v>
      </c>
      <c r="C764" s="86">
        <f t="shared" si="94"/>
        <v>0.30299999999999999</v>
      </c>
      <c r="D764" s="86">
        <f t="shared" si="94"/>
        <v>0.32600000000000001</v>
      </c>
      <c r="E764" s="86">
        <f t="shared" si="94"/>
        <v>6.5000000000000002E-2</v>
      </c>
      <c r="F764" s="86">
        <f t="shared" si="94"/>
        <v>0.1</v>
      </c>
      <c r="G764" s="87">
        <v>0.30299999999999999</v>
      </c>
      <c r="H764" s="87">
        <v>0.32600000000000001</v>
      </c>
      <c r="I764" s="87">
        <v>6.5000000000000002E-2</v>
      </c>
      <c r="J764" s="87">
        <v>0.1</v>
      </c>
      <c r="K764" s="76">
        <f>((6/3)*L758)+((6/3)*L770)</f>
        <v>83668</v>
      </c>
      <c r="L764" s="94"/>
      <c r="M764" s="353">
        <f t="shared" si="92"/>
        <v>0.6</v>
      </c>
      <c r="N764" s="353">
        <v>0.26</v>
      </c>
      <c r="O764" s="353">
        <f t="shared" si="93"/>
        <v>0.61</v>
      </c>
      <c r="P764" s="353">
        <v>0.34620000000000001</v>
      </c>
      <c r="Q764" s="353">
        <v>0.69640000000000002</v>
      </c>
      <c r="R764" s="353">
        <v>0.6</v>
      </c>
      <c r="S764" s="353">
        <v>0.61</v>
      </c>
    </row>
    <row r="765" spans="1:19" s="78" customFormat="1">
      <c r="A765" s="77">
        <f t="shared" si="88"/>
        <v>60722</v>
      </c>
      <c r="B765" s="77">
        <f t="shared" si="87"/>
        <v>61086</v>
      </c>
      <c r="C765" s="86">
        <f t="shared" si="94"/>
        <v>0.30299999999999999</v>
      </c>
      <c r="D765" s="86">
        <f t="shared" si="94"/>
        <v>0.32600000000000001</v>
      </c>
      <c r="E765" s="86">
        <f t="shared" si="94"/>
        <v>6.5000000000000002E-2</v>
      </c>
      <c r="F765" s="86">
        <f t="shared" si="94"/>
        <v>0.1</v>
      </c>
      <c r="G765" s="87">
        <v>0.30299999999999999</v>
      </c>
      <c r="H765" s="87">
        <v>0.32600000000000001</v>
      </c>
      <c r="I765" s="87">
        <v>6.5000000000000002E-2</v>
      </c>
      <c r="J765" s="87">
        <v>0.1</v>
      </c>
      <c r="K765" s="76">
        <f>((5/3)*L758)+((7/3)*L770)</f>
        <v>84008</v>
      </c>
      <c r="L765" s="94"/>
      <c r="M765" s="353">
        <f t="shared" si="92"/>
        <v>0.6</v>
      </c>
      <c r="N765" s="353">
        <v>0.26</v>
      </c>
      <c r="O765" s="353">
        <f t="shared" si="93"/>
        <v>0.61</v>
      </c>
      <c r="P765" s="353">
        <v>0.34620000000000001</v>
      </c>
      <c r="Q765" s="353">
        <v>0.69640000000000002</v>
      </c>
      <c r="R765" s="353">
        <v>0.6</v>
      </c>
      <c r="S765" s="353">
        <v>0.61</v>
      </c>
    </row>
    <row r="766" spans="1:19" s="78" customFormat="1">
      <c r="A766" s="77">
        <f t="shared" si="88"/>
        <v>60752</v>
      </c>
      <c r="B766" s="77">
        <f t="shared" si="87"/>
        <v>61116</v>
      </c>
      <c r="C766" s="86">
        <f t="shared" si="94"/>
        <v>0.30299999999999999</v>
      </c>
      <c r="D766" s="86">
        <f t="shared" si="94"/>
        <v>0.32600000000000001</v>
      </c>
      <c r="E766" s="86">
        <f t="shared" si="94"/>
        <v>6.5000000000000002E-2</v>
      </c>
      <c r="F766" s="86">
        <f t="shared" si="94"/>
        <v>0.1</v>
      </c>
      <c r="G766" s="87">
        <v>0.30299999999999999</v>
      </c>
      <c r="H766" s="87">
        <v>0.32600000000000001</v>
      </c>
      <c r="I766" s="87">
        <v>6.5000000000000002E-2</v>
      </c>
      <c r="J766" s="87">
        <v>0.1</v>
      </c>
      <c r="K766" s="76">
        <f>((4/3)*L758)+((8/3)*L770)</f>
        <v>84348</v>
      </c>
      <c r="L766" s="94"/>
      <c r="M766" s="353">
        <f t="shared" si="92"/>
        <v>0.6</v>
      </c>
      <c r="N766" s="353">
        <v>0.26</v>
      </c>
      <c r="O766" s="353">
        <f t="shared" si="93"/>
        <v>0.61</v>
      </c>
      <c r="P766" s="353">
        <v>0.34620000000000001</v>
      </c>
      <c r="Q766" s="353">
        <v>0.69640000000000002</v>
      </c>
      <c r="R766" s="353">
        <v>0.6</v>
      </c>
      <c r="S766" s="353">
        <v>0.61</v>
      </c>
    </row>
    <row r="767" spans="1:19" s="78" customFormat="1">
      <c r="A767" s="77">
        <f t="shared" si="88"/>
        <v>60783</v>
      </c>
      <c r="B767" s="77">
        <f t="shared" si="87"/>
        <v>61147</v>
      </c>
      <c r="C767" s="86">
        <f t="shared" si="94"/>
        <v>0.30299999999999999</v>
      </c>
      <c r="D767" s="86">
        <f t="shared" si="94"/>
        <v>0.32600000000000001</v>
      </c>
      <c r="E767" s="86">
        <f t="shared" si="94"/>
        <v>6.5000000000000002E-2</v>
      </c>
      <c r="F767" s="86">
        <f t="shared" si="94"/>
        <v>0.1</v>
      </c>
      <c r="G767" s="87">
        <v>0.30299999999999999</v>
      </c>
      <c r="H767" s="87">
        <v>0.32600000000000001</v>
      </c>
      <c r="I767" s="87">
        <v>6.5000000000000002E-2</v>
      </c>
      <c r="J767" s="87">
        <v>0.1</v>
      </c>
      <c r="K767" s="76">
        <f>((3/3)*L758)+((9/3)*L770)</f>
        <v>84688</v>
      </c>
      <c r="L767" s="94"/>
      <c r="M767" s="353">
        <f t="shared" si="92"/>
        <v>0.6</v>
      </c>
      <c r="N767" s="353">
        <v>0.26</v>
      </c>
      <c r="O767" s="353">
        <f t="shared" si="93"/>
        <v>0.61</v>
      </c>
      <c r="P767" s="353">
        <v>0.34620000000000001</v>
      </c>
      <c r="Q767" s="353">
        <v>0.69640000000000002</v>
      </c>
      <c r="R767" s="353">
        <v>0.6</v>
      </c>
      <c r="S767" s="353">
        <v>0.61</v>
      </c>
    </row>
    <row r="768" spans="1:19" s="78" customFormat="1">
      <c r="A768" s="77">
        <f t="shared" si="88"/>
        <v>60813</v>
      </c>
      <c r="B768" s="77">
        <f t="shared" si="87"/>
        <v>61177</v>
      </c>
      <c r="C768" s="86">
        <f t="shared" si="94"/>
        <v>0.30299999999999999</v>
      </c>
      <c r="D768" s="86">
        <f t="shared" si="94"/>
        <v>0.32600000000000001</v>
      </c>
      <c r="E768" s="86">
        <f t="shared" si="94"/>
        <v>6.5000000000000002E-2</v>
      </c>
      <c r="F768" s="86">
        <f t="shared" si="94"/>
        <v>0.1</v>
      </c>
      <c r="G768" s="87">
        <v>0.30299999999999999</v>
      </c>
      <c r="H768" s="87">
        <v>0.32600000000000001</v>
      </c>
      <c r="I768" s="87">
        <v>6.5000000000000002E-2</v>
      </c>
      <c r="J768" s="87">
        <v>0.1</v>
      </c>
      <c r="K768" s="76">
        <f>((2/3)*L758)+((10/3)*L770)</f>
        <v>85028</v>
      </c>
      <c r="L768" s="94"/>
      <c r="M768" s="353">
        <f t="shared" si="92"/>
        <v>0.6</v>
      </c>
      <c r="N768" s="353">
        <v>0.26</v>
      </c>
      <c r="O768" s="353">
        <f t="shared" si="93"/>
        <v>0.61</v>
      </c>
      <c r="P768" s="353">
        <v>0.34620000000000001</v>
      </c>
      <c r="Q768" s="353">
        <v>0.69640000000000002</v>
      </c>
      <c r="R768" s="353">
        <v>0.6</v>
      </c>
      <c r="S768" s="353">
        <v>0.61</v>
      </c>
    </row>
    <row r="769" spans="1:19" s="78" customFormat="1">
      <c r="A769" s="77">
        <f t="shared" si="88"/>
        <v>60844</v>
      </c>
      <c r="B769" s="77">
        <f t="shared" si="87"/>
        <v>61208</v>
      </c>
      <c r="C769" s="86">
        <f t="shared" si="94"/>
        <v>0.30299999999999999</v>
      </c>
      <c r="D769" s="86">
        <f t="shared" si="94"/>
        <v>0.32600000000000001</v>
      </c>
      <c r="E769" s="86">
        <f t="shared" si="94"/>
        <v>6.5000000000000002E-2</v>
      </c>
      <c r="F769" s="86">
        <f t="shared" si="94"/>
        <v>0.1</v>
      </c>
      <c r="G769" s="87">
        <v>0.30299999999999999</v>
      </c>
      <c r="H769" s="87">
        <v>0.32600000000000001</v>
      </c>
      <c r="I769" s="87">
        <v>6.5000000000000002E-2</v>
      </c>
      <c r="J769" s="87">
        <v>0.1</v>
      </c>
      <c r="K769" s="76">
        <f>((1/3)*L758)+((11/3)*L770)</f>
        <v>85368</v>
      </c>
      <c r="L769" s="94"/>
      <c r="M769" s="353">
        <f t="shared" si="92"/>
        <v>0.6</v>
      </c>
      <c r="N769" s="353">
        <v>0.26</v>
      </c>
      <c r="O769" s="353">
        <f t="shared" si="93"/>
        <v>0.61</v>
      </c>
      <c r="P769" s="353">
        <v>0.34620000000000001</v>
      </c>
      <c r="Q769" s="353">
        <v>0.69640000000000002</v>
      </c>
      <c r="R769" s="353">
        <v>0.6</v>
      </c>
      <c r="S769" s="353">
        <v>0.61</v>
      </c>
    </row>
    <row r="770" spans="1:19">
      <c r="A770" s="19">
        <f t="shared" si="88"/>
        <v>60875</v>
      </c>
      <c r="B770" s="19">
        <f t="shared" ref="B770:B805" si="95">EDATE(A770,12)-1</f>
        <v>61239</v>
      </c>
      <c r="C770" s="84">
        <f t="shared" si="94"/>
        <v>0.30299999999999999</v>
      </c>
      <c r="D770" s="84">
        <f t="shared" si="94"/>
        <v>0.32600000000000001</v>
      </c>
      <c r="E770" s="84">
        <f t="shared" si="94"/>
        <v>6.5000000000000002E-2</v>
      </c>
      <c r="F770" s="84">
        <f t="shared" si="94"/>
        <v>0.1</v>
      </c>
      <c r="G770" s="85">
        <v>0.30299999999999999</v>
      </c>
      <c r="H770" s="85">
        <v>0.32600000000000001</v>
      </c>
      <c r="I770" s="85">
        <v>6.5000000000000002E-2</v>
      </c>
      <c r="J770" s="85">
        <v>0.1</v>
      </c>
      <c r="K770" s="25">
        <f>(L770*4)</f>
        <v>85708</v>
      </c>
      <c r="L770" s="93">
        <f>L758*1.05</f>
        <v>21427.05</v>
      </c>
      <c r="M770" s="80">
        <f t="shared" si="92"/>
        <v>0.6</v>
      </c>
      <c r="N770" s="80">
        <v>0.26</v>
      </c>
      <c r="O770" s="80">
        <f t="shared" si="93"/>
        <v>0.61</v>
      </c>
      <c r="P770" s="80">
        <v>0.34620000000000001</v>
      </c>
      <c r="Q770" s="80">
        <v>0.69640000000000002</v>
      </c>
      <c r="R770" s="80">
        <v>0.6</v>
      </c>
      <c r="S770" s="80">
        <v>0.61</v>
      </c>
    </row>
    <row r="771" spans="1:19">
      <c r="A771" s="19">
        <f t="shared" ref="A771:A805" si="96">EDATE(A770,1)</f>
        <v>60905</v>
      </c>
      <c r="B771" s="19">
        <f t="shared" si="95"/>
        <v>61269</v>
      </c>
      <c r="C771" s="84">
        <f t="shared" ref="C771:F786" si="97">AVERAGE(G771:G782)</f>
        <v>0.30299999999999999</v>
      </c>
      <c r="D771" s="84">
        <f t="shared" si="97"/>
        <v>0.32600000000000001</v>
      </c>
      <c r="E771" s="84">
        <f t="shared" si="97"/>
        <v>6.5000000000000002E-2</v>
      </c>
      <c r="F771" s="84">
        <f t="shared" si="97"/>
        <v>0.1</v>
      </c>
      <c r="G771" s="85">
        <v>0.30299999999999999</v>
      </c>
      <c r="H771" s="85">
        <v>0.32600000000000001</v>
      </c>
      <c r="I771" s="85">
        <v>6.5000000000000002E-2</v>
      </c>
      <c r="J771" s="85">
        <v>0.1</v>
      </c>
      <c r="K771" s="25">
        <f>((11/3)*L770)+((1/3)*L782)</f>
        <v>86065</v>
      </c>
      <c r="L771" s="93"/>
      <c r="M771" s="80">
        <f t="shared" si="92"/>
        <v>0.6</v>
      </c>
      <c r="N771" s="80">
        <v>0.26</v>
      </c>
      <c r="O771" s="80">
        <f t="shared" si="93"/>
        <v>0.61</v>
      </c>
      <c r="P771" s="80">
        <v>0.34620000000000001</v>
      </c>
      <c r="Q771" s="80">
        <v>0.69640000000000002</v>
      </c>
      <c r="R771" s="80">
        <v>0.6</v>
      </c>
      <c r="S771" s="80">
        <v>0.61</v>
      </c>
    </row>
    <row r="772" spans="1:19">
      <c r="A772" s="19">
        <f t="shared" si="96"/>
        <v>60936</v>
      </c>
      <c r="B772" s="19">
        <f t="shared" si="95"/>
        <v>61300</v>
      </c>
      <c r="C772" s="84">
        <f t="shared" si="97"/>
        <v>0.30299999999999999</v>
      </c>
      <c r="D772" s="84">
        <f t="shared" si="97"/>
        <v>0.32600000000000001</v>
      </c>
      <c r="E772" s="84">
        <f t="shared" si="97"/>
        <v>6.5000000000000002E-2</v>
      </c>
      <c r="F772" s="84">
        <f t="shared" si="97"/>
        <v>0.1</v>
      </c>
      <c r="G772" s="85">
        <v>0.30299999999999999</v>
      </c>
      <c r="H772" s="85">
        <v>0.32600000000000001</v>
      </c>
      <c r="I772" s="85">
        <v>6.5000000000000002E-2</v>
      </c>
      <c r="J772" s="85">
        <v>0.1</v>
      </c>
      <c r="K772" s="25">
        <f>((10/3)*L770)+((2/3)*L782)</f>
        <v>86422</v>
      </c>
      <c r="L772" s="93"/>
      <c r="M772" s="80">
        <f t="shared" si="92"/>
        <v>0.6</v>
      </c>
      <c r="N772" s="80">
        <v>0.26</v>
      </c>
      <c r="O772" s="80">
        <f t="shared" si="93"/>
        <v>0.61</v>
      </c>
      <c r="P772" s="80">
        <v>0.34620000000000001</v>
      </c>
      <c r="Q772" s="80">
        <v>0.69640000000000002</v>
      </c>
      <c r="R772" s="80">
        <v>0.6</v>
      </c>
      <c r="S772" s="80">
        <v>0.61</v>
      </c>
    </row>
    <row r="773" spans="1:19">
      <c r="A773" s="19">
        <f t="shared" si="96"/>
        <v>60966</v>
      </c>
      <c r="B773" s="19">
        <f t="shared" si="95"/>
        <v>61330</v>
      </c>
      <c r="C773" s="84">
        <f t="shared" si="97"/>
        <v>0.30299999999999999</v>
      </c>
      <c r="D773" s="84">
        <f t="shared" si="97"/>
        <v>0.32600000000000001</v>
      </c>
      <c r="E773" s="84">
        <f t="shared" si="97"/>
        <v>6.5000000000000002E-2</v>
      </c>
      <c r="F773" s="84">
        <f t="shared" si="97"/>
        <v>0.1</v>
      </c>
      <c r="G773" s="85">
        <v>0.30299999999999999</v>
      </c>
      <c r="H773" s="85">
        <v>0.32600000000000001</v>
      </c>
      <c r="I773" s="85">
        <v>6.5000000000000002E-2</v>
      </c>
      <c r="J773" s="85">
        <v>0.1</v>
      </c>
      <c r="K773" s="25">
        <f>((9/3)*L770)+((3/3)*L782)</f>
        <v>86780</v>
      </c>
      <c r="L773" s="93"/>
      <c r="M773" s="80">
        <f t="shared" si="92"/>
        <v>0.6</v>
      </c>
      <c r="N773" s="80">
        <v>0.26</v>
      </c>
      <c r="O773" s="80">
        <f t="shared" si="93"/>
        <v>0.61</v>
      </c>
      <c r="P773" s="80">
        <v>0.34620000000000001</v>
      </c>
      <c r="Q773" s="80">
        <v>0.69640000000000002</v>
      </c>
      <c r="R773" s="80">
        <v>0.6</v>
      </c>
      <c r="S773" s="80">
        <v>0.61</v>
      </c>
    </row>
    <row r="774" spans="1:19">
      <c r="A774" s="19">
        <f t="shared" si="96"/>
        <v>60997</v>
      </c>
      <c r="B774" s="19">
        <f t="shared" si="95"/>
        <v>61361</v>
      </c>
      <c r="C774" s="84">
        <f t="shared" si="97"/>
        <v>0.30299999999999999</v>
      </c>
      <c r="D774" s="84">
        <f t="shared" si="97"/>
        <v>0.32600000000000001</v>
      </c>
      <c r="E774" s="84">
        <f t="shared" si="97"/>
        <v>6.5000000000000002E-2</v>
      </c>
      <c r="F774" s="84">
        <f t="shared" si="97"/>
        <v>0.1</v>
      </c>
      <c r="G774" s="85">
        <v>0.30299999999999999</v>
      </c>
      <c r="H774" s="85">
        <v>0.32600000000000001</v>
      </c>
      <c r="I774" s="85">
        <v>6.5000000000000002E-2</v>
      </c>
      <c r="J774" s="85">
        <v>0.1</v>
      </c>
      <c r="K774" s="25">
        <f>((8/3)*L770)+((4/3)*L782)</f>
        <v>87137</v>
      </c>
      <c r="L774" s="93"/>
      <c r="M774" s="80">
        <f t="shared" si="92"/>
        <v>0.6</v>
      </c>
      <c r="N774" s="80">
        <v>0.26</v>
      </c>
      <c r="O774" s="80">
        <f t="shared" si="93"/>
        <v>0.61</v>
      </c>
      <c r="P774" s="80">
        <v>0.34620000000000001</v>
      </c>
      <c r="Q774" s="80">
        <v>0.69640000000000002</v>
      </c>
      <c r="R774" s="80">
        <v>0.6</v>
      </c>
      <c r="S774" s="80">
        <v>0.61</v>
      </c>
    </row>
    <row r="775" spans="1:19">
      <c r="A775" s="19">
        <f t="shared" si="96"/>
        <v>61028</v>
      </c>
      <c r="B775" s="19">
        <f t="shared" si="95"/>
        <v>61392</v>
      </c>
      <c r="C775" s="84">
        <f t="shared" si="97"/>
        <v>0.30299999999999999</v>
      </c>
      <c r="D775" s="84">
        <f t="shared" si="97"/>
        <v>0.32600000000000001</v>
      </c>
      <c r="E775" s="84">
        <f t="shared" si="97"/>
        <v>6.5000000000000002E-2</v>
      </c>
      <c r="F775" s="84">
        <f t="shared" si="97"/>
        <v>0.1</v>
      </c>
      <c r="G775" s="85">
        <v>0.30299999999999999</v>
      </c>
      <c r="H775" s="85">
        <v>0.32600000000000001</v>
      </c>
      <c r="I775" s="85">
        <v>6.5000000000000002E-2</v>
      </c>
      <c r="J775" s="85">
        <v>0.1</v>
      </c>
      <c r="K775" s="25">
        <f>((7/3)*L770)+((5/3)*L782)</f>
        <v>87494</v>
      </c>
      <c r="L775" s="93"/>
      <c r="M775" s="80">
        <f t="shared" si="92"/>
        <v>0.6</v>
      </c>
      <c r="N775" s="80">
        <v>0.26</v>
      </c>
      <c r="O775" s="80">
        <f t="shared" si="93"/>
        <v>0.61</v>
      </c>
      <c r="P775" s="80">
        <v>0.34620000000000001</v>
      </c>
      <c r="Q775" s="80">
        <v>0.69640000000000002</v>
      </c>
      <c r="R775" s="80">
        <v>0.6</v>
      </c>
      <c r="S775" s="80">
        <v>0.61</v>
      </c>
    </row>
    <row r="776" spans="1:19">
      <c r="A776" s="19">
        <f t="shared" si="96"/>
        <v>61056</v>
      </c>
      <c r="B776" s="19">
        <f t="shared" si="95"/>
        <v>61421</v>
      </c>
      <c r="C776" s="84">
        <f t="shared" si="97"/>
        <v>0.30299999999999999</v>
      </c>
      <c r="D776" s="84">
        <f t="shared" si="97"/>
        <v>0.32600000000000001</v>
      </c>
      <c r="E776" s="84">
        <f t="shared" si="97"/>
        <v>6.5000000000000002E-2</v>
      </c>
      <c r="F776" s="84">
        <f t="shared" si="97"/>
        <v>0.1</v>
      </c>
      <c r="G776" s="85">
        <v>0.30299999999999999</v>
      </c>
      <c r="H776" s="85">
        <v>0.32600000000000001</v>
      </c>
      <c r="I776" s="85">
        <v>6.5000000000000002E-2</v>
      </c>
      <c r="J776" s="85">
        <v>0.1</v>
      </c>
      <c r="K776" s="25">
        <f>((6/3)*L770)+((6/3)*L782)</f>
        <v>87851</v>
      </c>
      <c r="L776" s="93"/>
      <c r="M776" s="80">
        <f t="shared" si="92"/>
        <v>0.6</v>
      </c>
      <c r="N776" s="80">
        <v>0.26</v>
      </c>
      <c r="O776" s="80">
        <f t="shared" si="93"/>
        <v>0.61</v>
      </c>
      <c r="P776" s="80">
        <v>0.34620000000000001</v>
      </c>
      <c r="Q776" s="80">
        <v>0.69640000000000002</v>
      </c>
      <c r="R776" s="80">
        <v>0.6</v>
      </c>
      <c r="S776" s="80">
        <v>0.61</v>
      </c>
    </row>
    <row r="777" spans="1:19">
      <c r="A777" s="19">
        <f t="shared" si="96"/>
        <v>61087</v>
      </c>
      <c r="B777" s="19">
        <f t="shared" si="95"/>
        <v>61452</v>
      </c>
      <c r="C777" s="84">
        <f t="shared" si="97"/>
        <v>0.30299999999999999</v>
      </c>
      <c r="D777" s="84">
        <f t="shared" si="97"/>
        <v>0.32600000000000001</v>
      </c>
      <c r="E777" s="84">
        <f t="shared" si="97"/>
        <v>6.5000000000000002E-2</v>
      </c>
      <c r="F777" s="84">
        <f t="shared" si="97"/>
        <v>0.1</v>
      </c>
      <c r="G777" s="85">
        <v>0.30299999999999999</v>
      </c>
      <c r="H777" s="85">
        <v>0.32600000000000001</v>
      </c>
      <c r="I777" s="85">
        <v>6.5000000000000002E-2</v>
      </c>
      <c r="J777" s="85">
        <v>0.1</v>
      </c>
      <c r="K777" s="25">
        <f>((5/3)*L770)+((7/3)*L782)</f>
        <v>88208</v>
      </c>
      <c r="L777" s="93"/>
      <c r="M777" s="80">
        <f t="shared" si="92"/>
        <v>0.6</v>
      </c>
      <c r="N777" s="80">
        <v>0.26</v>
      </c>
      <c r="O777" s="80">
        <f t="shared" si="93"/>
        <v>0.61</v>
      </c>
      <c r="P777" s="80">
        <v>0.34620000000000001</v>
      </c>
      <c r="Q777" s="80">
        <v>0.69640000000000002</v>
      </c>
      <c r="R777" s="80">
        <v>0.6</v>
      </c>
      <c r="S777" s="80">
        <v>0.61</v>
      </c>
    </row>
    <row r="778" spans="1:19">
      <c r="A778" s="19">
        <f t="shared" si="96"/>
        <v>61117</v>
      </c>
      <c r="B778" s="19">
        <f t="shared" si="95"/>
        <v>61482</v>
      </c>
      <c r="C778" s="84">
        <f t="shared" si="97"/>
        <v>0.30299999999999999</v>
      </c>
      <c r="D778" s="84">
        <f t="shared" si="97"/>
        <v>0.32600000000000001</v>
      </c>
      <c r="E778" s="84">
        <f t="shared" si="97"/>
        <v>6.5000000000000002E-2</v>
      </c>
      <c r="F778" s="84">
        <f t="shared" si="97"/>
        <v>0.1</v>
      </c>
      <c r="G778" s="85">
        <v>0.30299999999999999</v>
      </c>
      <c r="H778" s="85">
        <v>0.32600000000000001</v>
      </c>
      <c r="I778" s="85">
        <v>6.5000000000000002E-2</v>
      </c>
      <c r="J778" s="85">
        <v>0.1</v>
      </c>
      <c r="K778" s="25">
        <f>((4/3)*L770)+((8/3)*L782)</f>
        <v>88565</v>
      </c>
      <c r="L778" s="93"/>
      <c r="M778" s="80">
        <f t="shared" si="92"/>
        <v>0.6</v>
      </c>
      <c r="N778" s="80">
        <v>0.26</v>
      </c>
      <c r="O778" s="80">
        <f t="shared" si="93"/>
        <v>0.61</v>
      </c>
      <c r="P778" s="80">
        <v>0.34620000000000001</v>
      </c>
      <c r="Q778" s="80">
        <v>0.69640000000000002</v>
      </c>
      <c r="R778" s="80">
        <v>0.6</v>
      </c>
      <c r="S778" s="80">
        <v>0.61</v>
      </c>
    </row>
    <row r="779" spans="1:19">
      <c r="A779" s="19">
        <f t="shared" si="96"/>
        <v>61148</v>
      </c>
      <c r="B779" s="19">
        <f t="shared" si="95"/>
        <v>61513</v>
      </c>
      <c r="C779" s="84">
        <f t="shared" si="97"/>
        <v>0.30299999999999999</v>
      </c>
      <c r="D779" s="84">
        <f t="shared" si="97"/>
        <v>0.32600000000000001</v>
      </c>
      <c r="E779" s="84">
        <f t="shared" si="97"/>
        <v>6.5000000000000002E-2</v>
      </c>
      <c r="F779" s="84">
        <f t="shared" si="97"/>
        <v>0.1</v>
      </c>
      <c r="G779" s="85">
        <v>0.30299999999999999</v>
      </c>
      <c r="H779" s="85">
        <v>0.32600000000000001</v>
      </c>
      <c r="I779" s="85">
        <v>6.5000000000000002E-2</v>
      </c>
      <c r="J779" s="85">
        <v>0.1</v>
      </c>
      <c r="K779" s="25">
        <f>((3/3)*L770)+((9/3)*L782)</f>
        <v>88922</v>
      </c>
      <c r="L779" s="93"/>
      <c r="M779" s="80">
        <f t="shared" si="92"/>
        <v>0.6</v>
      </c>
      <c r="N779" s="80">
        <v>0.26</v>
      </c>
      <c r="O779" s="80">
        <f t="shared" si="93"/>
        <v>0.61</v>
      </c>
      <c r="P779" s="80">
        <v>0.34620000000000001</v>
      </c>
      <c r="Q779" s="80">
        <v>0.69640000000000002</v>
      </c>
      <c r="R779" s="80">
        <v>0.6</v>
      </c>
      <c r="S779" s="80">
        <v>0.61</v>
      </c>
    </row>
    <row r="780" spans="1:19">
      <c r="A780" s="19">
        <f t="shared" si="96"/>
        <v>61178</v>
      </c>
      <c r="B780" s="19">
        <f t="shared" si="95"/>
        <v>61543</v>
      </c>
      <c r="C780" s="84">
        <f t="shared" si="97"/>
        <v>0.30299999999999999</v>
      </c>
      <c r="D780" s="84">
        <f t="shared" si="97"/>
        <v>0.32600000000000001</v>
      </c>
      <c r="E780" s="84">
        <f t="shared" si="97"/>
        <v>6.5000000000000002E-2</v>
      </c>
      <c r="F780" s="84">
        <f t="shared" si="97"/>
        <v>0.1</v>
      </c>
      <c r="G780" s="85">
        <v>0.30299999999999999</v>
      </c>
      <c r="H780" s="85">
        <v>0.32600000000000001</v>
      </c>
      <c r="I780" s="85">
        <v>6.5000000000000002E-2</v>
      </c>
      <c r="J780" s="85">
        <v>0.1</v>
      </c>
      <c r="K780" s="25">
        <f>((2/3)*L770)+((10/3)*L782)</f>
        <v>89279</v>
      </c>
      <c r="L780" s="93"/>
      <c r="M780" s="80">
        <f t="shared" si="92"/>
        <v>0.6</v>
      </c>
      <c r="N780" s="80">
        <v>0.26</v>
      </c>
      <c r="O780" s="80">
        <f t="shared" si="93"/>
        <v>0.61</v>
      </c>
      <c r="P780" s="80">
        <v>0.34620000000000001</v>
      </c>
      <c r="Q780" s="80">
        <v>0.69640000000000002</v>
      </c>
      <c r="R780" s="80">
        <v>0.6</v>
      </c>
      <c r="S780" s="80">
        <v>0.61</v>
      </c>
    </row>
    <row r="781" spans="1:19">
      <c r="A781" s="19">
        <f t="shared" si="96"/>
        <v>61209</v>
      </c>
      <c r="B781" s="19">
        <f t="shared" si="95"/>
        <v>61574</v>
      </c>
      <c r="C781" s="81">
        <f t="shared" si="97"/>
        <v>0.30299999999999999</v>
      </c>
      <c r="D781" s="81">
        <f t="shared" si="97"/>
        <v>0.32600000000000001</v>
      </c>
      <c r="E781" s="81">
        <f t="shared" si="97"/>
        <v>6.5000000000000002E-2</v>
      </c>
      <c r="F781" s="81">
        <f t="shared" si="97"/>
        <v>0.1</v>
      </c>
      <c r="G781" s="85">
        <v>0.30299999999999999</v>
      </c>
      <c r="H781" s="85">
        <v>0.32600000000000001</v>
      </c>
      <c r="I781" s="85">
        <v>6.5000000000000002E-2</v>
      </c>
      <c r="J781" s="85">
        <v>0.1</v>
      </c>
      <c r="K781" s="25">
        <f>((1/3)*L770)+((11/3)*L782)</f>
        <v>89636</v>
      </c>
      <c r="L781" s="93"/>
      <c r="M781" s="80">
        <f t="shared" si="92"/>
        <v>0.6</v>
      </c>
      <c r="N781" s="80">
        <v>0.26</v>
      </c>
      <c r="O781" s="80">
        <f t="shared" si="93"/>
        <v>0.61</v>
      </c>
      <c r="P781" s="80">
        <v>0.34620000000000001</v>
      </c>
      <c r="Q781" s="80">
        <v>0.69640000000000002</v>
      </c>
      <c r="R781" s="80">
        <v>0.6</v>
      </c>
      <c r="S781" s="80">
        <v>0.61</v>
      </c>
    </row>
    <row r="782" spans="1:19" s="78" customFormat="1">
      <c r="A782" s="77">
        <f t="shared" si="96"/>
        <v>61240</v>
      </c>
      <c r="B782" s="77">
        <f t="shared" si="95"/>
        <v>61605</v>
      </c>
      <c r="C782" s="86">
        <f t="shared" si="97"/>
        <v>0.30299999999999999</v>
      </c>
      <c r="D782" s="86">
        <f t="shared" si="97"/>
        <v>0.32600000000000001</v>
      </c>
      <c r="E782" s="86">
        <f t="shared" si="97"/>
        <v>6.5000000000000002E-2</v>
      </c>
      <c r="F782" s="86">
        <f t="shared" si="97"/>
        <v>0.1</v>
      </c>
      <c r="G782" s="87">
        <v>0.30299999999999999</v>
      </c>
      <c r="H782" s="87">
        <v>0.32600000000000001</v>
      </c>
      <c r="I782" s="87">
        <v>6.5000000000000002E-2</v>
      </c>
      <c r="J782" s="87">
        <v>0.1</v>
      </c>
      <c r="K782" s="76">
        <f>(L782*4)</f>
        <v>89994</v>
      </c>
      <c r="L782" s="94">
        <f>L770*1.05</f>
        <v>22498.400000000001</v>
      </c>
      <c r="M782" s="353">
        <f t="shared" si="92"/>
        <v>0.6</v>
      </c>
      <c r="N782" s="353">
        <v>0.26</v>
      </c>
      <c r="O782" s="353">
        <f t="shared" si="93"/>
        <v>0.61</v>
      </c>
      <c r="P782" s="353">
        <v>0.34620000000000001</v>
      </c>
      <c r="Q782" s="353">
        <v>0.69640000000000002</v>
      </c>
      <c r="R782" s="353">
        <v>0.6</v>
      </c>
      <c r="S782" s="353">
        <v>0.61</v>
      </c>
    </row>
    <row r="783" spans="1:19" s="78" customFormat="1">
      <c r="A783" s="77">
        <f t="shared" si="96"/>
        <v>61270</v>
      </c>
      <c r="B783" s="77">
        <f t="shared" si="95"/>
        <v>61635</v>
      </c>
      <c r="C783" s="86">
        <f t="shared" si="97"/>
        <v>0.30299999999999999</v>
      </c>
      <c r="D783" s="86">
        <f t="shared" si="97"/>
        <v>0.32600000000000001</v>
      </c>
      <c r="E783" s="86">
        <f t="shared" si="97"/>
        <v>6.5000000000000002E-2</v>
      </c>
      <c r="F783" s="86">
        <f t="shared" si="97"/>
        <v>0.1</v>
      </c>
      <c r="G783" s="87">
        <v>0.30299999999999999</v>
      </c>
      <c r="H783" s="87">
        <v>0.32600000000000001</v>
      </c>
      <c r="I783" s="87">
        <v>6.5000000000000002E-2</v>
      </c>
      <c r="J783" s="87">
        <v>0.1</v>
      </c>
      <c r="K783" s="76">
        <f>((11/3)*L782)+((1/3)*L794)</f>
        <v>90369</v>
      </c>
      <c r="L783" s="94"/>
      <c r="M783" s="353">
        <f t="shared" si="92"/>
        <v>0.6</v>
      </c>
      <c r="N783" s="353">
        <v>0.26</v>
      </c>
      <c r="O783" s="353">
        <f t="shared" si="93"/>
        <v>0.61</v>
      </c>
      <c r="P783" s="353">
        <v>0.34620000000000001</v>
      </c>
      <c r="Q783" s="353">
        <v>0.69640000000000002</v>
      </c>
      <c r="R783" s="353">
        <v>0.6</v>
      </c>
      <c r="S783" s="353">
        <v>0.61</v>
      </c>
    </row>
    <row r="784" spans="1:19" s="78" customFormat="1">
      <c r="A784" s="77">
        <f t="shared" si="96"/>
        <v>61301</v>
      </c>
      <c r="B784" s="77">
        <f t="shared" si="95"/>
        <v>61666</v>
      </c>
      <c r="C784" s="86">
        <f t="shared" si="97"/>
        <v>0.30299999999999999</v>
      </c>
      <c r="D784" s="86">
        <f t="shared" si="97"/>
        <v>0.32600000000000001</v>
      </c>
      <c r="E784" s="86">
        <f t="shared" si="97"/>
        <v>6.5000000000000002E-2</v>
      </c>
      <c r="F784" s="86">
        <f t="shared" si="97"/>
        <v>0.1</v>
      </c>
      <c r="G784" s="87">
        <v>0.30299999999999999</v>
      </c>
      <c r="H784" s="87">
        <v>0.32600000000000001</v>
      </c>
      <c r="I784" s="87">
        <v>6.5000000000000002E-2</v>
      </c>
      <c r="J784" s="87">
        <v>0.1</v>
      </c>
      <c r="K784" s="76">
        <f>((10/3)*L782)+((2/3)*L794)</f>
        <v>90744</v>
      </c>
      <c r="L784" s="94"/>
      <c r="M784" s="353">
        <f t="shared" si="92"/>
        <v>0.6</v>
      </c>
      <c r="N784" s="353">
        <v>0.26</v>
      </c>
      <c r="O784" s="353">
        <f t="shared" si="93"/>
        <v>0.61</v>
      </c>
      <c r="P784" s="353">
        <v>0.34620000000000001</v>
      </c>
      <c r="Q784" s="353">
        <v>0.69640000000000002</v>
      </c>
      <c r="R784" s="353">
        <v>0.6</v>
      </c>
      <c r="S784" s="353">
        <v>0.61</v>
      </c>
    </row>
    <row r="785" spans="1:19" s="78" customFormat="1">
      <c r="A785" s="77">
        <f t="shared" si="96"/>
        <v>61331</v>
      </c>
      <c r="B785" s="77">
        <f t="shared" si="95"/>
        <v>61696</v>
      </c>
      <c r="C785" s="86">
        <f t="shared" si="97"/>
        <v>0.30299999999999999</v>
      </c>
      <c r="D785" s="86">
        <f t="shared" si="97"/>
        <v>0.32600000000000001</v>
      </c>
      <c r="E785" s="86">
        <f t="shared" si="97"/>
        <v>6.5000000000000002E-2</v>
      </c>
      <c r="F785" s="86">
        <f t="shared" si="97"/>
        <v>0.1</v>
      </c>
      <c r="G785" s="87">
        <v>0.30299999999999999</v>
      </c>
      <c r="H785" s="87">
        <v>0.32600000000000001</v>
      </c>
      <c r="I785" s="87">
        <v>6.5000000000000002E-2</v>
      </c>
      <c r="J785" s="87">
        <v>0.1</v>
      </c>
      <c r="K785" s="76">
        <f>((9/3)*L782)+((3/3)*L794)</f>
        <v>91119</v>
      </c>
      <c r="L785" s="94"/>
      <c r="M785" s="353">
        <f t="shared" si="92"/>
        <v>0.6</v>
      </c>
      <c r="N785" s="353">
        <v>0.26</v>
      </c>
      <c r="O785" s="353">
        <f t="shared" si="93"/>
        <v>0.61</v>
      </c>
      <c r="P785" s="353">
        <v>0.34620000000000001</v>
      </c>
      <c r="Q785" s="353">
        <v>0.69640000000000002</v>
      </c>
      <c r="R785" s="353">
        <v>0.6</v>
      </c>
      <c r="S785" s="353">
        <v>0.61</v>
      </c>
    </row>
    <row r="786" spans="1:19" s="78" customFormat="1">
      <c r="A786" s="77">
        <f t="shared" si="96"/>
        <v>61362</v>
      </c>
      <c r="B786" s="77">
        <f t="shared" si="95"/>
        <v>61727</v>
      </c>
      <c r="C786" s="86">
        <f t="shared" si="97"/>
        <v>0.30299999999999999</v>
      </c>
      <c r="D786" s="86">
        <f t="shared" si="97"/>
        <v>0.32600000000000001</v>
      </c>
      <c r="E786" s="86">
        <f t="shared" si="97"/>
        <v>6.5000000000000002E-2</v>
      </c>
      <c r="F786" s="86">
        <f t="shared" si="97"/>
        <v>0.1</v>
      </c>
      <c r="G786" s="87">
        <v>0.30299999999999999</v>
      </c>
      <c r="H786" s="87">
        <v>0.32600000000000001</v>
      </c>
      <c r="I786" s="87">
        <v>6.5000000000000002E-2</v>
      </c>
      <c r="J786" s="87">
        <v>0.1</v>
      </c>
      <c r="K786" s="76">
        <f>((8/3)*L782)+((4/3)*L794)</f>
        <v>91493</v>
      </c>
      <c r="L786" s="94"/>
      <c r="M786" s="353">
        <f t="shared" si="92"/>
        <v>0.6</v>
      </c>
      <c r="N786" s="353">
        <v>0.26</v>
      </c>
      <c r="O786" s="353">
        <f t="shared" si="93"/>
        <v>0.61</v>
      </c>
      <c r="P786" s="353">
        <v>0.34620000000000001</v>
      </c>
      <c r="Q786" s="353">
        <v>0.69640000000000002</v>
      </c>
      <c r="R786" s="353">
        <v>0.6</v>
      </c>
      <c r="S786" s="353">
        <v>0.61</v>
      </c>
    </row>
    <row r="787" spans="1:19" s="78" customFormat="1">
      <c r="A787" s="77">
        <f t="shared" si="96"/>
        <v>61393</v>
      </c>
      <c r="B787" s="77">
        <f t="shared" si="95"/>
        <v>61758</v>
      </c>
      <c r="C787" s="86">
        <f t="shared" ref="C787:F794" si="98">AVERAGE(G787:G798)</f>
        <v>0.30299999999999999</v>
      </c>
      <c r="D787" s="86">
        <f t="shared" si="98"/>
        <v>0.32600000000000001</v>
      </c>
      <c r="E787" s="86">
        <f t="shared" si="98"/>
        <v>6.5000000000000002E-2</v>
      </c>
      <c r="F787" s="86">
        <f t="shared" si="98"/>
        <v>0.1</v>
      </c>
      <c r="G787" s="87">
        <v>0.30299999999999999</v>
      </c>
      <c r="H787" s="87">
        <v>0.32600000000000001</v>
      </c>
      <c r="I787" s="87">
        <v>6.5000000000000002E-2</v>
      </c>
      <c r="J787" s="87">
        <v>0.1</v>
      </c>
      <c r="K787" s="76">
        <f>((7/3)*L782)+((5/3)*L794)</f>
        <v>91868</v>
      </c>
      <c r="L787" s="94"/>
      <c r="M787" s="353">
        <f t="shared" si="92"/>
        <v>0.6</v>
      </c>
      <c r="N787" s="353">
        <v>0.26</v>
      </c>
      <c r="O787" s="353">
        <f t="shared" si="93"/>
        <v>0.61</v>
      </c>
      <c r="P787" s="353">
        <v>0.34620000000000001</v>
      </c>
      <c r="Q787" s="353">
        <v>0.69640000000000002</v>
      </c>
      <c r="R787" s="353">
        <v>0.6</v>
      </c>
      <c r="S787" s="353">
        <v>0.61</v>
      </c>
    </row>
    <row r="788" spans="1:19" s="78" customFormat="1">
      <c r="A788" s="77">
        <f t="shared" si="96"/>
        <v>61422</v>
      </c>
      <c r="B788" s="77">
        <f t="shared" si="95"/>
        <v>61786</v>
      </c>
      <c r="C788" s="86">
        <f t="shared" si="98"/>
        <v>0.30299999999999999</v>
      </c>
      <c r="D788" s="86">
        <f t="shared" si="98"/>
        <v>0.32600000000000001</v>
      </c>
      <c r="E788" s="86">
        <f t="shared" si="98"/>
        <v>6.5000000000000002E-2</v>
      </c>
      <c r="F788" s="86">
        <f t="shared" si="98"/>
        <v>0.1</v>
      </c>
      <c r="G788" s="87">
        <v>0.30299999999999999</v>
      </c>
      <c r="H788" s="87">
        <v>0.32600000000000001</v>
      </c>
      <c r="I788" s="87">
        <v>6.5000000000000002E-2</v>
      </c>
      <c r="J788" s="87">
        <v>0.1</v>
      </c>
      <c r="K788" s="76">
        <f>((6/3)*L782)+((6/3)*L794)</f>
        <v>92243</v>
      </c>
      <c r="L788" s="94"/>
      <c r="M788" s="353">
        <f t="shared" si="92"/>
        <v>0.6</v>
      </c>
      <c r="N788" s="353">
        <v>0.26</v>
      </c>
      <c r="O788" s="353">
        <f t="shared" si="93"/>
        <v>0.61</v>
      </c>
      <c r="P788" s="353">
        <v>0.34620000000000001</v>
      </c>
      <c r="Q788" s="353">
        <v>0.69640000000000002</v>
      </c>
      <c r="R788" s="353">
        <v>0.6</v>
      </c>
      <c r="S788" s="353">
        <v>0.61</v>
      </c>
    </row>
    <row r="789" spans="1:19" s="78" customFormat="1">
      <c r="A789" s="77">
        <f t="shared" si="96"/>
        <v>61453</v>
      </c>
      <c r="B789" s="77">
        <f t="shared" si="95"/>
        <v>61817</v>
      </c>
      <c r="C789" s="86">
        <f t="shared" si="98"/>
        <v>0.30299999999999999</v>
      </c>
      <c r="D789" s="86">
        <f t="shared" si="98"/>
        <v>0.32600000000000001</v>
      </c>
      <c r="E789" s="86">
        <f t="shared" si="98"/>
        <v>6.5000000000000002E-2</v>
      </c>
      <c r="F789" s="86">
        <f t="shared" si="98"/>
        <v>0.1</v>
      </c>
      <c r="G789" s="87">
        <v>0.30299999999999999</v>
      </c>
      <c r="H789" s="87">
        <v>0.32600000000000001</v>
      </c>
      <c r="I789" s="87">
        <v>6.5000000000000002E-2</v>
      </c>
      <c r="J789" s="87">
        <v>0.1</v>
      </c>
      <c r="K789" s="76">
        <f>((5/3)*L782)+((7/3)*L794)</f>
        <v>92618</v>
      </c>
      <c r="L789" s="94"/>
      <c r="M789" s="353">
        <f t="shared" si="92"/>
        <v>0.6</v>
      </c>
      <c r="N789" s="353">
        <v>0.26</v>
      </c>
      <c r="O789" s="353">
        <f t="shared" si="93"/>
        <v>0.61</v>
      </c>
      <c r="P789" s="353">
        <v>0.34620000000000001</v>
      </c>
      <c r="Q789" s="353">
        <v>0.69640000000000002</v>
      </c>
      <c r="R789" s="353">
        <v>0.6</v>
      </c>
      <c r="S789" s="353">
        <v>0.61</v>
      </c>
    </row>
    <row r="790" spans="1:19" s="78" customFormat="1">
      <c r="A790" s="77">
        <f t="shared" si="96"/>
        <v>61483</v>
      </c>
      <c r="B790" s="77">
        <f t="shared" si="95"/>
        <v>61847</v>
      </c>
      <c r="C790" s="86">
        <f t="shared" si="98"/>
        <v>0.30299999999999999</v>
      </c>
      <c r="D790" s="86">
        <f t="shared" si="98"/>
        <v>0.32600000000000001</v>
      </c>
      <c r="E790" s="86">
        <f t="shared" si="98"/>
        <v>6.5000000000000002E-2</v>
      </c>
      <c r="F790" s="86">
        <f t="shared" si="98"/>
        <v>0.1</v>
      </c>
      <c r="G790" s="87">
        <v>0.30299999999999999</v>
      </c>
      <c r="H790" s="87">
        <v>0.32600000000000001</v>
      </c>
      <c r="I790" s="87">
        <v>6.5000000000000002E-2</v>
      </c>
      <c r="J790" s="87">
        <v>0.1</v>
      </c>
      <c r="K790" s="76">
        <f>((4/3)*L782)+((8/3)*L794)</f>
        <v>92993</v>
      </c>
      <c r="L790" s="94"/>
      <c r="M790" s="353">
        <f t="shared" si="92"/>
        <v>0.6</v>
      </c>
      <c r="N790" s="353">
        <v>0.26</v>
      </c>
      <c r="O790" s="353">
        <f t="shared" si="93"/>
        <v>0.61</v>
      </c>
      <c r="P790" s="353">
        <v>0.34620000000000001</v>
      </c>
      <c r="Q790" s="353">
        <v>0.69640000000000002</v>
      </c>
      <c r="R790" s="353">
        <v>0.6</v>
      </c>
      <c r="S790" s="353">
        <v>0.61</v>
      </c>
    </row>
    <row r="791" spans="1:19" s="78" customFormat="1">
      <c r="A791" s="77">
        <f t="shared" si="96"/>
        <v>61514</v>
      </c>
      <c r="B791" s="77">
        <f t="shared" si="95"/>
        <v>61878</v>
      </c>
      <c r="C791" s="86">
        <f t="shared" si="98"/>
        <v>0.30299999999999999</v>
      </c>
      <c r="D791" s="86">
        <f t="shared" si="98"/>
        <v>0.32600000000000001</v>
      </c>
      <c r="E791" s="86">
        <f t="shared" si="98"/>
        <v>6.5000000000000002E-2</v>
      </c>
      <c r="F791" s="86">
        <f t="shared" si="98"/>
        <v>0.1</v>
      </c>
      <c r="G791" s="87">
        <v>0.30299999999999999</v>
      </c>
      <c r="H791" s="87">
        <v>0.32600000000000001</v>
      </c>
      <c r="I791" s="87">
        <v>6.5000000000000002E-2</v>
      </c>
      <c r="J791" s="87">
        <v>0.1</v>
      </c>
      <c r="K791" s="76">
        <f>((3/3)*L782)+((9/3)*L794)</f>
        <v>93368</v>
      </c>
      <c r="L791" s="94"/>
      <c r="M791" s="353">
        <f t="shared" si="92"/>
        <v>0.6</v>
      </c>
      <c r="N791" s="353">
        <v>0.26</v>
      </c>
      <c r="O791" s="353">
        <f t="shared" si="93"/>
        <v>0.61</v>
      </c>
      <c r="P791" s="353">
        <v>0.34620000000000001</v>
      </c>
      <c r="Q791" s="353">
        <v>0.69640000000000002</v>
      </c>
      <c r="R791" s="353">
        <v>0.6</v>
      </c>
      <c r="S791" s="353">
        <v>0.61</v>
      </c>
    </row>
    <row r="792" spans="1:19" s="78" customFormat="1">
      <c r="A792" s="77">
        <f t="shared" si="96"/>
        <v>61544</v>
      </c>
      <c r="B792" s="77">
        <f t="shared" si="95"/>
        <v>61908</v>
      </c>
      <c r="C792" s="86">
        <f t="shared" si="98"/>
        <v>0.30299999999999999</v>
      </c>
      <c r="D792" s="86">
        <f t="shared" si="98"/>
        <v>0.32600000000000001</v>
      </c>
      <c r="E792" s="86">
        <f t="shared" si="98"/>
        <v>6.5000000000000002E-2</v>
      </c>
      <c r="F792" s="86">
        <f t="shared" si="98"/>
        <v>0.1</v>
      </c>
      <c r="G792" s="87">
        <v>0.30299999999999999</v>
      </c>
      <c r="H792" s="87">
        <v>0.32600000000000001</v>
      </c>
      <c r="I792" s="87">
        <v>6.5000000000000002E-2</v>
      </c>
      <c r="J792" s="87">
        <v>0.1</v>
      </c>
      <c r="K792" s="76">
        <f>((2/3)*L782)+((10/3)*L794)</f>
        <v>93743</v>
      </c>
      <c r="L792" s="94"/>
      <c r="M792" s="353">
        <f t="shared" si="92"/>
        <v>0.6</v>
      </c>
      <c r="N792" s="353">
        <v>0.26</v>
      </c>
      <c r="O792" s="353">
        <f t="shared" si="93"/>
        <v>0.61</v>
      </c>
      <c r="P792" s="353">
        <v>0.34620000000000001</v>
      </c>
      <c r="Q792" s="353">
        <v>0.69640000000000002</v>
      </c>
      <c r="R792" s="353">
        <v>0.6</v>
      </c>
      <c r="S792" s="353">
        <v>0.61</v>
      </c>
    </row>
    <row r="793" spans="1:19" s="78" customFormat="1">
      <c r="A793" s="77">
        <f t="shared" si="96"/>
        <v>61575</v>
      </c>
      <c r="B793" s="77">
        <f t="shared" si="95"/>
        <v>61939</v>
      </c>
      <c r="C793" s="86">
        <f t="shared" si="98"/>
        <v>0.30299999999999999</v>
      </c>
      <c r="D793" s="86">
        <f t="shared" si="98"/>
        <v>0.32600000000000001</v>
      </c>
      <c r="E793" s="86">
        <f t="shared" si="98"/>
        <v>6.5000000000000002E-2</v>
      </c>
      <c r="F793" s="86">
        <f t="shared" si="98"/>
        <v>0.1</v>
      </c>
      <c r="G793" s="87">
        <v>0.30299999999999999</v>
      </c>
      <c r="H793" s="87">
        <v>0.32600000000000001</v>
      </c>
      <c r="I793" s="87">
        <v>6.5000000000000002E-2</v>
      </c>
      <c r="J793" s="87">
        <v>0.1</v>
      </c>
      <c r="K793" s="76">
        <f>((1/3)*L782)+((11/3)*L794)</f>
        <v>94118</v>
      </c>
      <c r="L793" s="94"/>
      <c r="M793" s="353">
        <f t="shared" si="92"/>
        <v>0.6</v>
      </c>
      <c r="N793" s="353">
        <v>0.26</v>
      </c>
      <c r="O793" s="353">
        <f t="shared" si="93"/>
        <v>0.61</v>
      </c>
      <c r="P793" s="353">
        <v>0.34620000000000001</v>
      </c>
      <c r="Q793" s="353">
        <v>0.69640000000000002</v>
      </c>
      <c r="R793" s="353">
        <v>0.6</v>
      </c>
      <c r="S793" s="353">
        <v>0.61</v>
      </c>
    </row>
    <row r="794" spans="1:19">
      <c r="A794" s="19">
        <f t="shared" si="96"/>
        <v>61606</v>
      </c>
      <c r="B794" s="19">
        <f t="shared" si="95"/>
        <v>61970</v>
      </c>
      <c r="C794" s="84">
        <f t="shared" si="98"/>
        <v>0.30299999999999999</v>
      </c>
      <c r="D794" s="84">
        <f t="shared" si="98"/>
        <v>0.32600000000000001</v>
      </c>
      <c r="E794" s="84">
        <f t="shared" si="98"/>
        <v>6.5000000000000002E-2</v>
      </c>
      <c r="F794" s="84">
        <f t="shared" si="98"/>
        <v>0.1</v>
      </c>
      <c r="G794" s="85">
        <v>0.30299999999999999</v>
      </c>
      <c r="H794" s="85">
        <v>0.32600000000000001</v>
      </c>
      <c r="I794" s="85">
        <v>6.5000000000000002E-2</v>
      </c>
      <c r="J794" s="85">
        <v>0.1</v>
      </c>
      <c r="K794" s="25">
        <f>(L794*4)</f>
        <v>94493</v>
      </c>
      <c r="L794" s="93">
        <f>L782*1.05</f>
        <v>23623.32</v>
      </c>
      <c r="M794" s="80">
        <f t="shared" si="92"/>
        <v>0.6</v>
      </c>
      <c r="N794" s="80">
        <v>0.26</v>
      </c>
      <c r="O794" s="80">
        <f t="shared" si="93"/>
        <v>0.61</v>
      </c>
      <c r="P794" s="80">
        <v>0.34620000000000001</v>
      </c>
      <c r="Q794" s="80">
        <v>0.69640000000000002</v>
      </c>
      <c r="R794" s="80">
        <v>0.6</v>
      </c>
      <c r="S794" s="80">
        <v>0.61</v>
      </c>
    </row>
    <row r="795" spans="1:19">
      <c r="A795" s="19">
        <f t="shared" si="96"/>
        <v>61636</v>
      </c>
      <c r="B795" s="19">
        <f t="shared" si="95"/>
        <v>62000</v>
      </c>
      <c r="C795" s="84">
        <f>AVERAGE(G795:G805)</f>
        <v>0.30299999999999999</v>
      </c>
      <c r="D795" s="84">
        <f>AVERAGE(H795:H805)</f>
        <v>0.32600000000000001</v>
      </c>
      <c r="E795" s="84">
        <f>AVERAGE(I795:I805)</f>
        <v>6.5000000000000002E-2</v>
      </c>
      <c r="F795" s="84">
        <f>AVERAGE(J795:J805)</f>
        <v>0.1</v>
      </c>
      <c r="G795" s="85">
        <v>0.30299999999999999</v>
      </c>
      <c r="H795" s="85">
        <v>0.32600000000000001</v>
      </c>
      <c r="I795" s="85">
        <v>6.5000000000000002E-2</v>
      </c>
      <c r="J795" s="85">
        <v>0.1</v>
      </c>
      <c r="K795" s="25">
        <f>((11/3)*L794)+((1/3)*L806)</f>
        <v>94887</v>
      </c>
      <c r="L795" s="93"/>
      <c r="M795" s="80">
        <f t="shared" si="92"/>
        <v>0.6</v>
      </c>
      <c r="N795" s="80">
        <v>0.26</v>
      </c>
      <c r="O795" s="80">
        <f t="shared" si="93"/>
        <v>0.61</v>
      </c>
      <c r="P795" s="80">
        <v>0.34620000000000001</v>
      </c>
      <c r="Q795" s="80">
        <v>0.69640000000000002</v>
      </c>
      <c r="R795" s="80">
        <v>0.6</v>
      </c>
      <c r="S795" s="80">
        <v>0.61</v>
      </c>
    </row>
    <row r="796" spans="1:19">
      <c r="A796" s="19">
        <f t="shared" si="96"/>
        <v>61667</v>
      </c>
      <c r="B796" s="19">
        <f t="shared" si="95"/>
        <v>62031</v>
      </c>
      <c r="C796" s="84">
        <f>AVERAGE(G796:G805)</f>
        <v>0.30299999999999999</v>
      </c>
      <c r="D796" s="84">
        <f>AVERAGE(H796:H805)</f>
        <v>0.32600000000000001</v>
      </c>
      <c r="E796" s="84">
        <f>AVERAGE(I796:I805)</f>
        <v>6.5000000000000002E-2</v>
      </c>
      <c r="F796" s="84">
        <f>AVERAGE(J796:J805)</f>
        <v>0.1</v>
      </c>
      <c r="G796" s="85">
        <v>0.30299999999999999</v>
      </c>
      <c r="H796" s="85">
        <v>0.32600000000000001</v>
      </c>
      <c r="I796" s="85">
        <v>6.5000000000000002E-2</v>
      </c>
      <c r="J796" s="85">
        <v>0.1</v>
      </c>
      <c r="K796" s="25">
        <f>((10/3)*L794)+((2/3)*L806)</f>
        <v>95281</v>
      </c>
      <c r="L796" s="93"/>
      <c r="M796" s="80">
        <f t="shared" si="92"/>
        <v>0.6</v>
      </c>
      <c r="N796" s="80">
        <v>0.26</v>
      </c>
      <c r="O796" s="80">
        <f t="shared" si="93"/>
        <v>0.61</v>
      </c>
      <c r="P796" s="80">
        <v>0.34620000000000001</v>
      </c>
      <c r="Q796" s="80">
        <v>0.69640000000000002</v>
      </c>
      <c r="R796" s="80">
        <v>0.6</v>
      </c>
      <c r="S796" s="80">
        <v>0.61</v>
      </c>
    </row>
    <row r="797" spans="1:19">
      <c r="A797" s="19">
        <f t="shared" si="96"/>
        <v>61697</v>
      </c>
      <c r="B797" s="19">
        <f t="shared" si="95"/>
        <v>62061</v>
      </c>
      <c r="C797" s="84">
        <f>AVERAGE(G797:G805)</f>
        <v>0.30299999999999999</v>
      </c>
      <c r="D797" s="84">
        <f>AVERAGE(H797:H805)</f>
        <v>0.32600000000000001</v>
      </c>
      <c r="E797" s="84">
        <f>AVERAGE(I797:I805)</f>
        <v>6.5000000000000002E-2</v>
      </c>
      <c r="F797" s="84">
        <f>AVERAGE(J797:J805)</f>
        <v>0.1</v>
      </c>
      <c r="G797" s="85">
        <v>0.30299999999999999</v>
      </c>
      <c r="H797" s="85">
        <v>0.32600000000000001</v>
      </c>
      <c r="I797" s="85">
        <v>6.5000000000000002E-2</v>
      </c>
      <c r="J797" s="85">
        <v>0.1</v>
      </c>
      <c r="K797" s="25">
        <f>((9/3)*L794)+((3/3)*L806)</f>
        <v>95674</v>
      </c>
      <c r="L797" s="93"/>
      <c r="M797" s="80">
        <f t="shared" si="92"/>
        <v>0.6</v>
      </c>
      <c r="N797" s="80">
        <v>0.26</v>
      </c>
      <c r="O797" s="80">
        <f t="shared" si="93"/>
        <v>0.61</v>
      </c>
      <c r="P797" s="80">
        <v>0.34620000000000001</v>
      </c>
      <c r="Q797" s="80">
        <v>0.69640000000000002</v>
      </c>
      <c r="R797" s="80">
        <v>0.6</v>
      </c>
      <c r="S797" s="80">
        <v>0.61</v>
      </c>
    </row>
    <row r="798" spans="1:19">
      <c r="A798" s="19">
        <f t="shared" si="96"/>
        <v>61728</v>
      </c>
      <c r="B798" s="19">
        <f t="shared" si="95"/>
        <v>62092</v>
      </c>
      <c r="C798" s="84">
        <f>AVERAGE(G798:G805)</f>
        <v>0.30299999999999999</v>
      </c>
      <c r="D798" s="84">
        <f>AVERAGE(H798:H805)</f>
        <v>0.32600000000000001</v>
      </c>
      <c r="E798" s="84">
        <f>AVERAGE(I798:I805)</f>
        <v>6.5000000000000002E-2</v>
      </c>
      <c r="F798" s="84">
        <f>AVERAGE(J798:J805)</f>
        <v>0.1</v>
      </c>
      <c r="G798" s="85">
        <v>0.30299999999999999</v>
      </c>
      <c r="H798" s="85">
        <v>0.32600000000000001</v>
      </c>
      <c r="I798" s="85">
        <v>6.5000000000000002E-2</v>
      </c>
      <c r="J798" s="85">
        <v>0.1</v>
      </c>
      <c r="K798" s="25">
        <f>((8/3)*L794)+((4/3)*L806)</f>
        <v>96068</v>
      </c>
      <c r="L798" s="93"/>
      <c r="M798" s="80">
        <f t="shared" si="92"/>
        <v>0.6</v>
      </c>
      <c r="N798" s="80">
        <v>0.26</v>
      </c>
      <c r="O798" s="80">
        <f t="shared" si="93"/>
        <v>0.61</v>
      </c>
      <c r="P798" s="80">
        <v>0.34620000000000001</v>
      </c>
      <c r="Q798" s="80">
        <v>0.69640000000000002</v>
      </c>
      <c r="R798" s="80">
        <v>0.6</v>
      </c>
      <c r="S798" s="80">
        <v>0.61</v>
      </c>
    </row>
    <row r="799" spans="1:19">
      <c r="A799" s="19">
        <f t="shared" si="96"/>
        <v>61759</v>
      </c>
      <c r="B799" s="19">
        <f t="shared" si="95"/>
        <v>62123</v>
      </c>
      <c r="C799" s="84">
        <f>AVERAGE(G799:G805)</f>
        <v>0.30299999999999999</v>
      </c>
      <c r="D799" s="84">
        <f>AVERAGE(H799:H805)</f>
        <v>0.32600000000000001</v>
      </c>
      <c r="E799" s="84">
        <f>AVERAGE(I799:I805)</f>
        <v>6.5000000000000002E-2</v>
      </c>
      <c r="F799" s="84">
        <f>AVERAGE(J799:J805)</f>
        <v>0.1</v>
      </c>
      <c r="G799" s="85">
        <v>0.30299999999999999</v>
      </c>
      <c r="H799" s="85">
        <v>0.32600000000000001</v>
      </c>
      <c r="I799" s="85">
        <v>6.5000000000000002E-2</v>
      </c>
      <c r="J799" s="85">
        <v>0.1</v>
      </c>
      <c r="K799" s="25">
        <f>((7/3)*L794)+((5/3)*L806)</f>
        <v>96462</v>
      </c>
      <c r="L799" s="93"/>
      <c r="M799" s="80">
        <f t="shared" si="92"/>
        <v>0.6</v>
      </c>
      <c r="N799" s="80">
        <v>0.26</v>
      </c>
      <c r="O799" s="80">
        <f t="shared" si="93"/>
        <v>0.61</v>
      </c>
      <c r="P799" s="80">
        <v>0.34620000000000001</v>
      </c>
      <c r="Q799" s="80">
        <v>0.69640000000000002</v>
      </c>
      <c r="R799" s="80">
        <v>0.6</v>
      </c>
      <c r="S799" s="80">
        <v>0.61</v>
      </c>
    </row>
    <row r="800" spans="1:19">
      <c r="A800" s="19">
        <f t="shared" si="96"/>
        <v>61787</v>
      </c>
      <c r="B800" s="19">
        <f t="shared" si="95"/>
        <v>62151</v>
      </c>
      <c r="C800" s="84">
        <f>AVERAGE(G800:G805)</f>
        <v>0.30299999999999999</v>
      </c>
      <c r="D800" s="84">
        <f>AVERAGE(H800:H805)</f>
        <v>0.32600000000000001</v>
      </c>
      <c r="E800" s="84">
        <f>AVERAGE(I800:I805)</f>
        <v>6.5000000000000002E-2</v>
      </c>
      <c r="F800" s="84">
        <f>AVERAGE(J800:J805)</f>
        <v>0.1</v>
      </c>
      <c r="G800" s="85">
        <v>0.30299999999999999</v>
      </c>
      <c r="H800" s="85">
        <v>0.32600000000000001</v>
      </c>
      <c r="I800" s="85">
        <v>6.5000000000000002E-2</v>
      </c>
      <c r="J800" s="85">
        <v>0.1</v>
      </c>
      <c r="K800" s="25">
        <f>((6/3)*L794)+((6/3)*L806)</f>
        <v>96856</v>
      </c>
      <c r="L800" s="93"/>
      <c r="M800" s="80">
        <f t="shared" si="92"/>
        <v>0.6</v>
      </c>
      <c r="N800" s="80">
        <v>0.26</v>
      </c>
      <c r="O800" s="80">
        <f t="shared" si="93"/>
        <v>0.61</v>
      </c>
      <c r="P800" s="80">
        <v>0.34620000000000001</v>
      </c>
      <c r="Q800" s="80">
        <v>0.69640000000000002</v>
      </c>
      <c r="R800" s="80">
        <v>0.6</v>
      </c>
      <c r="S800" s="80">
        <v>0.61</v>
      </c>
    </row>
    <row r="801" spans="1:19">
      <c r="A801" s="19">
        <f t="shared" si="96"/>
        <v>61818</v>
      </c>
      <c r="B801" s="19">
        <f t="shared" si="95"/>
        <v>62182</v>
      </c>
      <c r="C801" s="84">
        <f>AVERAGE(G801:G805)</f>
        <v>0.30299999999999999</v>
      </c>
      <c r="D801" s="84">
        <f>AVERAGE(H801:H805)</f>
        <v>0.32600000000000001</v>
      </c>
      <c r="E801" s="84">
        <f>AVERAGE(I801:I805)</f>
        <v>6.5000000000000002E-2</v>
      </c>
      <c r="F801" s="84">
        <f>AVERAGE(J801:J805)</f>
        <v>0.1</v>
      </c>
      <c r="G801" s="85">
        <v>0.30299999999999999</v>
      </c>
      <c r="H801" s="85">
        <v>0.32600000000000001</v>
      </c>
      <c r="I801" s="85">
        <v>6.5000000000000002E-2</v>
      </c>
      <c r="J801" s="85">
        <v>0.1</v>
      </c>
      <c r="K801" s="25">
        <f>((5/3)*L794)+((7/3)*L806)</f>
        <v>97249</v>
      </c>
      <c r="L801" s="93"/>
      <c r="M801" s="80">
        <f t="shared" si="92"/>
        <v>0.6</v>
      </c>
      <c r="N801" s="80">
        <v>0.26</v>
      </c>
      <c r="O801" s="80">
        <f t="shared" si="93"/>
        <v>0.61</v>
      </c>
      <c r="P801" s="80">
        <v>0.34620000000000001</v>
      </c>
      <c r="Q801" s="80">
        <v>0.69640000000000002</v>
      </c>
      <c r="R801" s="80">
        <v>0.6</v>
      </c>
      <c r="S801" s="80">
        <v>0.61</v>
      </c>
    </row>
    <row r="802" spans="1:19">
      <c r="A802" s="19">
        <f t="shared" si="96"/>
        <v>61848</v>
      </c>
      <c r="B802" s="19">
        <f t="shared" si="95"/>
        <v>62212</v>
      </c>
      <c r="C802" s="84">
        <f>AVERAGE(G802:G805)</f>
        <v>0.30299999999999999</v>
      </c>
      <c r="D802" s="84">
        <f>AVERAGE(H802:H805)</f>
        <v>0.32600000000000001</v>
      </c>
      <c r="E802" s="84">
        <f>AVERAGE(I802:I805)</f>
        <v>6.5000000000000002E-2</v>
      </c>
      <c r="F802" s="84">
        <f>AVERAGE(J802:J805)</f>
        <v>0.1</v>
      </c>
      <c r="G802" s="85">
        <v>0.30299999999999999</v>
      </c>
      <c r="H802" s="85">
        <v>0.32600000000000001</v>
      </c>
      <c r="I802" s="85">
        <v>6.5000000000000002E-2</v>
      </c>
      <c r="J802" s="85">
        <v>0.1</v>
      </c>
      <c r="K802" s="25">
        <f>((4/3)*L794)+((8/3)*L806)</f>
        <v>97643</v>
      </c>
      <c r="L802" s="93"/>
      <c r="M802" s="80">
        <f t="shared" si="92"/>
        <v>0.6</v>
      </c>
      <c r="N802" s="80">
        <v>0.26</v>
      </c>
      <c r="O802" s="80">
        <f t="shared" si="93"/>
        <v>0.61</v>
      </c>
      <c r="P802" s="80">
        <v>0.34620000000000001</v>
      </c>
      <c r="Q802" s="80">
        <v>0.69640000000000002</v>
      </c>
      <c r="R802" s="80">
        <v>0.6</v>
      </c>
      <c r="S802" s="80">
        <v>0.61</v>
      </c>
    </row>
    <row r="803" spans="1:19">
      <c r="A803" s="19">
        <f t="shared" si="96"/>
        <v>61879</v>
      </c>
      <c r="B803" s="19">
        <f t="shared" si="95"/>
        <v>62243</v>
      </c>
      <c r="C803" s="84">
        <f>AVERAGE(G803:G805)</f>
        <v>0.30299999999999999</v>
      </c>
      <c r="D803" s="84">
        <f>AVERAGE(H803:H805)</f>
        <v>0.32600000000000001</v>
      </c>
      <c r="E803" s="84">
        <f>AVERAGE(I803:I805)</f>
        <v>6.5000000000000002E-2</v>
      </c>
      <c r="F803" s="84">
        <f>AVERAGE(J803:J805)</f>
        <v>0.1</v>
      </c>
      <c r="G803" s="85">
        <v>0.30299999999999999</v>
      </c>
      <c r="H803" s="85">
        <v>0.32600000000000001</v>
      </c>
      <c r="I803" s="85">
        <v>6.5000000000000002E-2</v>
      </c>
      <c r="J803" s="85">
        <v>0.1</v>
      </c>
      <c r="K803" s="25">
        <f>((3/3)*L794)+((9/3)*L806)</f>
        <v>98037</v>
      </c>
      <c r="L803" s="93"/>
      <c r="M803" s="80">
        <f t="shared" si="92"/>
        <v>0.6</v>
      </c>
      <c r="N803" s="80">
        <v>0.26</v>
      </c>
      <c r="O803" s="80">
        <f t="shared" si="93"/>
        <v>0.61</v>
      </c>
      <c r="P803" s="80">
        <v>0.34620000000000001</v>
      </c>
      <c r="Q803" s="80">
        <v>0.69640000000000002</v>
      </c>
      <c r="R803" s="80">
        <v>0.6</v>
      </c>
      <c r="S803" s="80">
        <v>0.61</v>
      </c>
    </row>
    <row r="804" spans="1:19">
      <c r="A804" s="19">
        <f t="shared" si="96"/>
        <v>61909</v>
      </c>
      <c r="B804" s="19">
        <f t="shared" si="95"/>
        <v>62273</v>
      </c>
      <c r="C804" s="84">
        <f>AVERAGE(G804:G805)</f>
        <v>0.30299999999999999</v>
      </c>
      <c r="D804" s="84">
        <f>AVERAGE(H804:H805)</f>
        <v>0.32600000000000001</v>
      </c>
      <c r="E804" s="84">
        <f>AVERAGE(I804:I805)</f>
        <v>6.5000000000000002E-2</v>
      </c>
      <c r="F804" s="84">
        <f>AVERAGE(J804:J805)</f>
        <v>0.1</v>
      </c>
      <c r="G804" s="85">
        <v>0.30299999999999999</v>
      </c>
      <c r="H804" s="85">
        <v>0.32600000000000001</v>
      </c>
      <c r="I804" s="85">
        <v>6.5000000000000002E-2</v>
      </c>
      <c r="J804" s="85">
        <v>0.1</v>
      </c>
      <c r="K804" s="25">
        <f>((2/3)*L794)+((10/3)*L806)</f>
        <v>98431</v>
      </c>
      <c r="L804" s="93"/>
      <c r="M804" s="80">
        <f t="shared" si="92"/>
        <v>0.6</v>
      </c>
      <c r="N804" s="80">
        <v>0.26</v>
      </c>
      <c r="O804" s="80">
        <f t="shared" si="93"/>
        <v>0.61</v>
      </c>
      <c r="P804" s="80">
        <v>0.34620000000000001</v>
      </c>
      <c r="Q804" s="80">
        <v>0.69640000000000002</v>
      </c>
      <c r="R804" s="80">
        <v>0.6</v>
      </c>
      <c r="S804" s="80">
        <v>0.61</v>
      </c>
    </row>
    <row r="805" spans="1:19">
      <c r="A805" s="19">
        <f t="shared" si="96"/>
        <v>61940</v>
      </c>
      <c r="B805" s="19">
        <f t="shared" si="95"/>
        <v>62304</v>
      </c>
      <c r="C805" s="84">
        <f>AVERAGE(G805:G805)</f>
        <v>0.30299999999999999</v>
      </c>
      <c r="D805" s="84">
        <f>AVERAGE(H805:H805)</f>
        <v>0.32600000000000001</v>
      </c>
      <c r="E805" s="84">
        <f>AVERAGE(I805:I805)</f>
        <v>6.5000000000000002E-2</v>
      </c>
      <c r="F805" s="84">
        <f>AVERAGE(J805:J805)</f>
        <v>0.1</v>
      </c>
      <c r="G805" s="85">
        <v>0.30299999999999999</v>
      </c>
      <c r="H805" s="85">
        <v>0.32600000000000001</v>
      </c>
      <c r="I805" s="85">
        <v>6.5000000000000002E-2</v>
      </c>
      <c r="J805" s="85">
        <v>0.1</v>
      </c>
      <c r="K805" s="25">
        <f>((1/3)*L794)+((11/3)*L806)</f>
        <v>98824</v>
      </c>
      <c r="L805" s="93"/>
      <c r="M805" s="80">
        <f t="shared" si="92"/>
        <v>0.6</v>
      </c>
      <c r="N805" s="80">
        <v>0.26</v>
      </c>
      <c r="O805" s="80">
        <f t="shared" si="93"/>
        <v>0.61</v>
      </c>
      <c r="P805" s="80">
        <v>0.34620000000000001</v>
      </c>
      <c r="Q805" s="80">
        <v>0.69640000000000002</v>
      </c>
      <c r="R805" s="80">
        <v>0.6</v>
      </c>
      <c r="S805" s="80">
        <v>0.61</v>
      </c>
    </row>
    <row r="806" spans="1:19">
      <c r="C806" s="85"/>
      <c r="D806" s="85"/>
      <c r="E806" s="85"/>
      <c r="F806" s="85"/>
      <c r="L806" s="93">
        <f>L794*1.05</f>
        <v>24804.49</v>
      </c>
      <c r="M806" s="80"/>
      <c r="N806" s="80"/>
      <c r="O806" s="80"/>
      <c r="P806" s="80"/>
      <c r="Q806" s="353">
        <v>0.69640000000000002</v>
      </c>
      <c r="R806" s="353">
        <v>0.6</v>
      </c>
      <c r="S806" s="353">
        <v>0.61</v>
      </c>
    </row>
    <row r="807" spans="1:19">
      <c r="C807" s="85"/>
      <c r="D807" s="85"/>
      <c r="E807" s="85"/>
      <c r="F807" s="85"/>
      <c r="L807" s="93"/>
      <c r="M807" s="80"/>
      <c r="N807" s="80"/>
      <c r="O807" s="80"/>
      <c r="P807" s="80"/>
      <c r="Q807" s="353">
        <v>0.69640000000000002</v>
      </c>
      <c r="R807" s="353">
        <v>0.6</v>
      </c>
      <c r="S807" s="353">
        <v>0.61</v>
      </c>
    </row>
    <row r="808" spans="1:19">
      <c r="C808" s="85"/>
      <c r="D808" s="85"/>
      <c r="E808" s="85"/>
      <c r="F808" s="85"/>
      <c r="L808" s="93"/>
      <c r="M808" s="80"/>
      <c r="N808" s="80"/>
      <c r="O808" s="80"/>
      <c r="P808" s="80"/>
      <c r="Q808" s="353">
        <v>0.69640000000000002</v>
      </c>
      <c r="R808" s="353">
        <v>0.6</v>
      </c>
      <c r="S808" s="353">
        <v>0.61</v>
      </c>
    </row>
    <row r="809" spans="1:19">
      <c r="C809" s="85"/>
      <c r="D809" s="85"/>
      <c r="E809" s="85"/>
      <c r="F809" s="85"/>
      <c r="L809" s="93"/>
      <c r="M809" s="80"/>
      <c r="N809" s="80"/>
      <c r="O809" s="80"/>
      <c r="P809" s="80"/>
      <c r="Q809" s="353">
        <v>0.69640000000000002</v>
      </c>
      <c r="R809" s="353">
        <v>0.6</v>
      </c>
      <c r="S809" s="353">
        <v>0.61</v>
      </c>
    </row>
    <row r="810" spans="1:19">
      <c r="C810" s="85"/>
      <c r="D810" s="85"/>
      <c r="E810" s="85"/>
      <c r="F810" s="85"/>
      <c r="L810" s="93"/>
      <c r="M810" s="80"/>
      <c r="N810" s="80"/>
      <c r="O810" s="80"/>
      <c r="P810" s="80"/>
      <c r="Q810" s="353">
        <v>0.69640000000000002</v>
      </c>
      <c r="R810" s="353">
        <v>0.6</v>
      </c>
      <c r="S810" s="353">
        <v>0.61</v>
      </c>
    </row>
    <row r="811" spans="1:19">
      <c r="C811" s="85"/>
      <c r="D811" s="85"/>
      <c r="E811" s="85"/>
      <c r="F811" s="85"/>
      <c r="L811" s="93"/>
      <c r="M811" s="80"/>
      <c r="N811" s="80"/>
      <c r="O811" s="80"/>
      <c r="P811" s="80"/>
      <c r="Q811" s="353">
        <v>0.69640000000000002</v>
      </c>
      <c r="R811" s="353">
        <v>0.6</v>
      </c>
      <c r="S811" s="353">
        <v>0.61</v>
      </c>
    </row>
    <row r="812" spans="1:19">
      <c r="C812" s="85"/>
      <c r="D812" s="85"/>
      <c r="E812" s="85"/>
      <c r="F812" s="85"/>
      <c r="L812" s="93"/>
      <c r="M812" s="80"/>
      <c r="N812" s="80"/>
      <c r="O812" s="80"/>
      <c r="P812" s="80"/>
      <c r="Q812" s="353">
        <v>0.69640000000000002</v>
      </c>
      <c r="R812" s="353">
        <v>0.6</v>
      </c>
      <c r="S812" s="353">
        <v>0.61</v>
      </c>
    </row>
    <row r="813" spans="1:19">
      <c r="C813" s="85"/>
      <c r="D813" s="85"/>
      <c r="E813" s="85"/>
      <c r="F813" s="85"/>
      <c r="L813" s="93"/>
      <c r="M813" s="80"/>
      <c r="N813" s="80"/>
      <c r="O813" s="80"/>
      <c r="P813" s="80"/>
      <c r="Q813" s="353">
        <v>0.69640000000000002</v>
      </c>
      <c r="R813" s="353">
        <v>0.6</v>
      </c>
      <c r="S813" s="353">
        <v>0.61</v>
      </c>
    </row>
    <row r="814" spans="1:19">
      <c r="C814" s="85"/>
      <c r="D814" s="85"/>
      <c r="E814" s="85"/>
      <c r="F814" s="85"/>
      <c r="L814" s="93"/>
      <c r="M814" s="80"/>
      <c r="N814" s="80"/>
      <c r="O814" s="80"/>
      <c r="P814" s="80"/>
      <c r="Q814" s="353">
        <v>0.69640000000000002</v>
      </c>
      <c r="R814" s="353">
        <v>0.6</v>
      </c>
      <c r="S814" s="353">
        <v>0.61</v>
      </c>
    </row>
    <row r="815" spans="1:19">
      <c r="C815" s="85"/>
      <c r="D815" s="85"/>
      <c r="E815" s="85"/>
      <c r="F815" s="85"/>
      <c r="L815" s="93"/>
      <c r="M815" s="80"/>
      <c r="N815" s="80"/>
      <c r="O815" s="80"/>
      <c r="P815" s="80"/>
      <c r="Q815" s="353">
        <v>0.69640000000000002</v>
      </c>
      <c r="R815" s="353">
        <v>0.6</v>
      </c>
      <c r="S815" s="353">
        <v>0.61</v>
      </c>
    </row>
    <row r="816" spans="1:19">
      <c r="C816" s="85"/>
      <c r="D816" s="85"/>
      <c r="E816" s="85"/>
      <c r="F816" s="85"/>
      <c r="L816" s="93"/>
      <c r="M816" s="80"/>
      <c r="N816" s="80"/>
      <c r="O816" s="80"/>
      <c r="P816" s="80"/>
      <c r="Q816" s="353">
        <v>0.69640000000000002</v>
      </c>
      <c r="R816" s="353">
        <v>0.6</v>
      </c>
      <c r="S816" s="353">
        <v>0.61</v>
      </c>
    </row>
    <row r="817" spans="3:19">
      <c r="C817" s="85"/>
      <c r="D817" s="85"/>
      <c r="E817" s="85"/>
      <c r="F817" s="85"/>
      <c r="L817" s="93"/>
      <c r="M817" s="80"/>
      <c r="N817" s="80"/>
      <c r="O817" s="80"/>
      <c r="P817" s="80"/>
      <c r="Q817" s="353">
        <v>0.69640000000000002</v>
      </c>
      <c r="R817" s="353">
        <v>0.6</v>
      </c>
      <c r="S817" s="353">
        <v>0.61</v>
      </c>
    </row>
  </sheetData>
  <phoneticPr fontId="0" type="noConversion"/>
  <pageMargins left="0.25" right="0.25" top="0.25" bottom="0.25" header="0.25" footer="0.25"/>
  <pageSetup scale="61" fitToHeight="0" orientation="portrait" r:id="rId1"/>
  <headerFooter alignWithMargins="0"/>
  <ignoredErrors>
    <ignoredError sqref="A1:O217 A219:O229 A218:K218 M218:O218 A758:G805 A230:F241 K230:O241 A242:F265 K243:O265 A266:F313 K266:O313 A314:F361 K314:O361 A362:F409 K362:O409 A410:F457 K410:O457 A458:F505 K458:O505 A506:F553 K506:O553 A554:F601 K554:O601 A602:F649 K602:O649 A650:F697 K650:O697 A698:F745 K698:O745 A746:G757 I746:O757 I758:O805 K242 M242:O242" formulaRange="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O67"/>
  <sheetViews>
    <sheetView workbookViewId="0">
      <selection sqref="A1:I1"/>
    </sheetView>
  </sheetViews>
  <sheetFormatPr defaultRowHeight="13.2"/>
  <cols>
    <col min="1" max="9" width="9.88671875" customWidth="1"/>
  </cols>
  <sheetData>
    <row r="1" spans="1:15">
      <c r="A1" s="1022" t="s">
        <v>172</v>
      </c>
      <c r="B1" s="1022"/>
      <c r="C1" s="1022"/>
      <c r="D1" s="1022"/>
      <c r="E1" s="1022"/>
      <c r="F1" s="1022"/>
      <c r="G1" s="1022"/>
      <c r="H1" s="1022"/>
      <c r="I1" s="1022"/>
      <c r="M1" s="1019" t="s">
        <v>410</v>
      </c>
      <c r="N1" s="1019"/>
      <c r="O1" t="s">
        <v>895</v>
      </c>
    </row>
    <row r="2" spans="1:15">
      <c r="A2" s="1019"/>
      <c r="B2" s="1019"/>
      <c r="C2" s="1019"/>
      <c r="D2" s="1019"/>
      <c r="E2" s="1019"/>
      <c r="F2" s="1019"/>
      <c r="G2" s="1019"/>
      <c r="H2" s="1019"/>
      <c r="I2" s="1019"/>
    </row>
    <row r="3" spans="1:15">
      <c r="A3" s="1022" t="s">
        <v>168</v>
      </c>
      <c r="B3" s="1022"/>
      <c r="C3" s="1022"/>
      <c r="D3" s="1022"/>
      <c r="E3" s="1022"/>
      <c r="F3" s="1022"/>
      <c r="G3" s="1022"/>
      <c r="H3" s="1022"/>
      <c r="I3" s="1022"/>
      <c r="M3" t="s">
        <v>280</v>
      </c>
      <c r="N3" t="s">
        <v>411</v>
      </c>
      <c r="O3">
        <v>3</v>
      </c>
    </row>
    <row r="4" spans="1:15" ht="25.5" customHeight="1">
      <c r="A4" s="1020" t="s">
        <v>171</v>
      </c>
      <c r="B4" s="1021"/>
      <c r="C4" s="1021"/>
      <c r="D4" s="1021"/>
      <c r="E4" s="1021"/>
      <c r="F4" s="1021"/>
      <c r="G4" s="1021"/>
      <c r="H4" s="1021"/>
      <c r="I4" s="1021"/>
      <c r="M4" t="s">
        <v>412</v>
      </c>
      <c r="N4" t="s">
        <v>412</v>
      </c>
      <c r="O4">
        <v>9</v>
      </c>
    </row>
    <row r="5" spans="1:15">
      <c r="A5" s="1019"/>
      <c r="B5" s="1019"/>
      <c r="C5" s="1019"/>
      <c r="D5" s="1019"/>
      <c r="E5" s="1019"/>
      <c r="F5" s="1019"/>
      <c r="G5" s="1019"/>
      <c r="H5" s="1019"/>
      <c r="I5" s="1019"/>
      <c r="M5" t="s">
        <v>413</v>
      </c>
      <c r="N5" t="s">
        <v>413</v>
      </c>
      <c r="O5">
        <v>10</v>
      </c>
    </row>
    <row r="6" spans="1:15" ht="38.25" customHeight="1">
      <c r="A6" s="1021" t="s">
        <v>858</v>
      </c>
      <c r="B6" s="1021"/>
      <c r="C6" s="1021"/>
      <c r="D6" s="1021"/>
      <c r="E6" s="1021"/>
      <c r="F6" s="1021"/>
      <c r="G6" s="1021"/>
      <c r="H6" s="1021"/>
      <c r="I6" s="1021"/>
      <c r="M6" t="s">
        <v>414</v>
      </c>
      <c r="N6" t="s">
        <v>415</v>
      </c>
      <c r="O6">
        <v>11</v>
      </c>
    </row>
    <row r="7" spans="1:15">
      <c r="A7" s="1019"/>
      <c r="B7" s="1019"/>
      <c r="C7" s="1019"/>
      <c r="D7" s="1019"/>
      <c r="E7" s="1019"/>
      <c r="F7" s="1019"/>
      <c r="G7" s="1019"/>
      <c r="H7" s="1019"/>
      <c r="I7" s="1019"/>
      <c r="M7" t="s">
        <v>415</v>
      </c>
      <c r="N7" t="s">
        <v>416</v>
      </c>
      <c r="O7">
        <v>12</v>
      </c>
    </row>
    <row r="8" spans="1:15" ht="38.25" customHeight="1">
      <c r="A8" s="1021" t="s">
        <v>898</v>
      </c>
      <c r="B8" s="1021"/>
      <c r="C8" s="1021"/>
      <c r="D8" s="1021"/>
      <c r="E8" s="1021"/>
      <c r="F8" s="1021"/>
      <c r="G8" s="1021"/>
      <c r="H8" s="1021"/>
      <c r="I8" s="1021"/>
      <c r="M8" t="s">
        <v>416</v>
      </c>
    </row>
    <row r="9" spans="1:15">
      <c r="A9" s="1019"/>
      <c r="B9" s="1019"/>
      <c r="C9" s="1019"/>
      <c r="D9" s="1019"/>
      <c r="E9" s="1019"/>
      <c r="F9" s="1019"/>
      <c r="G9" s="1019"/>
      <c r="H9" s="1019"/>
      <c r="I9" s="1019"/>
    </row>
    <row r="10" spans="1:15" ht="25.5" customHeight="1">
      <c r="A10" s="1020" t="s">
        <v>462</v>
      </c>
      <c r="B10" s="1021"/>
      <c r="C10" s="1021"/>
      <c r="D10" s="1021"/>
      <c r="E10" s="1021"/>
      <c r="F10" s="1021"/>
      <c r="G10" s="1021"/>
      <c r="H10" s="1021"/>
      <c r="I10" s="1021"/>
    </row>
    <row r="11" spans="1:15">
      <c r="A11" s="1019"/>
      <c r="B11" s="1019"/>
      <c r="C11" s="1019"/>
      <c r="D11" s="1019"/>
      <c r="E11" s="1019"/>
      <c r="F11" s="1019"/>
      <c r="G11" s="1019"/>
      <c r="H11" s="1019"/>
      <c r="I11" s="1019"/>
    </row>
    <row r="12" spans="1:15" ht="25.5" customHeight="1">
      <c r="A12" s="1020" t="s">
        <v>585</v>
      </c>
      <c r="B12" s="1021"/>
      <c r="C12" s="1021"/>
      <c r="D12" s="1021"/>
      <c r="E12" s="1021"/>
      <c r="F12" s="1021"/>
      <c r="G12" s="1021"/>
      <c r="H12" s="1021"/>
      <c r="I12" s="1021"/>
    </row>
    <row r="13" spans="1:15" ht="12.75" customHeight="1">
      <c r="A13" s="1020"/>
      <c r="B13" s="1021"/>
      <c r="C13" s="1021"/>
      <c r="D13" s="1021"/>
      <c r="E13" s="1021"/>
      <c r="F13" s="1021"/>
      <c r="G13" s="1021"/>
      <c r="H13" s="1021"/>
      <c r="I13" s="1021"/>
    </row>
    <row r="14" spans="1:15" ht="25.5" customHeight="1">
      <c r="A14" s="1021" t="s">
        <v>165</v>
      </c>
      <c r="B14" s="1021"/>
      <c r="C14" s="1021"/>
      <c r="D14" s="1021"/>
      <c r="E14" s="1021"/>
      <c r="F14" s="1021"/>
      <c r="G14" s="1021"/>
      <c r="H14" s="1021"/>
      <c r="I14" s="1021"/>
    </row>
    <row r="15" spans="1:15" ht="12.75" customHeight="1">
      <c r="A15" s="1019"/>
      <c r="B15" s="1019"/>
      <c r="C15" s="1019"/>
      <c r="D15" s="1019"/>
      <c r="E15" s="1019"/>
      <c r="F15" s="1019"/>
      <c r="G15" s="1019"/>
      <c r="H15" s="1019"/>
      <c r="I15" s="1019"/>
    </row>
    <row r="16" spans="1:15" ht="25.5" customHeight="1">
      <c r="A16" s="1020" t="s">
        <v>871</v>
      </c>
      <c r="B16" s="1021"/>
      <c r="C16" s="1021"/>
      <c r="D16" s="1021"/>
      <c r="E16" s="1021"/>
      <c r="F16" s="1021"/>
      <c r="G16" s="1021"/>
      <c r="H16" s="1021"/>
      <c r="I16" s="1021"/>
    </row>
    <row r="17" spans="1:9">
      <c r="A17" s="1019"/>
      <c r="B17" s="1019"/>
      <c r="C17" s="1019"/>
      <c r="D17" s="1019"/>
      <c r="E17" s="1019"/>
      <c r="F17" s="1019"/>
      <c r="G17" s="1019"/>
      <c r="H17" s="1019"/>
      <c r="I17" s="1019"/>
    </row>
    <row r="18" spans="1:9" ht="25.5" customHeight="1">
      <c r="A18" s="1021" t="s">
        <v>166</v>
      </c>
      <c r="B18" s="1021"/>
      <c r="C18" s="1021"/>
      <c r="D18" s="1021"/>
      <c r="E18" s="1021"/>
      <c r="F18" s="1021"/>
      <c r="G18" s="1021"/>
      <c r="H18" s="1021"/>
      <c r="I18" s="1021"/>
    </row>
    <row r="19" spans="1:9">
      <c r="A19" s="1019"/>
      <c r="B19" s="1019"/>
      <c r="C19" s="1019"/>
      <c r="D19" s="1019"/>
      <c r="E19" s="1019"/>
      <c r="F19" s="1019"/>
      <c r="G19" s="1019"/>
      <c r="H19" s="1019"/>
      <c r="I19" s="1019"/>
    </row>
    <row r="20" spans="1:9">
      <c r="A20" s="1022" t="s">
        <v>169</v>
      </c>
      <c r="B20" s="1022"/>
      <c r="C20" s="1022"/>
      <c r="D20" s="1022"/>
      <c r="E20" s="1022"/>
      <c r="F20" s="1022"/>
      <c r="G20" s="1022"/>
      <c r="H20" s="1022"/>
      <c r="I20" s="1022"/>
    </row>
    <row r="21" spans="1:9">
      <c r="A21" s="1020" t="s">
        <v>179</v>
      </c>
      <c r="B21" s="1021"/>
      <c r="C21" s="1021"/>
      <c r="D21" s="1021"/>
      <c r="E21" s="1021"/>
      <c r="F21" s="1021"/>
      <c r="G21" s="1021"/>
      <c r="H21" s="1021"/>
      <c r="I21" s="1021"/>
    </row>
    <row r="22" spans="1:9">
      <c r="A22" s="1019"/>
      <c r="B22" s="1019"/>
      <c r="C22" s="1019"/>
      <c r="D22" s="1019"/>
      <c r="E22" s="1019"/>
      <c r="F22" s="1019"/>
      <c r="G22" s="1019"/>
      <c r="H22" s="1019"/>
      <c r="I22" s="1019"/>
    </row>
    <row r="23" spans="1:9">
      <c r="A23" s="1022" t="s">
        <v>170</v>
      </c>
      <c r="B23" s="1022"/>
      <c r="C23" s="1022"/>
      <c r="D23" s="1022"/>
      <c r="E23" s="1022"/>
      <c r="F23" s="1022"/>
      <c r="G23" s="1022"/>
      <c r="H23" s="1022"/>
      <c r="I23" s="1022"/>
    </row>
    <row r="24" spans="1:9" ht="38.25" customHeight="1">
      <c r="A24" s="1020" t="s">
        <v>180</v>
      </c>
      <c r="B24" s="1021"/>
      <c r="C24" s="1021"/>
      <c r="D24" s="1021"/>
      <c r="E24" s="1021"/>
      <c r="F24" s="1021"/>
      <c r="G24" s="1021"/>
      <c r="H24" s="1021"/>
      <c r="I24" s="1021"/>
    </row>
    <row r="25" spans="1:9">
      <c r="A25" s="1019"/>
      <c r="B25" s="1019"/>
      <c r="C25" s="1019"/>
      <c r="D25" s="1019"/>
      <c r="E25" s="1019"/>
      <c r="F25" s="1019"/>
      <c r="G25" s="1019"/>
      <c r="H25" s="1019"/>
      <c r="I25" s="1019"/>
    </row>
    <row r="26" spans="1:9">
      <c r="A26" s="1020" t="s">
        <v>820</v>
      </c>
      <c r="B26" s="1021"/>
      <c r="C26" s="1021"/>
      <c r="D26" s="1021"/>
      <c r="E26" s="1021"/>
      <c r="F26" s="1021"/>
      <c r="G26" s="1021"/>
      <c r="H26" s="1021"/>
      <c r="I26" s="1021"/>
    </row>
    <row r="27" spans="1:9">
      <c r="A27" s="1019"/>
      <c r="B27" s="1019"/>
      <c r="C27" s="1019"/>
      <c r="D27" s="1019"/>
      <c r="E27" s="1019"/>
      <c r="F27" s="1019"/>
      <c r="G27" s="1019"/>
      <c r="H27" s="1019"/>
      <c r="I27" s="1019"/>
    </row>
    <row r="28" spans="1:9">
      <c r="A28" s="1022" t="s">
        <v>0</v>
      </c>
      <c r="B28" s="1022"/>
      <c r="C28" s="1022"/>
      <c r="D28" s="1022"/>
      <c r="E28" s="1022"/>
      <c r="F28" s="1022"/>
      <c r="G28" s="1022"/>
      <c r="H28" s="1022"/>
      <c r="I28" s="1022"/>
    </row>
    <row r="29" spans="1:9" ht="25.5" customHeight="1">
      <c r="A29" s="1020" t="s">
        <v>586</v>
      </c>
      <c r="B29" s="1021"/>
      <c r="C29" s="1021"/>
      <c r="D29" s="1021"/>
      <c r="E29" s="1021"/>
      <c r="F29" s="1021"/>
      <c r="G29" s="1021"/>
      <c r="H29" s="1021"/>
      <c r="I29" s="1021"/>
    </row>
    <row r="30" spans="1:9">
      <c r="A30" s="1019"/>
      <c r="B30" s="1019"/>
      <c r="C30" s="1019"/>
      <c r="D30" s="1019"/>
      <c r="E30" s="1019"/>
      <c r="F30" s="1019"/>
      <c r="G30" s="1019"/>
      <c r="H30" s="1019"/>
      <c r="I30" s="1019"/>
    </row>
    <row r="31" spans="1:9">
      <c r="A31" s="1021" t="s">
        <v>866</v>
      </c>
      <c r="B31" s="1021"/>
      <c r="C31" s="1021"/>
      <c r="D31" s="1021"/>
      <c r="E31" s="1021"/>
      <c r="F31" s="1021"/>
      <c r="G31" s="1021"/>
      <c r="H31" s="1021"/>
      <c r="I31" s="1021"/>
    </row>
    <row r="32" spans="1:9">
      <c r="A32" s="1019"/>
      <c r="B32" s="1019"/>
      <c r="C32" s="1019"/>
      <c r="D32" s="1019"/>
      <c r="E32" s="1019"/>
      <c r="F32" s="1019"/>
      <c r="G32" s="1019"/>
      <c r="H32" s="1019"/>
      <c r="I32" s="1019"/>
    </row>
    <row r="33" spans="1:9" ht="25.5" customHeight="1">
      <c r="A33" s="1020" t="s">
        <v>181</v>
      </c>
      <c r="B33" s="1021"/>
      <c r="C33" s="1021"/>
      <c r="D33" s="1021"/>
      <c r="E33" s="1021"/>
      <c r="F33" s="1021"/>
      <c r="G33" s="1021"/>
      <c r="H33" s="1021"/>
      <c r="I33" s="1021"/>
    </row>
    <row r="34" spans="1:9">
      <c r="A34" s="1019"/>
      <c r="B34" s="1019"/>
      <c r="C34" s="1019"/>
      <c r="D34" s="1019"/>
      <c r="E34" s="1019"/>
      <c r="F34" s="1019"/>
      <c r="G34" s="1019"/>
      <c r="H34" s="1019"/>
      <c r="I34" s="1019"/>
    </row>
    <row r="35" spans="1:9" ht="25.5" customHeight="1">
      <c r="A35" s="1020" t="s">
        <v>587</v>
      </c>
      <c r="B35" s="1021"/>
      <c r="C35" s="1021"/>
      <c r="D35" s="1021"/>
      <c r="E35" s="1021"/>
      <c r="F35" s="1021"/>
      <c r="G35" s="1021"/>
      <c r="H35" s="1021"/>
      <c r="I35" s="1021"/>
    </row>
    <row r="36" spans="1:9">
      <c r="A36" s="1019"/>
      <c r="B36" s="1019"/>
      <c r="C36" s="1019"/>
      <c r="D36" s="1019"/>
      <c r="E36" s="1019"/>
      <c r="F36" s="1019"/>
      <c r="G36" s="1019"/>
      <c r="H36" s="1019"/>
      <c r="I36" s="1019"/>
    </row>
    <row r="37" spans="1:9" ht="37.5" customHeight="1">
      <c r="A37" s="1021" t="s">
        <v>884</v>
      </c>
      <c r="B37" s="1021"/>
      <c r="C37" s="1021"/>
      <c r="D37" s="1021"/>
      <c r="E37" s="1021"/>
      <c r="F37" s="1021"/>
      <c r="G37" s="1021"/>
      <c r="H37" s="1021"/>
      <c r="I37" s="1021"/>
    </row>
    <row r="38" spans="1:9">
      <c r="A38" s="1019"/>
      <c r="B38" s="1019"/>
      <c r="C38" s="1019"/>
      <c r="D38" s="1019"/>
      <c r="E38" s="1019"/>
      <c r="F38" s="1019"/>
      <c r="G38" s="1019"/>
      <c r="H38" s="1019"/>
      <c r="I38" s="1019"/>
    </row>
    <row r="39" spans="1:9" ht="25.5" customHeight="1">
      <c r="A39" s="1021" t="s">
        <v>167</v>
      </c>
      <c r="B39" s="1021"/>
      <c r="C39" s="1021"/>
      <c r="D39" s="1021"/>
      <c r="E39" s="1021"/>
      <c r="F39" s="1021"/>
      <c r="G39" s="1021"/>
      <c r="H39" s="1021"/>
      <c r="I39" s="1021"/>
    </row>
    <row r="40" spans="1:9">
      <c r="A40" s="1019"/>
      <c r="B40" s="1019"/>
      <c r="C40" s="1019"/>
      <c r="D40" s="1019"/>
      <c r="E40" s="1019"/>
      <c r="F40" s="1019"/>
      <c r="G40" s="1019"/>
      <c r="H40" s="1019"/>
      <c r="I40" s="1019"/>
    </row>
    <row r="41" spans="1:9">
      <c r="A41" s="1022" t="s">
        <v>173</v>
      </c>
      <c r="B41" s="1022"/>
      <c r="C41" s="1022"/>
      <c r="D41" s="1022"/>
      <c r="E41" s="1022"/>
      <c r="F41" s="1022"/>
      <c r="G41" s="1022"/>
      <c r="H41" s="1022"/>
      <c r="I41" s="1022"/>
    </row>
    <row r="42" spans="1:9" ht="25.5" customHeight="1">
      <c r="A42" s="1020" t="s">
        <v>174</v>
      </c>
      <c r="B42" s="1021"/>
      <c r="C42" s="1021"/>
      <c r="D42" s="1021"/>
      <c r="E42" s="1021"/>
      <c r="F42" s="1021"/>
      <c r="G42" s="1021"/>
      <c r="H42" s="1021"/>
      <c r="I42" s="1021"/>
    </row>
    <row r="43" spans="1:9">
      <c r="A43" s="1019"/>
      <c r="B43" s="1019"/>
      <c r="C43" s="1019"/>
      <c r="D43" s="1019"/>
      <c r="E43" s="1019"/>
      <c r="F43" s="1019"/>
      <c r="G43" s="1019"/>
      <c r="H43" s="1019"/>
      <c r="I43" s="1019"/>
    </row>
    <row r="44" spans="1:9">
      <c r="A44" s="1021" t="s">
        <v>175</v>
      </c>
      <c r="B44" s="1021"/>
      <c r="C44" s="1021"/>
      <c r="D44" s="1021"/>
      <c r="E44" s="1021"/>
      <c r="F44" s="1021"/>
      <c r="G44" s="1021"/>
      <c r="H44" s="1021"/>
      <c r="I44" s="1021"/>
    </row>
    <row r="45" spans="1:9">
      <c r="A45" s="1019"/>
      <c r="B45" s="1019"/>
      <c r="C45" s="1019"/>
      <c r="D45" s="1019"/>
      <c r="E45" s="1019"/>
      <c r="F45" s="1019"/>
      <c r="G45" s="1019"/>
      <c r="H45" s="1019"/>
      <c r="I45" s="1019"/>
    </row>
    <row r="46" spans="1:9">
      <c r="A46" s="1022" t="s">
        <v>176</v>
      </c>
      <c r="B46" s="1022"/>
      <c r="C46" s="1022"/>
      <c r="D46" s="1022"/>
      <c r="E46" s="1022"/>
      <c r="F46" s="1022"/>
      <c r="G46" s="1022"/>
      <c r="H46" s="1022"/>
      <c r="I46" s="1022"/>
    </row>
    <row r="47" spans="1:9">
      <c r="A47" s="1020" t="s">
        <v>177</v>
      </c>
      <c r="B47" s="1021"/>
      <c r="C47" s="1021"/>
      <c r="D47" s="1021"/>
      <c r="E47" s="1021"/>
      <c r="F47" s="1021"/>
      <c r="G47" s="1021"/>
      <c r="H47" s="1021"/>
      <c r="I47" s="1021"/>
    </row>
    <row r="48" spans="1:9">
      <c r="A48" s="1020" t="s">
        <v>588</v>
      </c>
      <c r="B48" s="1021"/>
      <c r="C48" s="1021"/>
      <c r="D48" s="1021"/>
      <c r="E48" s="1021"/>
      <c r="F48" s="1021"/>
      <c r="G48" s="1021"/>
      <c r="H48" s="1021"/>
      <c r="I48" s="1021"/>
    </row>
    <row r="49" spans="1:9">
      <c r="A49" s="1020" t="s">
        <v>589</v>
      </c>
      <c r="B49" s="1021"/>
      <c r="C49" s="1021"/>
      <c r="D49" s="1021"/>
      <c r="E49" s="1021"/>
      <c r="F49" s="1021"/>
      <c r="G49" s="1021"/>
      <c r="H49" s="1021"/>
      <c r="I49" s="1021"/>
    </row>
    <row r="50" spans="1:9">
      <c r="A50" s="1019"/>
      <c r="B50" s="1019"/>
      <c r="C50" s="1019"/>
      <c r="D50" s="1019"/>
      <c r="E50" s="1019"/>
      <c r="F50" s="1019"/>
      <c r="G50" s="1019"/>
      <c r="H50" s="1019"/>
      <c r="I50" s="1019"/>
    </row>
    <row r="51" spans="1:9">
      <c r="A51" s="1020" t="s">
        <v>177</v>
      </c>
      <c r="B51" s="1021"/>
      <c r="C51" s="1021"/>
      <c r="D51" s="1021"/>
      <c r="E51" s="1021"/>
      <c r="F51" s="1021"/>
      <c r="G51" s="1021"/>
      <c r="H51" s="1021"/>
      <c r="I51" s="1021"/>
    </row>
    <row r="52" spans="1:9">
      <c r="A52" s="1020" t="s">
        <v>592</v>
      </c>
      <c r="B52" s="1021"/>
      <c r="C52" s="1021"/>
      <c r="D52" s="1021"/>
      <c r="E52" s="1021"/>
      <c r="F52" s="1021"/>
      <c r="G52" s="1021"/>
      <c r="H52" s="1021"/>
      <c r="I52" s="1021"/>
    </row>
    <row r="53" spans="1:9">
      <c r="A53" s="1020" t="s">
        <v>599</v>
      </c>
      <c r="B53" s="1021"/>
      <c r="C53" s="1021"/>
      <c r="D53" s="1021"/>
      <c r="E53" s="1021"/>
      <c r="F53" s="1021"/>
      <c r="G53" s="1021"/>
      <c r="H53" s="1021"/>
      <c r="I53" s="1021"/>
    </row>
    <row r="54" spans="1:9">
      <c r="A54" s="1019"/>
      <c r="B54" s="1019"/>
      <c r="C54" s="1019"/>
      <c r="D54" s="1019"/>
      <c r="E54" s="1019"/>
      <c r="F54" s="1019"/>
      <c r="G54" s="1019"/>
      <c r="H54" s="1019"/>
      <c r="I54" s="1019"/>
    </row>
    <row r="55" spans="1:9">
      <c r="A55" s="1020" t="s">
        <v>178</v>
      </c>
      <c r="B55" s="1021"/>
      <c r="C55" s="1021"/>
      <c r="D55" s="1021"/>
      <c r="E55" s="1021"/>
      <c r="F55" s="1021"/>
      <c r="G55" s="1021"/>
      <c r="H55" s="1021"/>
      <c r="I55" s="1021"/>
    </row>
    <row r="56" spans="1:9">
      <c r="A56" s="1020" t="s">
        <v>593</v>
      </c>
      <c r="B56" s="1021"/>
      <c r="C56" s="1021"/>
      <c r="D56" s="1021"/>
      <c r="E56" s="1021"/>
      <c r="F56" s="1021"/>
      <c r="G56" s="1021"/>
      <c r="H56" s="1021"/>
      <c r="I56" s="1021"/>
    </row>
    <row r="57" spans="1:9">
      <c r="A57" s="1020" t="s">
        <v>590</v>
      </c>
      <c r="B57" s="1021"/>
      <c r="C57" s="1021"/>
      <c r="D57" s="1021"/>
      <c r="E57" s="1021"/>
      <c r="F57" s="1021"/>
      <c r="G57" s="1021"/>
      <c r="H57" s="1021"/>
      <c r="I57" s="1021"/>
    </row>
    <row r="58" spans="1:9">
      <c r="A58" s="1019"/>
      <c r="B58" s="1019"/>
      <c r="C58" s="1019"/>
      <c r="D58" s="1019"/>
      <c r="E58" s="1019"/>
      <c r="F58" s="1019"/>
      <c r="G58" s="1019"/>
      <c r="H58" s="1019"/>
      <c r="I58" s="1019"/>
    </row>
    <row r="59" spans="1:9">
      <c r="A59" s="1020" t="s">
        <v>177</v>
      </c>
      <c r="B59" s="1021"/>
      <c r="C59" s="1021"/>
      <c r="D59" s="1021"/>
      <c r="E59" s="1021"/>
      <c r="F59" s="1021"/>
      <c r="G59" s="1021"/>
      <c r="H59" s="1021"/>
      <c r="I59" s="1021"/>
    </row>
    <row r="60" spans="1:9">
      <c r="A60" s="1020" t="s">
        <v>594</v>
      </c>
      <c r="B60" s="1021"/>
      <c r="C60" s="1021"/>
      <c r="D60" s="1021"/>
      <c r="E60" s="1021"/>
      <c r="F60" s="1021"/>
      <c r="G60" s="1021"/>
      <c r="H60" s="1021"/>
      <c r="I60" s="1021"/>
    </row>
    <row r="61" spans="1:9">
      <c r="A61" s="1020" t="s">
        <v>591</v>
      </c>
      <c r="B61" s="1021"/>
      <c r="C61" s="1021"/>
      <c r="D61" s="1021"/>
      <c r="E61" s="1021"/>
      <c r="F61" s="1021"/>
      <c r="G61" s="1021"/>
      <c r="H61" s="1021"/>
      <c r="I61" s="1021"/>
    </row>
    <row r="62" spans="1:9">
      <c r="A62" s="1019"/>
      <c r="B62" s="1019"/>
      <c r="C62" s="1019"/>
      <c r="D62" s="1019"/>
      <c r="E62" s="1019"/>
      <c r="F62" s="1019"/>
      <c r="G62" s="1019"/>
      <c r="H62" s="1019"/>
      <c r="I62" s="1019"/>
    </row>
    <row r="63" spans="1:9">
      <c r="A63" s="1020" t="s">
        <v>595</v>
      </c>
      <c r="B63" s="1021"/>
      <c r="C63" s="1021"/>
      <c r="D63" s="1021"/>
      <c r="E63" s="1021"/>
      <c r="F63" s="1021"/>
      <c r="G63" s="1021"/>
      <c r="H63" s="1021"/>
      <c r="I63" s="1021"/>
    </row>
    <row r="64" spans="1:9">
      <c r="A64" s="1020" t="s">
        <v>597</v>
      </c>
      <c r="B64" s="1021"/>
      <c r="C64" s="1021"/>
      <c r="D64" s="1021"/>
      <c r="E64" s="1021"/>
      <c r="F64" s="1021"/>
      <c r="G64" s="1021"/>
      <c r="H64" s="1021"/>
      <c r="I64" s="1021"/>
    </row>
    <row r="65" spans="1:9" ht="12.75" customHeight="1">
      <c r="A65" s="1020" t="s">
        <v>598</v>
      </c>
      <c r="B65" s="1021"/>
      <c r="C65" s="1021"/>
      <c r="D65" s="1021"/>
      <c r="E65" s="1021"/>
      <c r="F65" s="1021"/>
      <c r="G65" s="1021"/>
      <c r="H65" s="1021"/>
      <c r="I65" s="1021"/>
    </row>
    <row r="66" spans="1:9">
      <c r="A66" s="1019"/>
      <c r="B66" s="1019"/>
      <c r="C66" s="1019"/>
      <c r="D66" s="1019"/>
      <c r="E66" s="1019"/>
      <c r="F66" s="1019"/>
      <c r="G66" s="1019"/>
      <c r="H66" s="1019"/>
      <c r="I66" s="1019"/>
    </row>
    <row r="67" spans="1:9">
      <c r="A67" s="1020" t="s">
        <v>596</v>
      </c>
      <c r="B67" s="1021"/>
      <c r="C67" s="1021"/>
      <c r="D67" s="1021"/>
      <c r="E67" s="1021"/>
      <c r="F67" s="1021"/>
      <c r="G67" s="1021"/>
      <c r="H67" s="1021"/>
      <c r="I67" s="1021"/>
    </row>
  </sheetData>
  <mergeCells count="68">
    <mergeCell ref="A25:I25"/>
    <mergeCell ref="A26:I26"/>
    <mergeCell ref="A67:I67"/>
    <mergeCell ref="A62:I62"/>
    <mergeCell ref="A63:I63"/>
    <mergeCell ref="A64:I64"/>
    <mergeCell ref="A65:I65"/>
    <mergeCell ref="A66:I66"/>
    <mergeCell ref="A57:I57"/>
    <mergeCell ref="A47:I47"/>
    <mergeCell ref="A48:I48"/>
    <mergeCell ref="A49:I49"/>
    <mergeCell ref="A50:I50"/>
    <mergeCell ref="A52:I52"/>
    <mergeCell ref="A53:I53"/>
    <mergeCell ref="A54:I54"/>
    <mergeCell ref="A55:I55"/>
    <mergeCell ref="A56:I56"/>
    <mergeCell ref="A44:I44"/>
    <mergeCell ref="A43:I43"/>
    <mergeCell ref="A45:I45"/>
    <mergeCell ref="A46:I46"/>
    <mergeCell ref="A51:I51"/>
    <mergeCell ref="A9:I9"/>
    <mergeCell ref="A17:I17"/>
    <mergeCell ref="A19:I19"/>
    <mergeCell ref="A10:I10"/>
    <mergeCell ref="A11:I11"/>
    <mergeCell ref="A12:I12"/>
    <mergeCell ref="A13:I13"/>
    <mergeCell ref="A42:I42"/>
    <mergeCell ref="A41:I41"/>
    <mergeCell ref="A34:I34"/>
    <mergeCell ref="A36:I36"/>
    <mergeCell ref="A38:I38"/>
    <mergeCell ref="A40:I40"/>
    <mergeCell ref="A7:I7"/>
    <mergeCell ref="A33:I33"/>
    <mergeCell ref="A37:I37"/>
    <mergeCell ref="A35:I35"/>
    <mergeCell ref="A39:I39"/>
    <mergeCell ref="A30:I30"/>
    <mergeCell ref="A32:I32"/>
    <mergeCell ref="A23:I23"/>
    <mergeCell ref="A28:I28"/>
    <mergeCell ref="A29:I29"/>
    <mergeCell ref="A31:I31"/>
    <mergeCell ref="A8:I8"/>
    <mergeCell ref="A14:I14"/>
    <mergeCell ref="A18:I18"/>
    <mergeCell ref="A21:I21"/>
    <mergeCell ref="A24:I24"/>
    <mergeCell ref="M1:N1"/>
    <mergeCell ref="A58:I58"/>
    <mergeCell ref="A59:I59"/>
    <mergeCell ref="A60:I60"/>
    <mergeCell ref="A61:I61"/>
    <mergeCell ref="A1:I1"/>
    <mergeCell ref="A2:I2"/>
    <mergeCell ref="A3:I3"/>
    <mergeCell ref="A22:I22"/>
    <mergeCell ref="A27:I27"/>
    <mergeCell ref="A15:I15"/>
    <mergeCell ref="A16:I16"/>
    <mergeCell ref="A20:I20"/>
    <mergeCell ref="A6:I6"/>
    <mergeCell ref="A4:I4"/>
    <mergeCell ref="A5:I5"/>
  </mergeCells>
  <pageMargins left="1" right="1" top="1" bottom="1" header="0.5" footer="0.5"/>
  <pageSetup scale="9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L48"/>
  <sheetViews>
    <sheetView showGridLines="0" zoomScaleNormal="100" workbookViewId="0">
      <selection activeCell="A7" sqref="A7"/>
    </sheetView>
  </sheetViews>
  <sheetFormatPr defaultColWidth="9.109375" defaultRowHeight="11.4"/>
  <cols>
    <col min="1" max="3" width="9.109375" style="10"/>
    <col min="4" max="4" width="12.44140625" style="10" bestFit="1" customWidth="1"/>
    <col min="5" max="5" width="9.109375" style="10" customWidth="1"/>
    <col min="6" max="6" width="12.44140625" style="10" customWidth="1"/>
    <col min="7" max="7" width="9.109375" style="10" customWidth="1"/>
    <col min="8" max="8" width="12.44140625" style="10" customWidth="1"/>
    <col min="9" max="9" width="9.109375" style="10" customWidth="1"/>
    <col min="10" max="10" width="9.33203125" style="10" customWidth="1"/>
    <col min="11" max="11" width="4.6640625" style="10" customWidth="1"/>
    <col min="12" max="13" width="10.6640625" style="10" customWidth="1"/>
    <col min="14" max="16384" width="9.109375" style="10"/>
  </cols>
  <sheetData>
    <row r="1" spans="1:12">
      <c r="A1" s="1026" t="s">
        <v>147</v>
      </c>
      <c r="B1" s="1027"/>
      <c r="C1" s="1027"/>
      <c r="D1" s="1027"/>
      <c r="E1" s="1027"/>
      <c r="F1" s="1027"/>
      <c r="G1" s="1027"/>
      <c r="H1" s="1027"/>
      <c r="I1" s="1027"/>
      <c r="J1" s="1027"/>
      <c r="K1" s="1028"/>
    </row>
    <row r="2" spans="1:12" ht="12" thickBot="1">
      <c r="A2" s="1029"/>
      <c r="B2" s="1030"/>
      <c r="C2" s="1030"/>
      <c r="D2" s="1030"/>
      <c r="E2" s="1030"/>
      <c r="F2" s="1030"/>
      <c r="G2" s="1030"/>
      <c r="H2" s="1030"/>
      <c r="I2" s="1030"/>
      <c r="J2" s="1030"/>
      <c r="K2" s="1031"/>
    </row>
    <row r="3" spans="1:12" ht="12" customHeight="1" thickBot="1">
      <c r="I3" s="11"/>
      <c r="J3" s="11"/>
      <c r="K3" s="12"/>
    </row>
    <row r="4" spans="1:12" ht="12" customHeight="1" thickBot="1">
      <c r="A4" s="1023" t="s">
        <v>161</v>
      </c>
      <c r="B4" s="1024"/>
      <c r="C4" s="1024"/>
      <c r="D4" s="1024"/>
      <c r="E4" s="1024"/>
      <c r="F4" s="1024"/>
      <c r="G4" s="1024"/>
      <c r="H4" s="1024"/>
      <c r="I4" s="1024"/>
      <c r="J4" s="1024"/>
      <c r="K4" s="1025"/>
    </row>
    <row r="5" spans="1:12" ht="12" customHeight="1">
      <c r="D5" s="126" t="s">
        <v>11</v>
      </c>
      <c r="E5" s="126"/>
      <c r="F5" s="126" t="s">
        <v>12</v>
      </c>
      <c r="G5" s="123"/>
      <c r="H5" s="126" t="s">
        <v>13</v>
      </c>
      <c r="I5" s="123"/>
      <c r="J5" s="122"/>
      <c r="K5" s="122"/>
    </row>
    <row r="6" spans="1:12" ht="12" customHeight="1">
      <c r="A6" s="102" t="s">
        <v>148</v>
      </c>
      <c r="D6" s="127" t="s">
        <v>14</v>
      </c>
      <c r="E6" s="126"/>
      <c r="F6" s="127" t="s">
        <v>15</v>
      </c>
      <c r="G6" s="124"/>
      <c r="H6" s="127" t="s">
        <v>16</v>
      </c>
      <c r="I6" s="124"/>
      <c r="J6" s="122"/>
      <c r="K6" s="122"/>
    </row>
    <row r="7" spans="1:12" ht="12" customHeight="1" thickBot="1">
      <c r="A7" s="98">
        <v>25</v>
      </c>
      <c r="B7" s="99" t="s">
        <v>145</v>
      </c>
      <c r="C7" s="99" t="s">
        <v>164</v>
      </c>
      <c r="D7" s="130">
        <f>A7*0.03</f>
        <v>0.75</v>
      </c>
      <c r="E7" s="125" t="s">
        <v>17</v>
      </c>
      <c r="F7" s="130">
        <f>A7*0.09</f>
        <v>2.25</v>
      </c>
      <c r="G7" s="125" t="s">
        <v>17</v>
      </c>
      <c r="H7" s="130">
        <f>A7*0.12</f>
        <v>3</v>
      </c>
      <c r="I7" s="125" t="s">
        <v>17</v>
      </c>
      <c r="J7" s="137"/>
      <c r="K7" s="137"/>
    </row>
    <row r="8" spans="1:12" ht="12" customHeight="1">
      <c r="F8" s="13"/>
      <c r="H8" s="13"/>
      <c r="L8" s="13"/>
    </row>
    <row r="9" spans="1:12" ht="12" customHeight="1" thickBot="1">
      <c r="F9" s="13"/>
      <c r="H9" s="13"/>
      <c r="L9" s="13"/>
    </row>
    <row r="10" spans="1:12" ht="12" customHeight="1" thickBot="1">
      <c r="A10" s="1023" t="s">
        <v>162</v>
      </c>
      <c r="B10" s="1024"/>
      <c r="C10" s="1024"/>
      <c r="D10" s="1024"/>
      <c r="E10" s="1024"/>
      <c r="F10" s="1024"/>
      <c r="G10" s="1024"/>
      <c r="H10" s="1024"/>
      <c r="I10" s="1024"/>
      <c r="J10" s="1024"/>
      <c r="K10" s="1025"/>
    </row>
    <row r="11" spans="1:12" ht="12" customHeight="1">
      <c r="D11" s="126" t="s">
        <v>11</v>
      </c>
      <c r="E11" s="126"/>
      <c r="F11" s="126" t="s">
        <v>12</v>
      </c>
      <c r="G11" s="123"/>
      <c r="H11" s="126" t="s">
        <v>13</v>
      </c>
      <c r="I11" s="123"/>
      <c r="J11" s="122"/>
      <c r="K11" s="122"/>
    </row>
    <row r="12" spans="1:12" ht="12" customHeight="1">
      <c r="A12" s="102" t="s">
        <v>148</v>
      </c>
      <c r="D12" s="127" t="s">
        <v>14</v>
      </c>
      <c r="E12" s="126"/>
      <c r="F12" s="127" t="s">
        <v>15</v>
      </c>
      <c r="G12" s="124"/>
      <c r="H12" s="127" t="s">
        <v>16</v>
      </c>
      <c r="I12" s="124"/>
      <c r="J12" s="122"/>
      <c r="K12" s="122"/>
    </row>
    <row r="13" spans="1:12" ht="12" customHeight="1" thickBot="1">
      <c r="A13" s="100">
        <v>1.5</v>
      </c>
      <c r="B13" s="99" t="s">
        <v>17</v>
      </c>
      <c r="C13" s="99" t="s">
        <v>164</v>
      </c>
      <c r="D13" s="131">
        <f>A13/3*100</f>
        <v>50</v>
      </c>
      <c r="E13" s="125" t="s">
        <v>145</v>
      </c>
      <c r="F13" s="131">
        <f>A13/9*100</f>
        <v>17</v>
      </c>
      <c r="G13" s="125" t="s">
        <v>145</v>
      </c>
      <c r="H13" s="131">
        <f>A13/12*100</f>
        <v>13</v>
      </c>
      <c r="I13" s="125" t="s">
        <v>145</v>
      </c>
      <c r="J13" s="137"/>
      <c r="K13" s="137"/>
    </row>
    <row r="14" spans="1:12" ht="12" customHeight="1">
      <c r="F14" s="13"/>
      <c r="H14" s="13"/>
      <c r="I14" s="13"/>
    </row>
    <row r="15" spans="1:12" ht="12" customHeight="1" thickBot="1">
      <c r="F15" s="13"/>
      <c r="H15" s="13"/>
      <c r="I15" s="13"/>
    </row>
    <row r="16" spans="1:12" ht="12" customHeight="1" thickBot="1">
      <c r="A16" s="1023" t="s">
        <v>163</v>
      </c>
      <c r="B16" s="1024"/>
      <c r="C16" s="1024"/>
      <c r="D16" s="1024"/>
      <c r="E16" s="1024"/>
      <c r="F16" s="1024"/>
      <c r="G16" s="1024"/>
      <c r="H16" s="1024"/>
      <c r="I16" s="1024"/>
      <c r="J16" s="1024"/>
      <c r="K16" s="1025"/>
    </row>
    <row r="17" spans="1:11" ht="12" customHeight="1">
      <c r="D17" s="126" t="s">
        <v>11</v>
      </c>
      <c r="E17" s="126"/>
      <c r="F17" s="126" t="s">
        <v>12</v>
      </c>
      <c r="G17" s="123"/>
      <c r="H17" s="126" t="s">
        <v>13</v>
      </c>
      <c r="I17" s="123"/>
      <c r="J17" s="122"/>
      <c r="K17" s="122"/>
    </row>
    <row r="18" spans="1:11" ht="12" customHeight="1">
      <c r="A18" s="102" t="s">
        <v>148</v>
      </c>
      <c r="D18" s="127" t="s">
        <v>14</v>
      </c>
      <c r="E18" s="126"/>
      <c r="F18" s="127" t="s">
        <v>15</v>
      </c>
      <c r="G18" s="124"/>
      <c r="H18" s="127" t="s">
        <v>16</v>
      </c>
      <c r="I18" s="124"/>
      <c r="J18" s="122"/>
      <c r="K18" s="122"/>
    </row>
    <row r="19" spans="1:11" ht="12" customHeight="1" thickBot="1">
      <c r="A19" s="101">
        <v>0.5</v>
      </c>
      <c r="B19" s="99" t="s">
        <v>17</v>
      </c>
      <c r="C19" s="99" t="s">
        <v>164</v>
      </c>
      <c r="D19" s="132">
        <f>A19/3*13*40</f>
        <v>86.67</v>
      </c>
      <c r="E19" s="125" t="s">
        <v>146</v>
      </c>
      <c r="F19" s="132">
        <f>A19/9*39*40</f>
        <v>86.67</v>
      </c>
      <c r="G19" s="125" t="s">
        <v>146</v>
      </c>
      <c r="H19" s="132">
        <f>A19/12*52*40</f>
        <v>86.67</v>
      </c>
      <c r="I19" s="125" t="s">
        <v>146</v>
      </c>
      <c r="J19" s="137"/>
      <c r="K19" s="137"/>
    </row>
    <row r="20" spans="1:11" ht="12" customHeight="1">
      <c r="F20" s="14"/>
      <c r="G20" s="14"/>
      <c r="K20" s="102"/>
    </row>
    <row r="21" spans="1:11" ht="12" customHeight="1">
      <c r="F21" s="14"/>
      <c r="G21" s="14"/>
      <c r="K21" s="102"/>
    </row>
    <row r="22" spans="1:11" ht="12" customHeight="1">
      <c r="F22" s="14"/>
      <c r="G22" s="14"/>
      <c r="K22" s="102"/>
    </row>
    <row r="23" spans="1:11" ht="12" customHeight="1">
      <c r="F23" s="14"/>
      <c r="G23" s="14"/>
      <c r="K23" s="102"/>
    </row>
    <row r="24" spans="1:11" ht="12" customHeight="1" thickBot="1">
      <c r="F24" s="14"/>
      <c r="G24" s="14"/>
      <c r="K24" s="102"/>
    </row>
    <row r="25" spans="1:11">
      <c r="A25" s="1026" t="s">
        <v>193</v>
      </c>
      <c r="B25" s="1027"/>
      <c r="C25" s="1027"/>
      <c r="D25" s="1027"/>
      <c r="E25" s="1027"/>
      <c r="F25" s="1027"/>
      <c r="G25" s="1027"/>
      <c r="H25" s="1027"/>
      <c r="I25" s="1027"/>
      <c r="J25" s="1027"/>
      <c r="K25" s="1028"/>
    </row>
    <row r="26" spans="1:11" ht="12" thickBot="1">
      <c r="A26" s="1029"/>
      <c r="B26" s="1030"/>
      <c r="C26" s="1030"/>
      <c r="D26" s="1030"/>
      <c r="E26" s="1030"/>
      <c r="F26" s="1030"/>
      <c r="G26" s="1030"/>
      <c r="H26" s="1030"/>
      <c r="I26" s="1030"/>
      <c r="J26" s="1030"/>
      <c r="K26" s="1031"/>
    </row>
    <row r="27" spans="1:11" ht="12" customHeight="1" thickBot="1">
      <c r="F27" s="14"/>
      <c r="G27" s="14"/>
    </row>
    <row r="28" spans="1:11" ht="12" customHeight="1" thickBot="1">
      <c r="A28" s="1023" t="s">
        <v>192</v>
      </c>
      <c r="B28" s="1024"/>
      <c r="C28" s="1024"/>
      <c r="D28" s="1024"/>
      <c r="E28" s="1024"/>
      <c r="F28" s="1024"/>
      <c r="G28" s="1024"/>
      <c r="H28" s="1024"/>
      <c r="I28" s="1024"/>
      <c r="J28" s="1024"/>
      <c r="K28" s="1025"/>
    </row>
    <row r="29" spans="1:11" ht="12.75" customHeight="1">
      <c r="A29" s="1032" t="str">
        <f>'BP1'!B15</f>
        <v>Professor McCormick</v>
      </c>
      <c r="B29" s="1032"/>
      <c r="C29" s="1032"/>
      <c r="D29" s="121">
        <f>'BP1'!H15+'BP1'!I15</f>
        <v>0</v>
      </c>
      <c r="E29" s="122" t="str">
        <f>IF('BP1'!H15&gt;0,"CM","AM")</f>
        <v>AM</v>
      </c>
      <c r="F29" s="121">
        <f>'BP1'!J15</f>
        <v>0</v>
      </c>
      <c r="G29" s="122" t="s">
        <v>191</v>
      </c>
      <c r="H29" s="133">
        <f t="shared" ref="H29:H48" si="0">(IF(E29="CM",D29/12*52*40,D29/9*39*40))+(F29/3*13*40)</f>
        <v>0</v>
      </c>
      <c r="I29" s="122" t="s">
        <v>146</v>
      </c>
      <c r="J29" s="135" t="str">
        <f>IF(H29&gt;0,'BP1'!K15/H29,"")</f>
        <v/>
      </c>
      <c r="K29" s="122" t="s">
        <v>601</v>
      </c>
    </row>
    <row r="30" spans="1:11" ht="12">
      <c r="A30" s="1033" t="str">
        <f>IF('BP1'!B16&gt;0,'BP1'!B16,"Senior Personnel 2")</f>
        <v>Senior Personnel 2</v>
      </c>
      <c r="B30" s="1033"/>
      <c r="C30" s="1033"/>
      <c r="D30" s="119">
        <f>'BP1'!H16+'BP1'!I16</f>
        <v>0</v>
      </c>
      <c r="E30" s="120" t="str">
        <f>IF('BP1'!H16&gt;0,"CM","AM")</f>
        <v>AM</v>
      </c>
      <c r="F30" s="119">
        <f>'BP1'!J16</f>
        <v>0</v>
      </c>
      <c r="G30" s="120" t="s">
        <v>191</v>
      </c>
      <c r="H30" s="133">
        <f t="shared" si="0"/>
        <v>0</v>
      </c>
      <c r="I30" s="120" t="s">
        <v>146</v>
      </c>
      <c r="J30" s="135" t="str">
        <f>IF(H30&gt;0,'BP1'!K16/H30,"")</f>
        <v/>
      </c>
      <c r="K30" s="120" t="s">
        <v>601</v>
      </c>
    </row>
    <row r="31" spans="1:11" ht="12">
      <c r="A31" s="1032" t="str">
        <f>IF('BP1'!B17&gt;0,'BP1'!B17,"Senior Personnel 3")</f>
        <v>Senior Personnel 3</v>
      </c>
      <c r="B31" s="1032"/>
      <c r="C31" s="1032"/>
      <c r="D31" s="121">
        <f>'BP1'!H17+'BP1'!I17</f>
        <v>0</v>
      </c>
      <c r="E31" s="122" t="str">
        <f>IF('BP1'!H17&gt;0,"CM","AM")</f>
        <v>AM</v>
      </c>
      <c r="F31" s="121">
        <f>'BP1'!J17</f>
        <v>0</v>
      </c>
      <c r="G31" s="122" t="s">
        <v>191</v>
      </c>
      <c r="H31" s="133">
        <f t="shared" si="0"/>
        <v>0</v>
      </c>
      <c r="I31" s="122" t="s">
        <v>146</v>
      </c>
      <c r="J31" s="135" t="str">
        <f>IF(H31&gt;0,'BP1'!K17/H31,"")</f>
        <v/>
      </c>
      <c r="K31" s="122" t="s">
        <v>601</v>
      </c>
    </row>
    <row r="32" spans="1:11" ht="12">
      <c r="A32" s="1033" t="str">
        <f>IF('BP1'!B18&gt;0,'BP1'!B18,"Senior Personnel 4")</f>
        <v>Senior Personnel 4</v>
      </c>
      <c r="B32" s="1033"/>
      <c r="C32" s="1033"/>
      <c r="D32" s="119">
        <f>'BP1'!H18+'BP1'!I18</f>
        <v>0</v>
      </c>
      <c r="E32" s="120" t="str">
        <f>IF('BP1'!H18&gt;0,"CM","AM")</f>
        <v>AM</v>
      </c>
      <c r="F32" s="119">
        <f>'BP1'!J18</f>
        <v>0</v>
      </c>
      <c r="G32" s="120" t="s">
        <v>191</v>
      </c>
      <c r="H32" s="133">
        <f t="shared" si="0"/>
        <v>0</v>
      </c>
      <c r="I32" s="120" t="s">
        <v>146</v>
      </c>
      <c r="J32" s="135" t="str">
        <f>IF(H32&gt;0,'BP1'!K18/H32,"")</f>
        <v/>
      </c>
      <c r="K32" s="120" t="s">
        <v>601</v>
      </c>
    </row>
    <row r="33" spans="1:11" ht="12">
      <c r="A33" s="1032" t="str">
        <f>IF('BP1'!B19&gt;0,'BP1'!B19,"Senior Personnel 5")</f>
        <v>Senior Personnel 5</v>
      </c>
      <c r="B33" s="1032"/>
      <c r="C33" s="1032"/>
      <c r="D33" s="121">
        <f>'BP1'!H19+'BP1'!I19</f>
        <v>0</v>
      </c>
      <c r="E33" s="122" t="str">
        <f>IF('BP1'!H19&gt;0,"CM","AM")</f>
        <v>AM</v>
      </c>
      <c r="F33" s="121">
        <f>'BP1'!J19</f>
        <v>0</v>
      </c>
      <c r="G33" s="122" t="s">
        <v>191</v>
      </c>
      <c r="H33" s="133">
        <f t="shared" si="0"/>
        <v>0</v>
      </c>
      <c r="I33" s="122" t="s">
        <v>146</v>
      </c>
      <c r="J33" s="135" t="str">
        <f>IF(H33&gt;0,'BP1'!K19/H33,"")</f>
        <v/>
      </c>
      <c r="K33" s="122" t="s">
        <v>601</v>
      </c>
    </row>
    <row r="34" spans="1:11" ht="12">
      <c r="A34" s="1033" t="str">
        <f>IF('BP1'!B20&gt;0,'BP1'!B20,"Senior Personnel 6")</f>
        <v>Senior Personnel 6</v>
      </c>
      <c r="B34" s="1033"/>
      <c r="C34" s="1033"/>
      <c r="D34" s="119">
        <f>'BP1'!H20+'BP1'!I20</f>
        <v>0</v>
      </c>
      <c r="E34" s="120" t="str">
        <f>IF('BP1'!H20&gt;0,"CM","AM")</f>
        <v>AM</v>
      </c>
      <c r="F34" s="119">
        <f>'BP1'!J20</f>
        <v>0</v>
      </c>
      <c r="G34" s="120" t="s">
        <v>191</v>
      </c>
      <c r="H34" s="133">
        <f t="shared" si="0"/>
        <v>0</v>
      </c>
      <c r="I34" s="120" t="s">
        <v>146</v>
      </c>
      <c r="J34" s="135" t="str">
        <f>IF(H34&gt;0,'BP1'!K20/H34,"")</f>
        <v/>
      </c>
      <c r="K34" s="120" t="s">
        <v>601</v>
      </c>
    </row>
    <row r="35" spans="1:11" ht="12">
      <c r="A35" s="1032" t="str">
        <f>IF('BP1'!B21&gt;0,'BP1'!B21,"Senior Personnel 7")</f>
        <v>Senior Personnel 7</v>
      </c>
      <c r="B35" s="1032"/>
      <c r="C35" s="1032"/>
      <c r="D35" s="121">
        <f>'BP1'!H21+'BP1'!I21</f>
        <v>0</v>
      </c>
      <c r="E35" s="122" t="str">
        <f>IF('BP1'!H21&gt;0,"CM","AM")</f>
        <v>AM</v>
      </c>
      <c r="F35" s="121">
        <f>'BP1'!J21</f>
        <v>0</v>
      </c>
      <c r="G35" s="122" t="s">
        <v>191</v>
      </c>
      <c r="H35" s="133">
        <f t="shared" si="0"/>
        <v>0</v>
      </c>
      <c r="I35" s="122" t="s">
        <v>146</v>
      </c>
      <c r="J35" s="135" t="str">
        <f>IF(H35&gt;0,'BP1'!K21/H35,"")</f>
        <v/>
      </c>
      <c r="K35" s="122" t="s">
        <v>601</v>
      </c>
    </row>
    <row r="36" spans="1:11" ht="12">
      <c r="A36" s="1033" t="str">
        <f>IF('BP1'!B22&gt;0,'BP1'!B22,"Senior Personnel 8")</f>
        <v>Senior Personnel 8</v>
      </c>
      <c r="B36" s="1033"/>
      <c r="C36" s="1033"/>
      <c r="D36" s="119">
        <f>'BP1'!H22+'BP1'!I22</f>
        <v>0</v>
      </c>
      <c r="E36" s="120" t="str">
        <f>IF('BP1'!H22&gt;0,"CM","AM")</f>
        <v>AM</v>
      </c>
      <c r="F36" s="119">
        <f>'BP1'!J22</f>
        <v>0</v>
      </c>
      <c r="G36" s="120" t="s">
        <v>191</v>
      </c>
      <c r="H36" s="133">
        <f t="shared" si="0"/>
        <v>0</v>
      </c>
      <c r="I36" s="120" t="s">
        <v>146</v>
      </c>
      <c r="J36" s="135" t="str">
        <f>IF(H36&gt;0,'BP1'!K22/H36,"")</f>
        <v/>
      </c>
      <c r="K36" s="120" t="s">
        <v>601</v>
      </c>
    </row>
    <row r="37" spans="1:11" ht="12">
      <c r="A37" s="1032" t="str">
        <f>IF('BP1'!B23&gt;0,'BP1'!B23,"Senior Personnel 9")</f>
        <v>Senior Personnel 9</v>
      </c>
      <c r="B37" s="1032"/>
      <c r="C37" s="1032"/>
      <c r="D37" s="121">
        <f>'BP1'!H23+'BP1'!I23</f>
        <v>0</v>
      </c>
      <c r="E37" s="122" t="str">
        <f>IF('BP1'!H23&gt;0,"CM","AM")</f>
        <v>AM</v>
      </c>
      <c r="F37" s="121">
        <f>'BP1'!J23</f>
        <v>0</v>
      </c>
      <c r="G37" s="122" t="s">
        <v>191</v>
      </c>
      <c r="H37" s="133">
        <f t="shared" si="0"/>
        <v>0</v>
      </c>
      <c r="I37" s="122" t="s">
        <v>146</v>
      </c>
      <c r="J37" s="135" t="str">
        <f>IF(H37&gt;0,'BP1'!K23/H37,"")</f>
        <v/>
      </c>
      <c r="K37" s="122" t="s">
        <v>601</v>
      </c>
    </row>
    <row r="38" spans="1:11" ht="12">
      <c r="A38" s="1033" t="str">
        <f>IF('BP1'!B24&gt;0,'BP1'!B24,"Senior Personnel 10")</f>
        <v>Senior Personnel 10</v>
      </c>
      <c r="B38" s="1033"/>
      <c r="C38" s="1033"/>
      <c r="D38" s="119">
        <f>'BP1'!H24+'BP1'!I24</f>
        <v>0</v>
      </c>
      <c r="E38" s="120" t="str">
        <f>IF('BP1'!H24&gt;0,"CM","AM")</f>
        <v>AM</v>
      </c>
      <c r="F38" s="119">
        <f>'BP1'!J24</f>
        <v>0</v>
      </c>
      <c r="G38" s="120" t="s">
        <v>191</v>
      </c>
      <c r="H38" s="133">
        <f t="shared" si="0"/>
        <v>0</v>
      </c>
      <c r="I38" s="120" t="s">
        <v>146</v>
      </c>
      <c r="J38" s="135" t="str">
        <f>IF(H38&gt;0,'BP1'!K24/H38,"")</f>
        <v/>
      </c>
      <c r="K38" s="120" t="s">
        <v>601</v>
      </c>
    </row>
    <row r="39" spans="1:11" ht="12">
      <c r="A39" s="1032" t="str">
        <f>IF('BP1'!B25&gt;0,'BP1'!B25,"Senior Personnel 11")</f>
        <v>Senior Personnel 11</v>
      </c>
      <c r="B39" s="1032"/>
      <c r="C39" s="1032"/>
      <c r="D39" s="121">
        <f>'BP1'!H25+'BP1'!I25</f>
        <v>0</v>
      </c>
      <c r="E39" s="122" t="str">
        <f>IF('BP1'!H25&gt;0,"CM","AM")</f>
        <v>AM</v>
      </c>
      <c r="F39" s="121">
        <f>'BP1'!J25</f>
        <v>0</v>
      </c>
      <c r="G39" s="122" t="s">
        <v>191</v>
      </c>
      <c r="H39" s="133">
        <f t="shared" si="0"/>
        <v>0</v>
      </c>
      <c r="I39" s="122" t="s">
        <v>146</v>
      </c>
      <c r="J39" s="135" t="str">
        <f>IF(H39&gt;0,'BP1'!K25/H39,"")</f>
        <v/>
      </c>
      <c r="K39" s="122" t="s">
        <v>601</v>
      </c>
    </row>
    <row r="40" spans="1:11" ht="12">
      <c r="A40" s="1033" t="str">
        <f>IF('BP1'!B26&gt;0,'BP1'!B26,"Senior Personnel 12")</f>
        <v>Senior Personnel 12</v>
      </c>
      <c r="B40" s="1033"/>
      <c r="C40" s="1033"/>
      <c r="D40" s="119">
        <f>'BP1'!H26+'BP1'!I26</f>
        <v>0</v>
      </c>
      <c r="E40" s="120" t="str">
        <f>IF('BP1'!H26&gt;0,"CM","AM")</f>
        <v>AM</v>
      </c>
      <c r="F40" s="119">
        <f>'BP1'!J26</f>
        <v>0</v>
      </c>
      <c r="G40" s="120" t="s">
        <v>191</v>
      </c>
      <c r="H40" s="133">
        <f t="shared" si="0"/>
        <v>0</v>
      </c>
      <c r="I40" s="120" t="s">
        <v>146</v>
      </c>
      <c r="J40" s="135" t="str">
        <f>IF(H40&gt;0,'BP1'!K26/H40,"")</f>
        <v/>
      </c>
      <c r="K40" s="120" t="s">
        <v>601</v>
      </c>
    </row>
    <row r="41" spans="1:11" ht="12">
      <c r="A41" s="1032" t="str">
        <f>IF('BP1'!B27&gt;0,'BP1'!B27,"Senior Personnel 13")</f>
        <v>Senior Personnel 13</v>
      </c>
      <c r="B41" s="1032"/>
      <c r="C41" s="1032"/>
      <c r="D41" s="121">
        <f>'BP1'!H27+'BP1'!I27</f>
        <v>0</v>
      </c>
      <c r="E41" s="122" t="str">
        <f>IF('BP1'!H27&gt;0,"CM","AM")</f>
        <v>AM</v>
      </c>
      <c r="F41" s="121">
        <f>'BP1'!J27</f>
        <v>0</v>
      </c>
      <c r="G41" s="122" t="s">
        <v>191</v>
      </c>
      <c r="H41" s="133">
        <f t="shared" si="0"/>
        <v>0</v>
      </c>
      <c r="I41" s="122" t="s">
        <v>146</v>
      </c>
      <c r="J41" s="135" t="str">
        <f>IF(H41&gt;0,'BP1'!K27/H41,"")</f>
        <v/>
      </c>
      <c r="K41" s="122" t="s">
        <v>601</v>
      </c>
    </row>
    <row r="42" spans="1:11" ht="12">
      <c r="A42" s="1033" t="str">
        <f>IF('BP1'!B28&gt;0,'BP1'!B28,"Senior Personnel 14")</f>
        <v>Senior Personnel 14</v>
      </c>
      <c r="B42" s="1033"/>
      <c r="C42" s="1033"/>
      <c r="D42" s="119">
        <f>'BP1'!H28+'BP1'!I28</f>
        <v>0</v>
      </c>
      <c r="E42" s="120" t="str">
        <f>IF('BP1'!H28&gt;0,"CM","AM")</f>
        <v>AM</v>
      </c>
      <c r="F42" s="119">
        <f>'BP1'!J28</f>
        <v>0</v>
      </c>
      <c r="G42" s="120" t="s">
        <v>191</v>
      </c>
      <c r="H42" s="133">
        <f t="shared" si="0"/>
        <v>0</v>
      </c>
      <c r="I42" s="120" t="s">
        <v>146</v>
      </c>
      <c r="J42" s="135" t="str">
        <f>IF(H42&gt;0,'BP1'!K28/H42,"")</f>
        <v/>
      </c>
      <c r="K42" s="120" t="s">
        <v>601</v>
      </c>
    </row>
    <row r="43" spans="1:11" ht="12">
      <c r="A43" s="1032" t="str">
        <f>IF('BP1'!B29&gt;0,'BP1'!B29,"Senior Personnel 15")</f>
        <v>Senior Personnel 15</v>
      </c>
      <c r="B43" s="1032"/>
      <c r="C43" s="1032"/>
      <c r="D43" s="121">
        <f>'BP1'!H29+'BP1'!I29</f>
        <v>0</v>
      </c>
      <c r="E43" s="122" t="str">
        <f>IF('BP1'!H29&gt;0,"CM","AM")</f>
        <v>AM</v>
      </c>
      <c r="F43" s="121">
        <f>'BP1'!J29</f>
        <v>0</v>
      </c>
      <c r="G43" s="122" t="s">
        <v>191</v>
      </c>
      <c r="H43" s="133">
        <f t="shared" si="0"/>
        <v>0</v>
      </c>
      <c r="I43" s="122" t="s">
        <v>146</v>
      </c>
      <c r="J43" s="135" t="str">
        <f>IF(H43&gt;0,'BP1'!K29/H43,"")</f>
        <v/>
      </c>
      <c r="K43" s="122" t="s">
        <v>601</v>
      </c>
    </row>
    <row r="44" spans="1:11" ht="12">
      <c r="A44" s="1033" t="s">
        <v>185</v>
      </c>
      <c r="B44" s="1033"/>
      <c r="C44" s="1033"/>
      <c r="D44" s="119">
        <f>'BP1'!H32</f>
        <v>0</v>
      </c>
      <c r="E44" s="120" t="s">
        <v>186</v>
      </c>
      <c r="F44" s="120"/>
      <c r="G44" s="120"/>
      <c r="H44" s="133">
        <f t="shared" si="0"/>
        <v>0</v>
      </c>
      <c r="I44" s="120" t="s">
        <v>146</v>
      </c>
      <c r="J44" s="135" t="str">
        <f>IF(H44&gt;0,'BP1'!K32/H44,"")</f>
        <v/>
      </c>
      <c r="K44" s="120" t="s">
        <v>601</v>
      </c>
    </row>
    <row r="45" spans="1:11" ht="12">
      <c r="A45" s="1032" t="s">
        <v>187</v>
      </c>
      <c r="B45" s="1032"/>
      <c r="C45" s="1032"/>
      <c r="D45" s="121">
        <f>'BP1'!H33</f>
        <v>0</v>
      </c>
      <c r="E45" s="122" t="s">
        <v>186</v>
      </c>
      <c r="F45" s="122"/>
      <c r="G45" s="122"/>
      <c r="H45" s="133">
        <f t="shared" si="0"/>
        <v>0</v>
      </c>
      <c r="I45" s="122" t="s">
        <v>146</v>
      </c>
      <c r="J45" s="135" t="str">
        <f>IF(H45&gt;0,'BP1'!K33/H45,"")</f>
        <v/>
      </c>
      <c r="K45" s="122" t="s">
        <v>601</v>
      </c>
    </row>
    <row r="46" spans="1:11" ht="12">
      <c r="A46" s="1033" t="s">
        <v>188</v>
      </c>
      <c r="B46" s="1033"/>
      <c r="C46" s="1033"/>
      <c r="D46" s="119">
        <f>'BP1'!H38</f>
        <v>0</v>
      </c>
      <c r="E46" s="120" t="s">
        <v>186</v>
      </c>
      <c r="F46" s="120"/>
      <c r="G46" s="120"/>
      <c r="H46" s="133">
        <f t="shared" si="0"/>
        <v>0</v>
      </c>
      <c r="I46" s="120" t="s">
        <v>146</v>
      </c>
      <c r="J46" s="135" t="str">
        <f>IF(H46&gt;0,'BP1'!K38/H46,"")</f>
        <v/>
      </c>
      <c r="K46" s="120" t="s">
        <v>601</v>
      </c>
    </row>
    <row r="47" spans="1:11" ht="12">
      <c r="A47" s="1032" t="s">
        <v>189</v>
      </c>
      <c r="B47" s="1032"/>
      <c r="C47" s="1032"/>
      <c r="D47" s="121">
        <f>'BP1'!H39</f>
        <v>0</v>
      </c>
      <c r="E47" s="122" t="s">
        <v>186</v>
      </c>
      <c r="F47" s="122"/>
      <c r="G47" s="122"/>
      <c r="H47" s="133">
        <f t="shared" si="0"/>
        <v>0</v>
      </c>
      <c r="I47" s="122" t="s">
        <v>146</v>
      </c>
      <c r="J47" s="135" t="str">
        <f>IF(H47&gt;0,'BP1'!K39/H47,"")</f>
        <v/>
      </c>
      <c r="K47" s="122" t="s">
        <v>601</v>
      </c>
    </row>
    <row r="48" spans="1:11" ht="12.6" thickBot="1">
      <c r="A48" s="1034" t="s">
        <v>190</v>
      </c>
      <c r="B48" s="1034"/>
      <c r="C48" s="1034"/>
      <c r="D48" s="128">
        <f>'BP1'!H40</f>
        <v>0</v>
      </c>
      <c r="E48" s="129" t="s">
        <v>186</v>
      </c>
      <c r="F48" s="129"/>
      <c r="G48" s="129"/>
      <c r="H48" s="134">
        <f t="shared" si="0"/>
        <v>0</v>
      </c>
      <c r="I48" s="129" t="s">
        <v>146</v>
      </c>
      <c r="J48" s="136" t="str">
        <f>IF(H48&gt;0,'BP1'!K40/H48,"")</f>
        <v/>
      </c>
      <c r="K48" s="129" t="s">
        <v>601</v>
      </c>
    </row>
  </sheetData>
  <mergeCells count="26">
    <mergeCell ref="A44:C44"/>
    <mergeCell ref="A45:C45"/>
    <mergeCell ref="A46:C46"/>
    <mergeCell ref="A47:C47"/>
    <mergeCell ref="A48:C4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28:K28"/>
    <mergeCell ref="A1:K2"/>
    <mergeCell ref="A4:K4"/>
    <mergeCell ref="A10:K10"/>
    <mergeCell ref="A16:K16"/>
    <mergeCell ref="A25:K26"/>
  </mergeCells>
  <phoneticPr fontId="0" type="noConversion"/>
  <pageMargins left="0.5" right="0.3" top="1" bottom="1" header="0.5" footer="0.5"/>
  <pageSetup scale="94" orientation="portrait" r:id="rId1"/>
  <headerFooter alignWithMargins="0">
    <oddFooter>&amp;L&amp;8McCormick School of Engineering and Applied Science&amp;RAppendix B-Effort Calculator</oddFooter>
  </headerFooter>
  <ignoredErrors>
    <ignoredError sqref="J29:J48"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J142"/>
  <sheetViews>
    <sheetView workbookViewId="0">
      <selection activeCell="D2" sqref="D2"/>
    </sheetView>
  </sheetViews>
  <sheetFormatPr defaultRowHeight="13.2"/>
  <cols>
    <col min="1" max="1" width="64.33203125" customWidth="1"/>
    <col min="2" max="2" width="77.88671875" customWidth="1"/>
    <col min="4" max="4" width="11.44140625" customWidth="1"/>
    <col min="5" max="5" width="2.6640625" bestFit="1" customWidth="1"/>
  </cols>
  <sheetData>
    <row r="1" spans="1:10" ht="15.6">
      <c r="A1" s="33" t="s">
        <v>37</v>
      </c>
      <c r="B1" s="34" t="s">
        <v>38</v>
      </c>
      <c r="D1" s="331" t="s">
        <v>856</v>
      </c>
      <c r="J1" s="556">
        <f>COUNTIF(NIH,'BP1'!E9)</f>
        <v>0</v>
      </c>
    </row>
    <row r="2" spans="1:10" ht="13.8">
      <c r="B2" s="35"/>
      <c r="D2" s="25">
        <v>228000</v>
      </c>
      <c r="E2" s="535" t="s">
        <v>855</v>
      </c>
      <c r="F2" t="s">
        <v>854</v>
      </c>
    </row>
    <row r="3" spans="1:10">
      <c r="A3" s="590" t="s">
        <v>955</v>
      </c>
      <c r="B3" s="591" t="s">
        <v>955</v>
      </c>
      <c r="D3" t="s">
        <v>320</v>
      </c>
      <c r="F3" t="s">
        <v>986</v>
      </c>
    </row>
    <row r="4" spans="1:10">
      <c r="A4" s="592" t="s">
        <v>956</v>
      </c>
      <c r="B4" s="593" t="s">
        <v>957</v>
      </c>
      <c r="D4" t="s">
        <v>321</v>
      </c>
      <c r="F4" t="s">
        <v>987</v>
      </c>
    </row>
    <row r="5" spans="1:10">
      <c r="B5" s="38"/>
      <c r="D5" t="s">
        <v>322</v>
      </c>
      <c r="F5" s="556" t="s">
        <v>974</v>
      </c>
      <c r="H5" s="556" t="b">
        <f>IF(COUNTIF(D3:D142,'BP1'!E9)&lt;&gt;0,"NIH")</f>
        <v>0</v>
      </c>
    </row>
    <row r="6" spans="1:10">
      <c r="A6" s="36" t="s">
        <v>966</v>
      </c>
      <c r="B6" s="37" t="s">
        <v>966</v>
      </c>
      <c r="D6" t="s">
        <v>323</v>
      </c>
    </row>
    <row r="7" spans="1:10">
      <c r="A7" s="588" t="s">
        <v>967</v>
      </c>
      <c r="B7" s="589" t="s">
        <v>968</v>
      </c>
      <c r="D7" t="s">
        <v>324</v>
      </c>
    </row>
    <row r="8" spans="1:10">
      <c r="B8" s="38"/>
      <c r="D8" t="s">
        <v>325</v>
      </c>
    </row>
    <row r="9" spans="1:10">
      <c r="A9" s="36" t="s">
        <v>39</v>
      </c>
      <c r="B9" s="37" t="s">
        <v>40</v>
      </c>
      <c r="D9" t="s">
        <v>326</v>
      </c>
    </row>
    <row r="10" spans="1:10">
      <c r="A10" t="s">
        <v>1</v>
      </c>
      <c r="B10" s="38" t="s">
        <v>1</v>
      </c>
      <c r="D10" t="s">
        <v>327</v>
      </c>
    </row>
    <row r="11" spans="1:10">
      <c r="B11" s="38"/>
      <c r="D11" t="s">
        <v>328</v>
      </c>
    </row>
    <row r="12" spans="1:10">
      <c r="A12" s="36" t="s">
        <v>41</v>
      </c>
      <c r="B12" s="37" t="s">
        <v>42</v>
      </c>
      <c r="D12" t="s">
        <v>329</v>
      </c>
    </row>
    <row r="13" spans="1:10">
      <c r="A13" t="s">
        <v>953</v>
      </c>
      <c r="B13" s="38" t="s">
        <v>43</v>
      </c>
      <c r="D13" t="s">
        <v>330</v>
      </c>
    </row>
    <row r="14" spans="1:10">
      <c r="B14" s="38"/>
      <c r="D14" t="s">
        <v>331</v>
      </c>
    </row>
    <row r="15" spans="1:10">
      <c r="A15" s="36" t="s">
        <v>44</v>
      </c>
      <c r="B15" s="37" t="s">
        <v>45</v>
      </c>
      <c r="D15" t="s">
        <v>332</v>
      </c>
    </row>
    <row r="16" spans="1:10">
      <c r="A16" t="s">
        <v>46</v>
      </c>
      <c r="B16" s="39" t="s">
        <v>97</v>
      </c>
      <c r="D16" t="s">
        <v>333</v>
      </c>
    </row>
    <row r="17" spans="1:4">
      <c r="B17" s="38"/>
      <c r="D17" t="s">
        <v>334</v>
      </c>
    </row>
    <row r="18" spans="1:4">
      <c r="A18" s="36" t="s">
        <v>47</v>
      </c>
      <c r="B18" s="37" t="s">
        <v>48</v>
      </c>
      <c r="D18" t="s">
        <v>335</v>
      </c>
    </row>
    <row r="19" spans="1:4">
      <c r="A19" s="111" t="s">
        <v>914</v>
      </c>
      <c r="B19" s="40">
        <v>44028</v>
      </c>
      <c r="D19" t="s">
        <v>336</v>
      </c>
    </row>
    <row r="20" spans="1:4">
      <c r="B20" s="559" t="s">
        <v>954</v>
      </c>
      <c r="D20" t="s">
        <v>337</v>
      </c>
    </row>
    <row r="21" spans="1:4">
      <c r="A21" s="36" t="s">
        <v>49</v>
      </c>
      <c r="B21" s="38"/>
      <c r="D21" t="s">
        <v>338</v>
      </c>
    </row>
    <row r="22" spans="1:4">
      <c r="A22" s="111" t="s">
        <v>915</v>
      </c>
      <c r="B22" s="38"/>
      <c r="D22" t="s">
        <v>339</v>
      </c>
    </row>
    <row r="23" spans="1:4">
      <c r="B23" s="38"/>
      <c r="D23" t="s">
        <v>340</v>
      </c>
    </row>
    <row r="24" spans="1:4">
      <c r="A24" s="36" t="s">
        <v>50</v>
      </c>
      <c r="B24" s="38"/>
      <c r="D24" t="s">
        <v>341</v>
      </c>
    </row>
    <row r="25" spans="1:4">
      <c r="A25" t="s">
        <v>916</v>
      </c>
      <c r="B25" s="38"/>
      <c r="D25" t="s">
        <v>342</v>
      </c>
    </row>
    <row r="26" spans="1:4">
      <c r="B26" s="38"/>
      <c r="D26" t="s">
        <v>343</v>
      </c>
    </row>
    <row r="27" spans="1:4">
      <c r="A27" s="36" t="s">
        <v>51</v>
      </c>
      <c r="B27" s="38"/>
      <c r="D27" t="s">
        <v>344</v>
      </c>
    </row>
    <row r="28" spans="1:4">
      <c r="A28" t="s">
        <v>52</v>
      </c>
      <c r="B28" s="38"/>
      <c r="D28" t="s">
        <v>345</v>
      </c>
    </row>
    <row r="29" spans="1:4">
      <c r="A29" s="44"/>
      <c r="B29" s="38"/>
      <c r="D29" t="s">
        <v>346</v>
      </c>
    </row>
    <row r="30" spans="1:4">
      <c r="A30" s="41" t="s">
        <v>53</v>
      </c>
      <c r="B30" s="38"/>
      <c r="D30" t="s">
        <v>347</v>
      </c>
    </row>
    <row r="31" spans="1:4">
      <c r="A31" s="44" t="s">
        <v>54</v>
      </c>
      <c r="B31" s="38"/>
      <c r="D31" t="s">
        <v>348</v>
      </c>
    </row>
    <row r="32" spans="1:4">
      <c r="A32" s="44"/>
      <c r="B32" s="38"/>
      <c r="D32" t="s">
        <v>349</v>
      </c>
    </row>
    <row r="33" spans="1:4">
      <c r="A33" s="41" t="s">
        <v>55</v>
      </c>
      <c r="B33" s="38"/>
      <c r="D33" t="s">
        <v>350</v>
      </c>
    </row>
    <row r="34" spans="1:4">
      <c r="A34" s="112" t="s">
        <v>917</v>
      </c>
      <c r="B34" s="38"/>
      <c r="D34" t="s">
        <v>351</v>
      </c>
    </row>
    <row r="35" spans="1:4">
      <c r="A35" s="44"/>
      <c r="B35" s="38"/>
      <c r="D35" t="s">
        <v>352</v>
      </c>
    </row>
    <row r="36" spans="1:4">
      <c r="A36" s="36" t="s">
        <v>56</v>
      </c>
      <c r="B36" s="42"/>
      <c r="D36" t="s">
        <v>353</v>
      </c>
    </row>
    <row r="37" spans="1:4">
      <c r="A37" s="113" t="s">
        <v>980</v>
      </c>
      <c r="B37" s="42"/>
      <c r="D37" t="s">
        <v>354</v>
      </c>
    </row>
    <row r="38" spans="1:4">
      <c r="A38" s="32" t="s">
        <v>949</v>
      </c>
      <c r="B38" s="42"/>
      <c r="D38" t="s">
        <v>355</v>
      </c>
    </row>
    <row r="39" spans="1:4">
      <c r="A39" s="32" t="s">
        <v>950</v>
      </c>
      <c r="B39" s="42"/>
      <c r="D39" t="s">
        <v>356</v>
      </c>
    </row>
    <row r="40" spans="1:4">
      <c r="A40" s="558" t="s">
        <v>922</v>
      </c>
      <c r="B40" s="42"/>
      <c r="D40" t="s">
        <v>357</v>
      </c>
    </row>
    <row r="41" spans="1:4">
      <c r="A41" s="44"/>
      <c r="B41" s="42"/>
      <c r="D41" t="s">
        <v>358</v>
      </c>
    </row>
    <row r="42" spans="1:4">
      <c r="A42" s="41" t="s">
        <v>57</v>
      </c>
      <c r="B42" s="42"/>
      <c r="D42" t="s">
        <v>359</v>
      </c>
    </row>
    <row r="43" spans="1:4">
      <c r="A43" s="44" t="s">
        <v>58</v>
      </c>
      <c r="B43" s="42"/>
      <c r="D43" t="s">
        <v>360</v>
      </c>
    </row>
    <row r="44" spans="1:4">
      <c r="A44" s="44"/>
      <c r="B44" s="42"/>
      <c r="D44" t="s">
        <v>361</v>
      </c>
    </row>
    <row r="45" spans="1:4">
      <c r="A45" s="41" t="s">
        <v>59</v>
      </c>
      <c r="B45" s="42"/>
      <c r="D45" t="s">
        <v>362</v>
      </c>
    </row>
    <row r="46" spans="1:4">
      <c r="A46" s="44" t="s">
        <v>60</v>
      </c>
      <c r="B46" s="42"/>
      <c r="D46" t="s">
        <v>363</v>
      </c>
    </row>
    <row r="47" spans="1:4">
      <c r="A47" s="44"/>
      <c r="B47" s="42"/>
      <c r="D47" t="s">
        <v>364</v>
      </c>
    </row>
    <row r="48" spans="1:4">
      <c r="A48" s="41" t="s">
        <v>61</v>
      </c>
      <c r="B48" s="38"/>
      <c r="D48" t="s">
        <v>365</v>
      </c>
    </row>
    <row r="49" spans="1:4">
      <c r="A49" s="44" t="s">
        <v>62</v>
      </c>
      <c r="B49" s="38"/>
      <c r="D49" t="s">
        <v>366</v>
      </c>
    </row>
    <row r="50" spans="1:4">
      <c r="A50" s="44"/>
      <c r="B50" s="38"/>
      <c r="D50" t="s">
        <v>367</v>
      </c>
    </row>
    <row r="51" spans="1:4">
      <c r="A51" s="41" t="s">
        <v>63</v>
      </c>
      <c r="B51" s="38"/>
      <c r="D51" t="s">
        <v>368</v>
      </c>
    </row>
    <row r="52" spans="1:4">
      <c r="A52" s="44" t="s">
        <v>64</v>
      </c>
      <c r="B52" s="38"/>
      <c r="D52" t="s">
        <v>369</v>
      </c>
    </row>
    <row r="53" spans="1:4">
      <c r="A53" s="44"/>
      <c r="B53" s="38"/>
      <c r="D53" t="s">
        <v>370</v>
      </c>
    </row>
    <row r="54" spans="1:4">
      <c r="A54" s="43" t="s">
        <v>65</v>
      </c>
      <c r="B54" s="38"/>
      <c r="D54" t="s">
        <v>371</v>
      </c>
    </row>
    <row r="55" spans="1:4">
      <c r="A55" s="113" t="s">
        <v>980</v>
      </c>
      <c r="B55" s="38"/>
      <c r="D55" t="s">
        <v>372</v>
      </c>
    </row>
    <row r="56" spans="1:4">
      <c r="B56" s="38"/>
      <c r="D56" t="s">
        <v>373</v>
      </c>
    </row>
    <row r="57" spans="1:4">
      <c r="A57" s="36" t="s">
        <v>66</v>
      </c>
      <c r="B57" s="38"/>
      <c r="D57" t="s">
        <v>374</v>
      </c>
    </row>
    <row r="58" spans="1:4">
      <c r="A58" t="s">
        <v>602</v>
      </c>
      <c r="B58" s="38"/>
      <c r="D58" t="s">
        <v>375</v>
      </c>
    </row>
    <row r="59" spans="1:4">
      <c r="D59" t="s">
        <v>376</v>
      </c>
    </row>
    <row r="60" spans="1:4">
      <c r="D60" t="s">
        <v>377</v>
      </c>
    </row>
    <row r="61" spans="1:4">
      <c r="D61" t="s">
        <v>378</v>
      </c>
    </row>
    <row r="62" spans="1:4">
      <c r="D62" t="s">
        <v>379</v>
      </c>
    </row>
    <row r="63" spans="1:4">
      <c r="D63" t="s">
        <v>380</v>
      </c>
    </row>
    <row r="64" spans="1:4">
      <c r="D64" t="s">
        <v>381</v>
      </c>
    </row>
    <row r="65" spans="4:4">
      <c r="D65" t="s">
        <v>382</v>
      </c>
    </row>
    <row r="66" spans="4:4">
      <c r="D66" t="s">
        <v>383</v>
      </c>
    </row>
    <row r="67" spans="4:4">
      <c r="D67" t="s">
        <v>384</v>
      </c>
    </row>
    <row r="68" spans="4:4">
      <c r="D68" t="s">
        <v>385</v>
      </c>
    </row>
    <row r="69" spans="4:4">
      <c r="D69" t="s">
        <v>386</v>
      </c>
    </row>
    <row r="70" spans="4:4">
      <c r="D70" t="s">
        <v>387</v>
      </c>
    </row>
    <row r="71" spans="4:4">
      <c r="D71" t="s">
        <v>388</v>
      </c>
    </row>
    <row r="72" spans="4:4">
      <c r="D72" t="s">
        <v>389</v>
      </c>
    </row>
    <row r="73" spans="4:4">
      <c r="D73" t="s">
        <v>390</v>
      </c>
    </row>
    <row r="74" spans="4:4">
      <c r="D74" t="s">
        <v>391</v>
      </c>
    </row>
    <row r="75" spans="4:4">
      <c r="D75" t="s">
        <v>392</v>
      </c>
    </row>
    <row r="76" spans="4:4">
      <c r="D76" t="s">
        <v>393</v>
      </c>
    </row>
    <row r="77" spans="4:4">
      <c r="D77" t="s">
        <v>392</v>
      </c>
    </row>
    <row r="78" spans="4:4">
      <c r="D78" t="s">
        <v>394</v>
      </c>
    </row>
    <row r="79" spans="4:4">
      <c r="D79" t="s">
        <v>395</v>
      </c>
    </row>
    <row r="80" spans="4:4">
      <c r="D80" t="s">
        <v>396</v>
      </c>
    </row>
    <row r="81" spans="4:4">
      <c r="D81" t="s">
        <v>397</v>
      </c>
    </row>
    <row r="82" spans="4:4">
      <c r="D82" t="s">
        <v>398</v>
      </c>
    </row>
    <row r="83" spans="4:4">
      <c r="D83" t="s">
        <v>399</v>
      </c>
    </row>
    <row r="84" spans="4:4">
      <c r="D84" t="s">
        <v>400</v>
      </c>
    </row>
    <row r="85" spans="4:4">
      <c r="D85" t="s">
        <v>401</v>
      </c>
    </row>
    <row r="86" spans="4:4">
      <c r="D86" t="s">
        <v>402</v>
      </c>
    </row>
    <row r="87" spans="4:4">
      <c r="D87" t="s">
        <v>403</v>
      </c>
    </row>
    <row r="88" spans="4:4">
      <c r="D88" t="s">
        <v>404</v>
      </c>
    </row>
    <row r="89" spans="4:4">
      <c r="D89" t="s">
        <v>405</v>
      </c>
    </row>
    <row r="90" spans="4:4">
      <c r="D90" t="s">
        <v>406</v>
      </c>
    </row>
    <row r="91" spans="4:4">
      <c r="D91" t="s">
        <v>427</v>
      </c>
    </row>
    <row r="92" spans="4:4">
      <c r="D92" t="s">
        <v>428</v>
      </c>
    </row>
    <row r="93" spans="4:4">
      <c r="D93" t="s">
        <v>970</v>
      </c>
    </row>
    <row r="94" spans="4:4">
      <c r="D94" t="s">
        <v>971</v>
      </c>
    </row>
    <row r="95" spans="4:4">
      <c r="D95" s="331" t="s">
        <v>860</v>
      </c>
    </row>
    <row r="96" spans="4:4">
      <c r="D96" t="s">
        <v>425</v>
      </c>
    </row>
    <row r="97" spans="4:4">
      <c r="D97" t="s">
        <v>426</v>
      </c>
    </row>
    <row r="98" spans="4:4">
      <c r="D98" t="s">
        <v>429</v>
      </c>
    </row>
    <row r="99" spans="4:4">
      <c r="D99" t="s">
        <v>430</v>
      </c>
    </row>
    <row r="100" spans="4:4">
      <c r="D100" t="s">
        <v>431</v>
      </c>
    </row>
    <row r="101" spans="4:4">
      <c r="D101" t="s">
        <v>432</v>
      </c>
    </row>
    <row r="102" spans="4:4">
      <c r="D102" t="s">
        <v>433</v>
      </c>
    </row>
    <row r="103" spans="4:4">
      <c r="D103" t="s">
        <v>434</v>
      </c>
    </row>
    <row r="104" spans="4:4">
      <c r="D104" t="s">
        <v>435</v>
      </c>
    </row>
    <row r="105" spans="4:4">
      <c r="D105" t="s">
        <v>436</v>
      </c>
    </row>
    <row r="106" spans="4:4">
      <c r="D106" t="s">
        <v>437</v>
      </c>
    </row>
    <row r="107" spans="4:4">
      <c r="D107" t="s">
        <v>438</v>
      </c>
    </row>
    <row r="108" spans="4:4">
      <c r="D108" t="s">
        <v>439</v>
      </c>
    </row>
    <row r="109" spans="4:4">
      <c r="D109" t="s">
        <v>440</v>
      </c>
    </row>
    <row r="110" spans="4:4">
      <c r="D110" s="331" t="s">
        <v>861</v>
      </c>
    </row>
    <row r="111" spans="4:4">
      <c r="D111" t="s">
        <v>821</v>
      </c>
    </row>
    <row r="112" spans="4:4">
      <c r="D112" t="s">
        <v>822</v>
      </c>
    </row>
    <row r="113" spans="4:4">
      <c r="D113" t="s">
        <v>823</v>
      </c>
    </row>
    <row r="114" spans="4:4">
      <c r="D114" t="s">
        <v>824</v>
      </c>
    </row>
    <row r="115" spans="4:4">
      <c r="D115" t="s">
        <v>825</v>
      </c>
    </row>
    <row r="116" spans="4:4">
      <c r="D116" t="s">
        <v>826</v>
      </c>
    </row>
    <row r="117" spans="4:4">
      <c r="D117" t="s">
        <v>827</v>
      </c>
    </row>
    <row r="118" spans="4:4">
      <c r="D118" t="s">
        <v>828</v>
      </c>
    </row>
    <row r="119" spans="4:4">
      <c r="D119" t="s">
        <v>829</v>
      </c>
    </row>
    <row r="120" spans="4:4">
      <c r="D120" t="s">
        <v>830</v>
      </c>
    </row>
    <row r="121" spans="4:4">
      <c r="D121" t="s">
        <v>831</v>
      </c>
    </row>
    <row r="122" spans="4:4">
      <c r="D122" t="s">
        <v>832</v>
      </c>
    </row>
    <row r="123" spans="4:4">
      <c r="D123" t="s">
        <v>833</v>
      </c>
    </row>
    <row r="124" spans="4:4">
      <c r="D124" t="s">
        <v>834</v>
      </c>
    </row>
    <row r="125" spans="4:4">
      <c r="D125" t="s">
        <v>835</v>
      </c>
    </row>
    <row r="126" spans="4:4">
      <c r="D126" t="s">
        <v>836</v>
      </c>
    </row>
    <row r="127" spans="4:4">
      <c r="D127" t="s">
        <v>837</v>
      </c>
    </row>
    <row r="128" spans="4:4">
      <c r="D128" t="s">
        <v>838</v>
      </c>
    </row>
    <row r="129" spans="4:4">
      <c r="D129" t="s">
        <v>839</v>
      </c>
    </row>
    <row r="130" spans="4:4">
      <c r="D130" t="s">
        <v>840</v>
      </c>
    </row>
    <row r="131" spans="4:4">
      <c r="D131" t="s">
        <v>841</v>
      </c>
    </row>
    <row r="132" spans="4:4">
      <c r="D132" t="s">
        <v>842</v>
      </c>
    </row>
    <row r="133" spans="4:4">
      <c r="D133" t="s">
        <v>843</v>
      </c>
    </row>
    <row r="134" spans="4:4">
      <c r="D134" t="s">
        <v>846</v>
      </c>
    </row>
    <row r="135" spans="4:4">
      <c r="D135" t="s">
        <v>844</v>
      </c>
    </row>
    <row r="136" spans="4:4">
      <c r="D136" t="s">
        <v>845</v>
      </c>
    </row>
    <row r="137" spans="4:4">
      <c r="D137" t="s">
        <v>847</v>
      </c>
    </row>
    <row r="138" spans="4:4">
      <c r="D138" t="s">
        <v>848</v>
      </c>
    </row>
    <row r="139" spans="4:4">
      <c r="D139" t="s">
        <v>849</v>
      </c>
    </row>
    <row r="140" spans="4:4">
      <c r="D140" t="s">
        <v>852</v>
      </c>
    </row>
    <row r="141" spans="4:4">
      <c r="D141" t="s">
        <v>850</v>
      </c>
    </row>
    <row r="142" spans="4:4">
      <c r="D142" t="s">
        <v>851</v>
      </c>
    </row>
  </sheetData>
  <sortState xmlns:xlrd2="http://schemas.microsoft.com/office/spreadsheetml/2017/richdata2" ref="E1:F85">
    <sortCondition ref="E1"/>
  </sortState>
  <phoneticPr fontId="0" type="noConversion"/>
  <conditionalFormatting sqref="F5">
    <cfRule type="expression" dxfId="1" priority="1">
      <formula>H5="NIH"</formula>
    </cfRule>
  </conditionalFormatting>
  <conditionalFormatting sqref="H5">
    <cfRule type="expression" dxfId="0" priority="2">
      <formula>H5="NIH"</formula>
    </cfRule>
  </conditionalFormatting>
  <hyperlinks>
    <hyperlink ref="A40" r:id="rId1" xr:uid="{00000000-0004-0000-0F00-000000000000}"/>
    <hyperlink ref="B20" r:id="rId2" xr:uid="{00000000-0004-0000-0F00-000001000000}"/>
  </hyperlinks>
  <pageMargins left="0.25" right="0.25" top="1" bottom="1" header="0.5" footer="0.5"/>
  <pageSetup scale="73" orientation="portrait"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7"/>
  <sheetViews>
    <sheetView workbookViewId="0">
      <selection activeCell="B1" sqref="B1"/>
    </sheetView>
  </sheetViews>
  <sheetFormatPr defaultColWidth="9.109375" defaultRowHeight="13.8"/>
  <cols>
    <col min="1" max="1" width="76.109375" style="506" bestFit="1" customWidth="1"/>
    <col min="2" max="2" width="15" style="506" customWidth="1"/>
    <col min="3" max="3" width="22" style="506" customWidth="1"/>
    <col min="4" max="4" width="11.33203125" style="506" customWidth="1"/>
    <col min="5" max="5" width="12.5546875" style="506" customWidth="1"/>
    <col min="6" max="6" width="11.88671875" style="506" bestFit="1" customWidth="1"/>
    <col min="7" max="7" width="9.88671875" style="506" bestFit="1" customWidth="1"/>
    <col min="8" max="16384" width="9.109375" style="506"/>
  </cols>
  <sheetData>
    <row r="1" spans="1:5">
      <c r="A1" s="509" t="s">
        <v>816</v>
      </c>
      <c r="B1" s="533" t="s">
        <v>614</v>
      </c>
    </row>
    <row r="2" spans="1:5">
      <c r="A2" s="506" t="s">
        <v>815</v>
      </c>
      <c r="B2" s="519">
        <v>355</v>
      </c>
      <c r="C2" s="506" t="s">
        <v>814</v>
      </c>
    </row>
    <row r="4" spans="1:5" ht="14.25" customHeight="1">
      <c r="A4" s="532" t="s">
        <v>21</v>
      </c>
      <c r="B4" s="533" t="s">
        <v>614</v>
      </c>
      <c r="C4" s="532"/>
      <c r="E4" s="48"/>
    </row>
    <row r="5" spans="1:5" ht="14.25" customHeight="1">
      <c r="A5" s="504" t="s">
        <v>22</v>
      </c>
      <c r="B5" s="504" t="s">
        <v>813</v>
      </c>
      <c r="C5" s="502" t="s">
        <v>759</v>
      </c>
    </row>
    <row r="6" spans="1:5" ht="14.25" customHeight="1">
      <c r="A6" s="501" t="s">
        <v>23</v>
      </c>
      <c r="B6" s="516">
        <v>77</v>
      </c>
      <c r="C6" s="518">
        <v>125</v>
      </c>
      <c r="D6" s="531"/>
      <c r="E6" s="531"/>
    </row>
    <row r="7" spans="1:5" ht="14.25" customHeight="1">
      <c r="A7" s="501" t="s">
        <v>106</v>
      </c>
      <c r="B7" s="516">
        <v>60</v>
      </c>
      <c r="C7" s="518">
        <v>125</v>
      </c>
      <c r="D7" s="531"/>
      <c r="E7" s="531"/>
    </row>
    <row r="8" spans="1:5" ht="14.25" customHeight="1">
      <c r="A8" s="501" t="s">
        <v>24</v>
      </c>
      <c r="B8" s="516">
        <v>15</v>
      </c>
      <c r="C8" s="518">
        <v>125</v>
      </c>
      <c r="D8" s="531"/>
      <c r="E8" s="531"/>
    </row>
    <row r="9" spans="1:5" ht="14.25" customHeight="1">
      <c r="A9" s="501" t="s">
        <v>25</v>
      </c>
      <c r="B9" s="516">
        <v>15</v>
      </c>
      <c r="C9" s="518">
        <v>125</v>
      </c>
      <c r="D9" s="531"/>
      <c r="E9" s="531"/>
    </row>
    <row r="10" spans="1:5" ht="14.25" customHeight="1">
      <c r="A10" s="501" t="s">
        <v>26</v>
      </c>
      <c r="B10" s="516">
        <v>15</v>
      </c>
      <c r="C10" s="518">
        <v>125</v>
      </c>
      <c r="D10" s="531"/>
      <c r="E10" s="531"/>
    </row>
    <row r="11" spans="1:5" ht="14.25" customHeight="1">
      <c r="A11" s="501" t="s">
        <v>27</v>
      </c>
      <c r="B11" s="516">
        <v>16</v>
      </c>
      <c r="C11" s="518">
        <v>125</v>
      </c>
      <c r="D11" s="531"/>
      <c r="E11" s="531"/>
    </row>
    <row r="12" spans="1:5" ht="14.25" customHeight="1">
      <c r="A12" s="501" t="s">
        <v>107</v>
      </c>
      <c r="B12" s="516">
        <v>20</v>
      </c>
      <c r="C12" s="518">
        <v>125</v>
      </c>
      <c r="D12" s="531"/>
      <c r="E12" s="531"/>
    </row>
    <row r="13" spans="1:5" ht="14.25" customHeight="1">
      <c r="A13" s="501" t="s">
        <v>108</v>
      </c>
      <c r="B13" s="516">
        <v>20</v>
      </c>
      <c r="C13" s="518">
        <v>125</v>
      </c>
      <c r="D13" s="531"/>
      <c r="E13" s="531"/>
    </row>
    <row r="14" spans="1:5" ht="14.25" customHeight="1">
      <c r="A14" s="501" t="s">
        <v>812</v>
      </c>
      <c r="B14" s="516">
        <v>25</v>
      </c>
      <c r="C14" s="518">
        <v>125</v>
      </c>
      <c r="D14" s="531"/>
      <c r="E14" s="531"/>
    </row>
    <row r="15" spans="1:5" ht="14.25" customHeight="1">
      <c r="A15" s="501" t="s">
        <v>109</v>
      </c>
      <c r="B15" s="516">
        <v>18</v>
      </c>
      <c r="C15" s="518">
        <v>125</v>
      </c>
      <c r="D15" s="531"/>
      <c r="E15" s="531"/>
    </row>
    <row r="16" spans="1:5" ht="14.25" customHeight="1">
      <c r="A16" s="501" t="s">
        <v>110</v>
      </c>
      <c r="B16" s="516">
        <v>18</v>
      </c>
      <c r="C16" s="518">
        <v>125</v>
      </c>
      <c r="D16" s="531"/>
      <c r="E16" s="531"/>
    </row>
    <row r="17" spans="1:9" ht="14.25" customHeight="1">
      <c r="A17" s="501" t="s">
        <v>28</v>
      </c>
      <c r="B17" s="516"/>
      <c r="C17" s="518">
        <v>125</v>
      </c>
      <c r="E17" s="531"/>
    </row>
    <row r="18" spans="1:9" ht="14.25" customHeight="1">
      <c r="A18" s="504" t="s">
        <v>811</v>
      </c>
      <c r="B18" s="504" t="s">
        <v>31</v>
      </c>
      <c r="C18" s="502" t="s">
        <v>606</v>
      </c>
      <c r="E18" s="48"/>
    </row>
    <row r="19" spans="1:9" ht="14.25" customHeight="1">
      <c r="A19" s="501" t="s">
        <v>810</v>
      </c>
      <c r="B19" s="516">
        <v>2</v>
      </c>
      <c r="C19" s="389" t="s">
        <v>801</v>
      </c>
      <c r="E19" s="48"/>
    </row>
    <row r="20" spans="1:9" ht="14.25" customHeight="1">
      <c r="A20" s="501" t="s">
        <v>809</v>
      </c>
      <c r="B20" s="516">
        <v>250</v>
      </c>
      <c r="C20" s="389" t="s">
        <v>801</v>
      </c>
      <c r="E20" s="48"/>
    </row>
    <row r="21" spans="1:9" ht="14.25" customHeight="1">
      <c r="A21" s="501" t="s">
        <v>808</v>
      </c>
      <c r="B21" s="516">
        <v>80</v>
      </c>
      <c r="C21" s="389" t="s">
        <v>801</v>
      </c>
      <c r="E21" s="48"/>
    </row>
    <row r="22" spans="1:9" ht="14.25" customHeight="1">
      <c r="A22" s="501" t="s">
        <v>807</v>
      </c>
      <c r="B22" s="516">
        <v>1</v>
      </c>
      <c r="C22" s="389" t="s">
        <v>801</v>
      </c>
      <c r="E22" s="48"/>
    </row>
    <row r="23" spans="1:9" ht="14.25" customHeight="1">
      <c r="A23" s="501" t="s">
        <v>806</v>
      </c>
      <c r="B23" s="516">
        <v>2</v>
      </c>
      <c r="C23" s="389" t="s">
        <v>801</v>
      </c>
      <c r="E23" s="48"/>
    </row>
    <row r="24" spans="1:9" ht="14.25" customHeight="1">
      <c r="A24" s="501" t="s">
        <v>805</v>
      </c>
      <c r="B24" s="516">
        <v>1</v>
      </c>
      <c r="C24" s="389" t="s">
        <v>801</v>
      </c>
      <c r="E24" s="48"/>
    </row>
    <row r="25" spans="1:9" ht="14.25" customHeight="1">
      <c r="A25" s="501" t="s">
        <v>804</v>
      </c>
      <c r="B25" s="516">
        <v>500</v>
      </c>
      <c r="C25" s="389" t="s">
        <v>801</v>
      </c>
      <c r="E25" s="48"/>
    </row>
    <row r="26" spans="1:9" ht="14.25" customHeight="1">
      <c r="A26" s="501" t="s">
        <v>803</v>
      </c>
      <c r="B26" s="501" t="s">
        <v>802</v>
      </c>
      <c r="C26" s="389" t="s">
        <v>801</v>
      </c>
      <c r="E26" s="48"/>
    </row>
    <row r="27" spans="1:9" ht="14.25" customHeight="1" thickBot="1">
      <c r="A27" s="70"/>
      <c r="B27" s="70"/>
      <c r="C27" s="71"/>
      <c r="D27" s="512"/>
      <c r="E27" s="73"/>
    </row>
    <row r="28" spans="1:9" ht="14.25" customHeight="1">
      <c r="A28" s="45" t="s">
        <v>29</v>
      </c>
      <c r="B28" s="48" t="s">
        <v>614</v>
      </c>
      <c r="C28" s="46"/>
      <c r="D28" s="48"/>
      <c r="F28" s="48"/>
      <c r="G28" s="48"/>
    </row>
    <row r="29" spans="1:9" ht="14.25" customHeight="1">
      <c r="A29" s="504" t="s">
        <v>800</v>
      </c>
      <c r="B29" s="69" t="s">
        <v>762</v>
      </c>
      <c r="C29" s="69" t="s">
        <v>761</v>
      </c>
      <c r="D29" s="69" t="s">
        <v>760</v>
      </c>
      <c r="E29" s="69" t="s">
        <v>83</v>
      </c>
      <c r="F29" s="69" t="s">
        <v>759</v>
      </c>
      <c r="I29" s="502"/>
    </row>
    <row r="30" spans="1:9" ht="14.25" customHeight="1">
      <c r="A30" s="222" t="s">
        <v>799</v>
      </c>
      <c r="B30" s="527">
        <v>350</v>
      </c>
      <c r="C30" s="526"/>
      <c r="D30" s="528"/>
      <c r="E30" s="526">
        <v>270</v>
      </c>
      <c r="F30" s="526">
        <v>80</v>
      </c>
      <c r="G30" s="507"/>
      <c r="I30" s="388"/>
    </row>
    <row r="31" spans="1:9" ht="14.25" customHeight="1">
      <c r="A31" s="222" t="s">
        <v>798</v>
      </c>
      <c r="B31" s="527">
        <v>55</v>
      </c>
      <c r="C31" s="526">
        <v>44</v>
      </c>
      <c r="D31" s="528">
        <v>28</v>
      </c>
      <c r="E31" s="526">
        <v>270</v>
      </c>
      <c r="F31" s="526">
        <v>80</v>
      </c>
      <c r="G31" s="507"/>
      <c r="I31" s="388"/>
    </row>
    <row r="32" spans="1:9" ht="14.25" customHeight="1">
      <c r="A32" s="222" t="s">
        <v>797</v>
      </c>
      <c r="B32" s="527">
        <v>61</v>
      </c>
      <c r="C32" s="526">
        <v>49</v>
      </c>
      <c r="D32" s="528">
        <v>31</v>
      </c>
      <c r="E32" s="526">
        <v>270</v>
      </c>
      <c r="F32" s="526">
        <v>80</v>
      </c>
      <c r="G32" s="507"/>
      <c r="I32" s="388"/>
    </row>
    <row r="33" spans="1:9" ht="14.25" customHeight="1">
      <c r="A33" s="530" t="s">
        <v>796</v>
      </c>
      <c r="B33" s="69" t="s">
        <v>762</v>
      </c>
      <c r="C33" s="69" t="s">
        <v>761</v>
      </c>
      <c r="D33" s="69" t="s">
        <v>760</v>
      </c>
      <c r="E33" s="69" t="s">
        <v>83</v>
      </c>
      <c r="F33" s="69" t="s">
        <v>759</v>
      </c>
      <c r="G33" s="507"/>
      <c r="I33" s="388"/>
    </row>
    <row r="34" spans="1:9" ht="14.25" customHeight="1">
      <c r="A34" s="222" t="s">
        <v>795</v>
      </c>
      <c r="B34" s="526">
        <v>260</v>
      </c>
      <c r="C34" s="526">
        <v>260</v>
      </c>
      <c r="D34" s="526">
        <v>260</v>
      </c>
      <c r="E34" s="526">
        <v>240</v>
      </c>
      <c r="F34" s="526">
        <v>80</v>
      </c>
      <c r="G34" s="507"/>
      <c r="I34" s="388"/>
    </row>
    <row r="35" spans="1:9" ht="14.25" customHeight="1">
      <c r="A35" s="222" t="s">
        <v>794</v>
      </c>
      <c r="B35" s="526">
        <v>250</v>
      </c>
      <c r="C35" s="526">
        <v>250</v>
      </c>
      <c r="D35" s="526">
        <v>250</v>
      </c>
      <c r="E35" s="526">
        <v>270</v>
      </c>
      <c r="F35" s="526">
        <v>80</v>
      </c>
      <c r="G35" s="507"/>
      <c r="I35" s="388"/>
    </row>
    <row r="36" spans="1:9" ht="14.25" customHeight="1">
      <c r="A36" s="222" t="s">
        <v>793</v>
      </c>
      <c r="B36" s="526">
        <v>250</v>
      </c>
      <c r="C36" s="526">
        <v>250</v>
      </c>
      <c r="D36" s="526">
        <v>250</v>
      </c>
      <c r="E36" s="526">
        <v>270</v>
      </c>
      <c r="F36" s="526">
        <v>80</v>
      </c>
      <c r="G36" s="507"/>
      <c r="I36" s="388"/>
    </row>
    <row r="37" spans="1:9" ht="14.25" customHeight="1">
      <c r="A37" s="222" t="s">
        <v>792</v>
      </c>
      <c r="B37" s="526">
        <v>80</v>
      </c>
      <c r="C37" s="526">
        <v>80</v>
      </c>
      <c r="D37" s="526">
        <v>80</v>
      </c>
      <c r="E37" s="526">
        <v>160</v>
      </c>
      <c r="F37" s="526">
        <v>80</v>
      </c>
      <c r="G37" s="507"/>
      <c r="I37" s="388"/>
    </row>
    <row r="38" spans="1:9" ht="14.25" customHeight="1">
      <c r="A38" s="222" t="s">
        <v>791</v>
      </c>
      <c r="B38" s="526">
        <v>40</v>
      </c>
      <c r="C38" s="526">
        <v>40</v>
      </c>
      <c r="D38" s="526">
        <v>40</v>
      </c>
      <c r="E38" s="526">
        <v>80</v>
      </c>
      <c r="F38" s="526">
        <v>80</v>
      </c>
      <c r="G38" s="507"/>
      <c r="I38" s="388"/>
    </row>
    <row r="39" spans="1:9" ht="14.25" customHeight="1">
      <c r="A39" s="222" t="s">
        <v>790</v>
      </c>
      <c r="B39" s="526">
        <v>35</v>
      </c>
      <c r="C39" s="526">
        <v>28</v>
      </c>
      <c r="D39" s="526">
        <v>18</v>
      </c>
      <c r="E39" s="526">
        <v>80</v>
      </c>
      <c r="F39" s="526">
        <v>80</v>
      </c>
      <c r="G39" s="507"/>
      <c r="I39" s="388"/>
    </row>
    <row r="40" spans="1:9" ht="14.25" customHeight="1">
      <c r="A40" s="222" t="s">
        <v>789</v>
      </c>
      <c r="B40" s="526">
        <v>30</v>
      </c>
      <c r="C40" s="526">
        <v>24</v>
      </c>
      <c r="D40" s="526">
        <v>15</v>
      </c>
      <c r="E40" s="526">
        <v>80</v>
      </c>
      <c r="F40" s="526">
        <v>80</v>
      </c>
      <c r="G40" s="507"/>
      <c r="I40" s="388"/>
    </row>
    <row r="41" spans="1:9" ht="14.25" customHeight="1">
      <c r="A41" s="222" t="s">
        <v>123</v>
      </c>
      <c r="B41" s="526">
        <v>30</v>
      </c>
      <c r="C41" s="526">
        <v>24</v>
      </c>
      <c r="D41" s="526">
        <v>15</v>
      </c>
      <c r="E41" s="526">
        <v>80</v>
      </c>
      <c r="F41" s="526">
        <v>80</v>
      </c>
      <c r="G41" s="507"/>
      <c r="I41" s="388"/>
    </row>
    <row r="42" spans="1:9" ht="14.25" customHeight="1">
      <c r="A42" s="222" t="s">
        <v>788</v>
      </c>
      <c r="B42" s="526">
        <v>25</v>
      </c>
      <c r="C42" s="526">
        <v>25</v>
      </c>
      <c r="D42" s="526">
        <v>25</v>
      </c>
      <c r="E42" s="526">
        <v>80</v>
      </c>
      <c r="F42" s="526">
        <v>80</v>
      </c>
      <c r="G42" s="507"/>
      <c r="I42" s="388"/>
    </row>
    <row r="43" spans="1:9" ht="14.25" customHeight="1">
      <c r="A43" s="222" t="s">
        <v>787</v>
      </c>
      <c r="B43" s="526">
        <v>30</v>
      </c>
      <c r="C43" s="526">
        <v>24</v>
      </c>
      <c r="D43" s="526">
        <v>15</v>
      </c>
      <c r="E43" s="526">
        <v>260</v>
      </c>
      <c r="F43" s="526">
        <v>80</v>
      </c>
      <c r="G43" s="507"/>
      <c r="I43" s="388"/>
    </row>
    <row r="44" spans="1:9" ht="14.25" customHeight="1">
      <c r="A44" s="222" t="s">
        <v>786</v>
      </c>
      <c r="B44" s="526">
        <v>30</v>
      </c>
      <c r="C44" s="526">
        <v>24</v>
      </c>
      <c r="D44" s="526">
        <v>15</v>
      </c>
      <c r="E44" s="526">
        <v>260</v>
      </c>
      <c r="F44" s="526">
        <v>80</v>
      </c>
      <c r="G44" s="507"/>
      <c r="I44" s="388"/>
    </row>
    <row r="45" spans="1:9" ht="14.25" customHeight="1">
      <c r="A45" s="504" t="s">
        <v>463</v>
      </c>
      <c r="B45" s="69" t="s">
        <v>762</v>
      </c>
      <c r="C45" s="69" t="s">
        <v>761</v>
      </c>
      <c r="D45" s="69" t="s">
        <v>760</v>
      </c>
      <c r="E45" s="69" t="s">
        <v>83</v>
      </c>
      <c r="F45" s="69" t="s">
        <v>759</v>
      </c>
      <c r="G45" s="507"/>
      <c r="I45" s="502"/>
    </row>
    <row r="46" spans="1:9" ht="14.25" customHeight="1">
      <c r="A46" s="222" t="s">
        <v>785</v>
      </c>
      <c r="B46" s="527">
        <v>72</v>
      </c>
      <c r="C46" s="526">
        <v>58</v>
      </c>
      <c r="D46" s="526">
        <v>36</v>
      </c>
      <c r="E46" s="526">
        <v>500</v>
      </c>
      <c r="F46" s="526">
        <v>100</v>
      </c>
      <c r="G46" s="48"/>
      <c r="I46" s="46"/>
    </row>
    <row r="47" spans="1:9" ht="14.25" customHeight="1">
      <c r="A47" s="222" t="s">
        <v>784</v>
      </c>
      <c r="B47" s="527">
        <v>61</v>
      </c>
      <c r="C47" s="526">
        <v>49</v>
      </c>
      <c r="D47" s="528">
        <v>31</v>
      </c>
      <c r="E47" s="526">
        <v>400</v>
      </c>
      <c r="F47" s="526">
        <v>100</v>
      </c>
      <c r="G47" s="507"/>
      <c r="I47" s="46"/>
    </row>
    <row r="48" spans="1:9" ht="14.25" customHeight="1">
      <c r="A48" s="222" t="s">
        <v>113</v>
      </c>
      <c r="B48" s="527">
        <v>61</v>
      </c>
      <c r="C48" s="526">
        <v>49</v>
      </c>
      <c r="D48" s="528">
        <v>31</v>
      </c>
      <c r="E48" s="526">
        <v>400</v>
      </c>
      <c r="F48" s="526">
        <v>100</v>
      </c>
      <c r="G48" s="507"/>
      <c r="I48" s="46"/>
    </row>
    <row r="49" spans="1:9" ht="14.25" customHeight="1">
      <c r="A49" s="222" t="s">
        <v>114</v>
      </c>
      <c r="B49" s="527">
        <v>46</v>
      </c>
      <c r="C49" s="526">
        <v>37</v>
      </c>
      <c r="D49" s="528">
        <v>23</v>
      </c>
      <c r="E49" s="526">
        <v>300</v>
      </c>
      <c r="F49" s="526">
        <v>100</v>
      </c>
      <c r="G49" s="507"/>
      <c r="I49" s="46"/>
    </row>
    <row r="50" spans="1:9" ht="14.25" customHeight="1">
      <c r="A50" s="222" t="s">
        <v>783</v>
      </c>
      <c r="B50" s="527">
        <v>41</v>
      </c>
      <c r="C50" s="526">
        <v>33</v>
      </c>
      <c r="D50" s="528">
        <v>21</v>
      </c>
      <c r="E50" s="526">
        <v>200</v>
      </c>
      <c r="F50" s="526">
        <v>100</v>
      </c>
      <c r="G50" s="507"/>
      <c r="I50" s="46"/>
    </row>
    <row r="51" spans="1:9" ht="14.25" customHeight="1">
      <c r="A51" s="504" t="s">
        <v>464</v>
      </c>
      <c r="B51" s="69" t="s">
        <v>762</v>
      </c>
      <c r="C51" s="69" t="s">
        <v>761</v>
      </c>
      <c r="D51" s="69" t="s">
        <v>760</v>
      </c>
      <c r="E51" s="69" t="s">
        <v>83</v>
      </c>
      <c r="F51" s="69" t="s">
        <v>759</v>
      </c>
      <c r="G51" s="507"/>
      <c r="I51" s="502"/>
    </row>
    <row r="52" spans="1:9" ht="14.25" customHeight="1">
      <c r="A52" s="501" t="s">
        <v>782</v>
      </c>
      <c r="B52" s="529">
        <v>55</v>
      </c>
      <c r="C52" s="526">
        <v>44</v>
      </c>
      <c r="D52" s="528">
        <v>28</v>
      </c>
      <c r="E52" s="526">
        <v>150</v>
      </c>
      <c r="F52" s="526">
        <v>50</v>
      </c>
      <c r="G52" s="507"/>
      <c r="I52" s="46"/>
    </row>
    <row r="53" spans="1:9" ht="14.25" customHeight="1">
      <c r="A53" s="501" t="s">
        <v>781</v>
      </c>
      <c r="B53" s="529">
        <v>46</v>
      </c>
      <c r="C53" s="526">
        <v>37</v>
      </c>
      <c r="D53" s="528">
        <v>23</v>
      </c>
      <c r="E53" s="526">
        <v>150</v>
      </c>
      <c r="F53" s="526">
        <v>50</v>
      </c>
      <c r="G53" s="507"/>
      <c r="I53" s="46"/>
    </row>
    <row r="54" spans="1:9" ht="14.25" customHeight="1">
      <c r="A54" s="501" t="s">
        <v>111</v>
      </c>
      <c r="B54" s="529">
        <v>46</v>
      </c>
      <c r="C54" s="526">
        <v>37</v>
      </c>
      <c r="D54" s="528">
        <v>23</v>
      </c>
      <c r="E54" s="526">
        <v>150</v>
      </c>
      <c r="F54" s="526">
        <v>50</v>
      </c>
      <c r="G54" s="507"/>
      <c r="I54" s="46"/>
    </row>
    <row r="55" spans="1:9" ht="14.25" customHeight="1">
      <c r="A55" s="501" t="s">
        <v>112</v>
      </c>
      <c r="B55" s="529">
        <v>46</v>
      </c>
      <c r="C55" s="526">
        <v>32</v>
      </c>
      <c r="D55" s="528">
        <v>23</v>
      </c>
      <c r="E55" s="526">
        <v>150</v>
      </c>
      <c r="F55" s="526">
        <v>50</v>
      </c>
      <c r="G55" s="507"/>
      <c r="I55" s="46"/>
    </row>
    <row r="56" spans="1:9" ht="14.25" customHeight="1">
      <c r="A56" s="501" t="s">
        <v>780</v>
      </c>
      <c r="B56" s="529">
        <v>43</v>
      </c>
      <c r="C56" s="526">
        <v>35</v>
      </c>
      <c r="D56" s="528">
        <v>22</v>
      </c>
      <c r="E56" s="526">
        <v>100</v>
      </c>
      <c r="F56" s="526">
        <v>50</v>
      </c>
      <c r="G56" s="507"/>
      <c r="I56" s="46"/>
    </row>
    <row r="57" spans="1:9" ht="14.25" customHeight="1">
      <c r="A57" s="504" t="s">
        <v>779</v>
      </c>
      <c r="B57" s="69" t="s">
        <v>762</v>
      </c>
      <c r="C57" s="69" t="s">
        <v>761</v>
      </c>
      <c r="D57" s="69" t="s">
        <v>760</v>
      </c>
      <c r="E57" s="69" t="s">
        <v>83</v>
      </c>
      <c r="F57" s="69" t="s">
        <v>759</v>
      </c>
      <c r="G57" s="507"/>
      <c r="I57" s="502"/>
    </row>
    <row r="58" spans="1:9" ht="14.25" customHeight="1">
      <c r="A58" s="222" t="s">
        <v>465</v>
      </c>
      <c r="B58" s="527">
        <v>72</v>
      </c>
      <c r="C58" s="526">
        <v>58</v>
      </c>
      <c r="D58" s="528">
        <v>36</v>
      </c>
      <c r="E58" s="526">
        <v>300</v>
      </c>
      <c r="F58" s="526">
        <v>100</v>
      </c>
      <c r="G58" s="507"/>
      <c r="I58" s="46"/>
    </row>
    <row r="59" spans="1:9" ht="14.25" customHeight="1">
      <c r="A59" s="222" t="s">
        <v>468</v>
      </c>
      <c r="B59" s="527">
        <v>18</v>
      </c>
      <c r="C59" s="526">
        <v>14</v>
      </c>
      <c r="D59" s="528">
        <v>9</v>
      </c>
      <c r="E59" s="526">
        <v>50</v>
      </c>
      <c r="F59" s="526">
        <v>50</v>
      </c>
      <c r="G59" s="507"/>
      <c r="I59" s="46"/>
    </row>
    <row r="60" spans="1:9" ht="14.25" customHeight="1">
      <c r="A60" s="222" t="s">
        <v>467</v>
      </c>
      <c r="B60" s="527">
        <v>18</v>
      </c>
      <c r="C60" s="526">
        <v>14</v>
      </c>
      <c r="D60" s="528">
        <v>9</v>
      </c>
      <c r="E60" s="526">
        <v>50</v>
      </c>
      <c r="F60" s="526">
        <v>50</v>
      </c>
      <c r="G60" s="507"/>
      <c r="I60" s="46"/>
    </row>
    <row r="61" spans="1:9" ht="14.25" customHeight="1">
      <c r="A61" s="222" t="s">
        <v>778</v>
      </c>
      <c r="B61" s="527">
        <v>10</v>
      </c>
      <c r="C61" s="526">
        <v>8</v>
      </c>
      <c r="D61" s="528">
        <v>5</v>
      </c>
      <c r="E61" s="526">
        <v>50</v>
      </c>
      <c r="F61" s="526">
        <v>50</v>
      </c>
      <c r="G61" s="507"/>
      <c r="I61" s="46"/>
    </row>
    <row r="62" spans="1:9" ht="14.25" customHeight="1">
      <c r="A62" s="222" t="s">
        <v>472</v>
      </c>
      <c r="B62" s="527">
        <v>10</v>
      </c>
      <c r="C62" s="526">
        <v>8</v>
      </c>
      <c r="D62" s="528">
        <v>5</v>
      </c>
      <c r="E62" s="526">
        <v>0</v>
      </c>
      <c r="F62" s="526">
        <v>50</v>
      </c>
      <c r="G62" s="507"/>
      <c r="I62" s="46"/>
    </row>
    <row r="63" spans="1:9" ht="14.25" customHeight="1">
      <c r="A63" s="222" t="s">
        <v>777</v>
      </c>
      <c r="B63" s="527">
        <v>10</v>
      </c>
      <c r="C63" s="526">
        <v>8</v>
      </c>
      <c r="D63" s="528">
        <v>5</v>
      </c>
      <c r="E63" s="526">
        <v>0</v>
      </c>
      <c r="F63" s="526">
        <v>50</v>
      </c>
      <c r="G63" s="507"/>
      <c r="I63" s="46"/>
    </row>
    <row r="64" spans="1:9" ht="14.25" customHeight="1">
      <c r="A64" s="222" t="s">
        <v>776</v>
      </c>
      <c r="B64" s="527">
        <v>2</v>
      </c>
      <c r="C64" s="526">
        <v>2</v>
      </c>
      <c r="D64" s="528">
        <v>1</v>
      </c>
      <c r="E64" s="526">
        <v>0</v>
      </c>
      <c r="F64" s="526">
        <v>50</v>
      </c>
      <c r="G64" s="507"/>
      <c r="I64" s="46"/>
    </row>
    <row r="65" spans="1:9" ht="14.25" customHeight="1">
      <c r="A65" s="222" t="s">
        <v>466</v>
      </c>
      <c r="B65" s="527">
        <v>22</v>
      </c>
      <c r="C65" s="526">
        <v>18</v>
      </c>
      <c r="D65" s="528">
        <v>11</v>
      </c>
      <c r="E65" s="526">
        <v>50</v>
      </c>
      <c r="F65" s="526">
        <v>50</v>
      </c>
      <c r="G65" s="507"/>
      <c r="I65" s="46"/>
    </row>
    <row r="66" spans="1:9" ht="14.25" customHeight="1">
      <c r="A66" s="222" t="s">
        <v>469</v>
      </c>
      <c r="B66" s="527">
        <v>18</v>
      </c>
      <c r="C66" s="526">
        <v>14</v>
      </c>
      <c r="D66" s="528">
        <v>9</v>
      </c>
      <c r="E66" s="526">
        <v>0</v>
      </c>
      <c r="F66" s="526">
        <v>50</v>
      </c>
      <c r="G66" s="507"/>
      <c r="I66" s="46"/>
    </row>
    <row r="67" spans="1:9" ht="14.25" customHeight="1">
      <c r="A67" s="222" t="s">
        <v>470</v>
      </c>
      <c r="B67" s="527">
        <v>13</v>
      </c>
      <c r="C67" s="526">
        <v>10</v>
      </c>
      <c r="D67" s="528">
        <v>7</v>
      </c>
      <c r="E67" s="526">
        <v>0</v>
      </c>
      <c r="F67" s="526">
        <v>50</v>
      </c>
      <c r="G67" s="507"/>
      <c r="I67" s="46"/>
    </row>
    <row r="68" spans="1:9" ht="14.25" customHeight="1">
      <c r="A68" s="222" t="s">
        <v>471</v>
      </c>
      <c r="B68" s="527">
        <v>10</v>
      </c>
      <c r="C68" s="526">
        <v>8</v>
      </c>
      <c r="D68" s="528">
        <v>5</v>
      </c>
      <c r="E68" s="526">
        <v>0</v>
      </c>
      <c r="F68" s="526">
        <v>50</v>
      </c>
      <c r="G68" s="507"/>
      <c r="I68" s="46"/>
    </row>
    <row r="69" spans="1:9" ht="14.25" customHeight="1">
      <c r="A69" s="222" t="s">
        <v>775</v>
      </c>
      <c r="B69" s="527">
        <v>0</v>
      </c>
      <c r="C69" s="526">
        <v>0</v>
      </c>
      <c r="D69" s="528">
        <v>0</v>
      </c>
      <c r="E69" s="526">
        <v>0</v>
      </c>
      <c r="F69" s="526">
        <v>50</v>
      </c>
      <c r="G69" s="507"/>
      <c r="I69" s="46"/>
    </row>
    <row r="70" spans="1:9" ht="14.25" customHeight="1">
      <c r="A70" s="222" t="s">
        <v>473</v>
      </c>
      <c r="B70" s="527">
        <v>0</v>
      </c>
      <c r="C70" s="526">
        <v>0</v>
      </c>
      <c r="D70" s="528">
        <v>0</v>
      </c>
      <c r="E70" s="526">
        <v>0</v>
      </c>
      <c r="F70" s="526">
        <v>50</v>
      </c>
      <c r="G70" s="507"/>
      <c r="I70" s="46"/>
    </row>
    <row r="71" spans="1:9" ht="14.25" customHeight="1">
      <c r="A71" s="504" t="s">
        <v>474</v>
      </c>
      <c r="B71" s="504"/>
      <c r="C71" s="507"/>
      <c r="D71" s="518"/>
      <c r="E71" s="507"/>
      <c r="F71" s="507"/>
      <c r="G71" s="507"/>
      <c r="I71" s="502"/>
    </row>
    <row r="72" spans="1:9" ht="14.25" customHeight="1">
      <c r="A72" s="501" t="s">
        <v>774</v>
      </c>
      <c r="B72" s="516">
        <v>1.65</v>
      </c>
      <c r="C72" s="507" t="s">
        <v>749</v>
      </c>
      <c r="D72" s="507"/>
      <c r="E72" s="507"/>
      <c r="F72" s="507"/>
      <c r="G72" s="507"/>
      <c r="I72" s="46"/>
    </row>
    <row r="73" spans="1:9" ht="14.25" customHeight="1">
      <c r="A73" s="504" t="s">
        <v>475</v>
      </c>
      <c r="B73" s="69" t="s">
        <v>762</v>
      </c>
      <c r="C73" s="69" t="s">
        <v>761</v>
      </c>
      <c r="D73" s="69" t="s">
        <v>760</v>
      </c>
      <c r="E73" s="69" t="s">
        <v>83</v>
      </c>
      <c r="F73" s="69" t="s">
        <v>759</v>
      </c>
      <c r="G73" s="507"/>
      <c r="I73" s="502"/>
    </row>
    <row r="74" spans="1:9" ht="14.25" customHeight="1">
      <c r="A74" s="222" t="s">
        <v>115</v>
      </c>
      <c r="B74" s="527">
        <v>63</v>
      </c>
      <c r="C74" s="526">
        <v>51</v>
      </c>
      <c r="D74" s="526">
        <v>51</v>
      </c>
      <c r="E74" s="526">
        <v>165</v>
      </c>
      <c r="F74" s="526">
        <v>90</v>
      </c>
      <c r="G74" s="507"/>
      <c r="I74" s="46"/>
    </row>
    <row r="75" spans="1:9" ht="14.25" customHeight="1">
      <c r="A75" s="222" t="s">
        <v>116</v>
      </c>
      <c r="B75" s="527">
        <v>45</v>
      </c>
      <c r="C75" s="526">
        <v>36</v>
      </c>
      <c r="D75" s="526">
        <v>36</v>
      </c>
      <c r="E75" s="526">
        <v>165</v>
      </c>
      <c r="F75" s="526">
        <v>90</v>
      </c>
      <c r="G75" s="507"/>
      <c r="I75" s="46"/>
    </row>
    <row r="76" spans="1:9" ht="14.25" customHeight="1">
      <c r="A76" s="222" t="s">
        <v>117</v>
      </c>
      <c r="B76" s="527">
        <v>35</v>
      </c>
      <c r="C76" s="526">
        <v>28</v>
      </c>
      <c r="D76" s="526">
        <v>28</v>
      </c>
      <c r="E76" s="526">
        <v>85</v>
      </c>
      <c r="F76" s="526">
        <v>90</v>
      </c>
      <c r="G76" s="507"/>
      <c r="I76" s="46"/>
    </row>
    <row r="77" spans="1:9" ht="14.25" customHeight="1">
      <c r="A77" s="222" t="s">
        <v>118</v>
      </c>
      <c r="B77" s="527">
        <v>35</v>
      </c>
      <c r="C77" s="526">
        <v>28</v>
      </c>
      <c r="D77" s="526">
        <v>28</v>
      </c>
      <c r="E77" s="526">
        <v>45</v>
      </c>
      <c r="F77" s="526">
        <v>90</v>
      </c>
      <c r="G77" s="507"/>
      <c r="I77" s="46"/>
    </row>
    <row r="78" spans="1:9" ht="14.25" customHeight="1">
      <c r="A78" s="222" t="s">
        <v>119</v>
      </c>
      <c r="B78" s="527">
        <v>35</v>
      </c>
      <c r="C78" s="526">
        <v>28</v>
      </c>
      <c r="D78" s="526">
        <v>28</v>
      </c>
      <c r="E78" s="526">
        <v>45</v>
      </c>
      <c r="F78" s="526">
        <v>90</v>
      </c>
      <c r="G78" s="507"/>
      <c r="I78" s="46"/>
    </row>
    <row r="79" spans="1:9" ht="14.25" customHeight="1">
      <c r="A79" s="222" t="s">
        <v>120</v>
      </c>
      <c r="B79" s="527">
        <v>35</v>
      </c>
      <c r="C79" s="526">
        <v>28</v>
      </c>
      <c r="D79" s="526">
        <v>28</v>
      </c>
      <c r="E79" s="526">
        <v>45</v>
      </c>
      <c r="F79" s="526">
        <v>90</v>
      </c>
      <c r="G79" s="507"/>
      <c r="I79" s="46"/>
    </row>
    <row r="80" spans="1:9" ht="14.25" customHeight="1">
      <c r="A80" s="222" t="s">
        <v>121</v>
      </c>
      <c r="B80" s="527">
        <v>35</v>
      </c>
      <c r="C80" s="526">
        <v>28</v>
      </c>
      <c r="D80" s="526">
        <v>28</v>
      </c>
      <c r="E80" s="526">
        <v>45</v>
      </c>
      <c r="F80" s="526">
        <v>90</v>
      </c>
      <c r="G80" s="507"/>
      <c r="I80" s="46"/>
    </row>
    <row r="81" spans="1:9" ht="14.25" customHeight="1">
      <c r="A81" s="504" t="s">
        <v>476</v>
      </c>
      <c r="B81" s="69" t="s">
        <v>762</v>
      </c>
      <c r="C81" s="69" t="s">
        <v>761</v>
      </c>
      <c r="D81" s="69" t="s">
        <v>760</v>
      </c>
      <c r="E81" s="69" t="s">
        <v>83</v>
      </c>
      <c r="F81" s="69" t="s">
        <v>759</v>
      </c>
      <c r="G81" s="507"/>
      <c r="I81" s="502"/>
    </row>
    <row r="82" spans="1:9" ht="14.25" customHeight="1">
      <c r="A82" s="222" t="s">
        <v>477</v>
      </c>
      <c r="B82" s="527">
        <v>40</v>
      </c>
      <c r="C82" s="526">
        <v>32</v>
      </c>
      <c r="D82" s="526">
        <v>20</v>
      </c>
      <c r="E82" s="526">
        <v>150</v>
      </c>
      <c r="F82" s="526">
        <v>100</v>
      </c>
      <c r="G82" s="507"/>
      <c r="I82" s="46"/>
    </row>
    <row r="83" spans="1:9" ht="14.25" customHeight="1">
      <c r="A83" s="222" t="s">
        <v>67</v>
      </c>
      <c r="B83" s="527">
        <v>40</v>
      </c>
      <c r="C83" s="526">
        <v>32</v>
      </c>
      <c r="D83" s="526">
        <v>20</v>
      </c>
      <c r="E83" s="526">
        <v>150</v>
      </c>
      <c r="F83" s="526">
        <v>100</v>
      </c>
      <c r="G83" s="507"/>
      <c r="I83" s="46"/>
    </row>
    <row r="84" spans="1:9" ht="14.25" customHeight="1">
      <c r="A84" s="222" t="s">
        <v>478</v>
      </c>
      <c r="B84" s="527">
        <v>40</v>
      </c>
      <c r="C84" s="526">
        <v>32</v>
      </c>
      <c r="D84" s="526">
        <v>20</v>
      </c>
      <c r="E84" s="526">
        <v>200</v>
      </c>
      <c r="F84" s="526">
        <v>100</v>
      </c>
      <c r="G84" s="507"/>
      <c r="I84" s="46"/>
    </row>
    <row r="85" spans="1:9" ht="14.25" customHeight="1">
      <c r="A85" s="222" t="s">
        <v>479</v>
      </c>
      <c r="B85" s="527">
        <v>40</v>
      </c>
      <c r="C85" s="526">
        <v>32</v>
      </c>
      <c r="D85" s="526">
        <v>20</v>
      </c>
      <c r="E85" s="526">
        <v>150</v>
      </c>
      <c r="F85" s="526">
        <v>100</v>
      </c>
      <c r="G85" s="507"/>
      <c r="I85" s="46"/>
    </row>
    <row r="86" spans="1:9" ht="14.25" customHeight="1">
      <c r="A86" s="222" t="s">
        <v>480</v>
      </c>
      <c r="B86" s="527">
        <v>40</v>
      </c>
      <c r="C86" s="526">
        <v>32</v>
      </c>
      <c r="D86" s="526">
        <v>20</v>
      </c>
      <c r="E86" s="526">
        <v>150</v>
      </c>
      <c r="F86" s="526">
        <v>100</v>
      </c>
      <c r="G86" s="507"/>
      <c r="I86" s="46"/>
    </row>
    <row r="87" spans="1:9" ht="14.25" customHeight="1">
      <c r="A87" s="222" t="s">
        <v>773</v>
      </c>
      <c r="B87" s="527">
        <v>40</v>
      </c>
      <c r="C87" s="526">
        <v>32</v>
      </c>
      <c r="D87" s="526">
        <v>20</v>
      </c>
      <c r="E87" s="526">
        <v>150</v>
      </c>
      <c r="F87" s="526">
        <v>100</v>
      </c>
      <c r="G87" s="507"/>
      <c r="I87" s="46"/>
    </row>
    <row r="88" spans="1:9" ht="14.25" customHeight="1">
      <c r="A88" s="222" t="s">
        <v>772</v>
      </c>
      <c r="B88" s="527">
        <v>20</v>
      </c>
      <c r="C88" s="526">
        <v>16</v>
      </c>
      <c r="D88" s="526">
        <v>10</v>
      </c>
      <c r="E88" s="526">
        <v>150</v>
      </c>
      <c r="F88" s="526">
        <v>100</v>
      </c>
      <c r="G88" s="507"/>
      <c r="I88" s="46"/>
    </row>
    <row r="89" spans="1:9" ht="14.25" customHeight="1" thickBot="1">
      <c r="A89" s="70"/>
      <c r="B89" s="70"/>
      <c r="C89" s="72"/>
      <c r="D89" s="512"/>
      <c r="E89" s="73"/>
    </row>
    <row r="90" spans="1:9" ht="14.25" customHeight="1">
      <c r="A90" s="503" t="s">
        <v>30</v>
      </c>
      <c r="B90" s="48" t="s">
        <v>614</v>
      </c>
      <c r="C90" s="503"/>
    </row>
    <row r="91" spans="1:9" ht="14.25" customHeight="1">
      <c r="A91" s="502" t="s">
        <v>771</v>
      </c>
      <c r="B91" s="69" t="s">
        <v>762</v>
      </c>
      <c r="C91" s="69" t="s">
        <v>761</v>
      </c>
      <c r="D91" s="69" t="s">
        <v>760</v>
      </c>
      <c r="E91" s="69" t="s">
        <v>83</v>
      </c>
      <c r="F91" s="69" t="s">
        <v>759</v>
      </c>
    </row>
    <row r="92" spans="1:9" ht="14.25" customHeight="1">
      <c r="A92" s="501" t="s">
        <v>770</v>
      </c>
      <c r="B92" s="516">
        <v>37</v>
      </c>
      <c r="C92" s="522">
        <v>27.75</v>
      </c>
      <c r="D92" s="524" t="s">
        <v>753</v>
      </c>
      <c r="E92" s="507">
        <v>258</v>
      </c>
      <c r="F92" s="519">
        <v>92</v>
      </c>
    </row>
    <row r="93" spans="1:9" ht="14.25" customHeight="1">
      <c r="A93" s="501" t="s">
        <v>122</v>
      </c>
      <c r="B93" s="516">
        <v>33</v>
      </c>
      <c r="C93" s="522">
        <v>24.75</v>
      </c>
      <c r="D93" s="524" t="s">
        <v>753</v>
      </c>
      <c r="E93" s="507">
        <v>250</v>
      </c>
      <c r="F93" s="519">
        <v>92</v>
      </c>
    </row>
    <row r="94" spans="1:9" ht="14.25" customHeight="1">
      <c r="A94" s="525" t="s">
        <v>769</v>
      </c>
      <c r="B94" s="516">
        <v>2</v>
      </c>
      <c r="C94" s="522">
        <v>2</v>
      </c>
      <c r="D94" s="524" t="s">
        <v>753</v>
      </c>
      <c r="E94" s="507">
        <v>0</v>
      </c>
      <c r="F94" s="519">
        <v>0</v>
      </c>
    </row>
    <row r="95" spans="1:9" ht="14.25" customHeight="1">
      <c r="A95" s="501" t="s">
        <v>768</v>
      </c>
      <c r="B95" s="516">
        <v>25</v>
      </c>
      <c r="C95" s="522">
        <v>18.75</v>
      </c>
      <c r="D95" s="524" t="s">
        <v>753</v>
      </c>
      <c r="E95" s="507">
        <v>234</v>
      </c>
      <c r="F95" s="519">
        <v>92</v>
      </c>
    </row>
    <row r="96" spans="1:9" ht="14.25" customHeight="1">
      <c r="A96" s="501" t="s">
        <v>767</v>
      </c>
      <c r="B96" s="516">
        <v>30</v>
      </c>
      <c r="C96" s="522">
        <v>22.5</v>
      </c>
      <c r="D96" s="524" t="s">
        <v>753</v>
      </c>
      <c r="E96" s="507">
        <v>244</v>
      </c>
      <c r="F96" s="519">
        <v>92</v>
      </c>
    </row>
    <row r="97" spans="1:6" ht="14.25" customHeight="1">
      <c r="A97" s="501" t="s">
        <v>766</v>
      </c>
      <c r="B97" s="516">
        <v>12</v>
      </c>
      <c r="C97" s="522">
        <v>9</v>
      </c>
      <c r="D97" s="524" t="s">
        <v>753</v>
      </c>
      <c r="E97" s="507">
        <v>104</v>
      </c>
      <c r="F97" s="519">
        <v>92</v>
      </c>
    </row>
    <row r="98" spans="1:6" ht="14.25" customHeight="1">
      <c r="A98" s="501" t="s">
        <v>765</v>
      </c>
      <c r="B98" s="516">
        <v>7.5</v>
      </c>
      <c r="C98" s="522" t="s">
        <v>753</v>
      </c>
      <c r="D98" s="524" t="s">
        <v>753</v>
      </c>
      <c r="E98" s="507" t="s">
        <v>755</v>
      </c>
      <c r="F98" s="519">
        <v>92</v>
      </c>
    </row>
    <row r="99" spans="1:6" ht="14.25" customHeight="1">
      <c r="A99" s="501" t="s">
        <v>764</v>
      </c>
      <c r="B99" s="516">
        <v>20</v>
      </c>
      <c r="C99" s="522">
        <v>10</v>
      </c>
      <c r="D99" s="524" t="s">
        <v>753</v>
      </c>
      <c r="E99" s="507" t="s">
        <v>755</v>
      </c>
      <c r="F99" s="519">
        <v>92</v>
      </c>
    </row>
    <row r="100" spans="1:6" ht="14.25" customHeight="1">
      <c r="A100" s="504" t="s">
        <v>763</v>
      </c>
      <c r="B100" s="69" t="s">
        <v>762</v>
      </c>
      <c r="C100" s="69" t="s">
        <v>761</v>
      </c>
      <c r="D100" s="69" t="s">
        <v>760</v>
      </c>
      <c r="E100" s="69" t="s">
        <v>83</v>
      </c>
      <c r="F100" s="69" t="s">
        <v>759</v>
      </c>
    </row>
    <row r="101" spans="1:6" ht="14.25" customHeight="1">
      <c r="A101" s="501" t="s">
        <v>758</v>
      </c>
      <c r="B101" s="516">
        <v>40</v>
      </c>
      <c r="C101" s="522" t="s">
        <v>753</v>
      </c>
      <c r="D101" s="524" t="s">
        <v>753</v>
      </c>
      <c r="E101" s="507" t="s">
        <v>755</v>
      </c>
      <c r="F101" s="519">
        <v>92</v>
      </c>
    </row>
    <row r="102" spans="1:6" ht="14.25" customHeight="1">
      <c r="A102" s="525" t="s">
        <v>757</v>
      </c>
      <c r="B102" s="516">
        <v>10</v>
      </c>
      <c r="C102" s="522" t="s">
        <v>753</v>
      </c>
      <c r="D102" s="524" t="s">
        <v>753</v>
      </c>
      <c r="E102" s="507" t="s">
        <v>753</v>
      </c>
      <c r="F102" s="519" t="s">
        <v>753</v>
      </c>
    </row>
    <row r="103" spans="1:6" ht="14.25" customHeight="1">
      <c r="A103" s="501" t="s">
        <v>756</v>
      </c>
      <c r="B103" s="516">
        <v>17.5</v>
      </c>
      <c r="C103" s="522" t="s">
        <v>753</v>
      </c>
      <c r="D103" s="524" t="s">
        <v>753</v>
      </c>
      <c r="E103" s="507" t="s">
        <v>755</v>
      </c>
      <c r="F103" s="519">
        <v>92</v>
      </c>
    </row>
    <row r="104" spans="1:6" ht="14.25" customHeight="1">
      <c r="A104" s="48" t="s">
        <v>754</v>
      </c>
      <c r="B104" s="523">
        <v>7.5</v>
      </c>
      <c r="C104" s="522" t="s">
        <v>753</v>
      </c>
      <c r="D104" s="524" t="s">
        <v>753</v>
      </c>
      <c r="E104" s="507" t="s">
        <v>753</v>
      </c>
      <c r="F104" s="519" t="s">
        <v>753</v>
      </c>
    </row>
    <row r="105" spans="1:6" ht="14.25" customHeight="1">
      <c r="A105" s="525" t="s">
        <v>752</v>
      </c>
      <c r="B105" s="516"/>
      <c r="C105" s="522"/>
      <c r="D105" s="524"/>
      <c r="E105" s="507"/>
      <c r="F105" s="519"/>
    </row>
    <row r="106" spans="1:6" ht="14.25" customHeight="1">
      <c r="A106" s="69" t="s">
        <v>751</v>
      </c>
      <c r="B106" s="523"/>
      <c r="C106" s="522"/>
      <c r="D106" s="524"/>
      <c r="E106" s="507"/>
      <c r="F106" s="519"/>
    </row>
    <row r="107" spans="1:6" ht="14.25" customHeight="1">
      <c r="A107" s="48" t="s">
        <v>750</v>
      </c>
      <c r="B107" s="523">
        <v>1.83</v>
      </c>
      <c r="C107" s="522" t="s">
        <v>749</v>
      </c>
      <c r="D107" s="524"/>
      <c r="E107" s="507"/>
      <c r="F107" s="519"/>
    </row>
    <row r="108" spans="1:6" ht="14.25" customHeight="1">
      <c r="A108" s="48" t="s">
        <v>748</v>
      </c>
      <c r="B108" s="523">
        <v>5.5</v>
      </c>
      <c r="C108" s="522" t="s">
        <v>747</v>
      </c>
      <c r="D108" s="513"/>
      <c r="E108" s="507"/>
      <c r="F108" s="519"/>
    </row>
    <row r="109" spans="1:6" ht="14.25" customHeight="1" thickBot="1">
      <c r="A109" s="512"/>
      <c r="B109" s="521"/>
      <c r="C109" s="521"/>
      <c r="D109" s="521"/>
      <c r="E109" s="520"/>
      <c r="F109" s="519"/>
    </row>
    <row r="110" spans="1:6" ht="14.25" customHeight="1">
      <c r="A110" s="503" t="s">
        <v>32</v>
      </c>
      <c r="B110" s="48" t="s">
        <v>614</v>
      </c>
    </row>
    <row r="111" spans="1:6" ht="14.25" customHeight="1">
      <c r="A111" s="502" t="s">
        <v>746</v>
      </c>
      <c r="B111" s="502" t="s">
        <v>745</v>
      </c>
      <c r="C111" s="502"/>
      <c r="E111" s="48"/>
    </row>
    <row r="112" spans="1:6" ht="14.25" customHeight="1">
      <c r="A112" s="225" t="s">
        <v>744</v>
      </c>
      <c r="B112" s="518">
        <v>40</v>
      </c>
      <c r="C112" s="225" t="s">
        <v>601</v>
      </c>
      <c r="E112" s="48"/>
    </row>
    <row r="113" spans="1:5" ht="14.25" customHeight="1">
      <c r="A113" s="225" t="s">
        <v>743</v>
      </c>
      <c r="B113" s="518">
        <v>40</v>
      </c>
      <c r="C113" s="225" t="s">
        <v>601</v>
      </c>
      <c r="E113" s="48"/>
    </row>
    <row r="114" spans="1:5" ht="14.25" customHeight="1">
      <c r="A114" s="502" t="s">
        <v>742</v>
      </c>
      <c r="B114" s="518"/>
      <c r="C114" s="502"/>
      <c r="E114" s="48"/>
    </row>
    <row r="115" spans="1:5" ht="14.25" customHeight="1">
      <c r="A115" s="225" t="s">
        <v>741</v>
      </c>
      <c r="B115" s="518">
        <v>4</v>
      </c>
      <c r="C115" s="225" t="s">
        <v>740</v>
      </c>
      <c r="E115" s="48"/>
    </row>
    <row r="116" spans="1:5" ht="14.25" customHeight="1">
      <c r="A116" s="225" t="s">
        <v>739</v>
      </c>
      <c r="B116" s="518">
        <v>40</v>
      </c>
      <c r="C116" s="225" t="s">
        <v>601</v>
      </c>
      <c r="E116" s="48"/>
    </row>
    <row r="117" spans="1:5" ht="14.25" customHeight="1">
      <c r="A117" s="225" t="s">
        <v>738</v>
      </c>
      <c r="B117" s="518">
        <v>80</v>
      </c>
      <c r="C117" s="225" t="s">
        <v>601</v>
      </c>
      <c r="E117" s="48"/>
    </row>
    <row r="118" spans="1:5" ht="14.25" customHeight="1" thickBot="1">
      <c r="A118" s="512"/>
      <c r="B118" s="512"/>
      <c r="C118" s="512"/>
      <c r="D118" s="512"/>
      <c r="E118" s="73"/>
    </row>
    <row r="119" spans="1:5" ht="14.25" customHeight="1">
      <c r="A119" s="503" t="s">
        <v>72</v>
      </c>
      <c r="B119" s="48" t="s">
        <v>614</v>
      </c>
      <c r="C119" s="48"/>
      <c r="D119" s="48"/>
    </row>
    <row r="120" spans="1:5" ht="14.25" customHeight="1">
      <c r="A120" s="504" t="s">
        <v>737</v>
      </c>
      <c r="B120" s="504" t="s">
        <v>661</v>
      </c>
      <c r="C120" s="509" t="s">
        <v>606</v>
      </c>
      <c r="D120" s="48"/>
      <c r="E120" s="48"/>
    </row>
    <row r="121" spans="1:5" ht="14.25" customHeight="1">
      <c r="A121" s="501" t="s">
        <v>736</v>
      </c>
      <c r="B121" s="516">
        <v>725</v>
      </c>
      <c r="C121" s="48" t="s">
        <v>730</v>
      </c>
      <c r="D121" s="48"/>
      <c r="E121" s="48"/>
    </row>
    <row r="122" spans="1:5" ht="14.25" customHeight="1">
      <c r="A122" s="501" t="s">
        <v>735</v>
      </c>
      <c r="B122" s="516">
        <v>1000</v>
      </c>
      <c r="C122" s="48" t="s">
        <v>730</v>
      </c>
      <c r="D122" s="48"/>
      <c r="E122" s="48"/>
    </row>
    <row r="123" spans="1:5" ht="14.25" customHeight="1">
      <c r="A123" s="501" t="s">
        <v>734</v>
      </c>
      <c r="B123" s="516">
        <v>1200</v>
      </c>
      <c r="C123" s="48" t="s">
        <v>730</v>
      </c>
      <c r="D123" s="48"/>
      <c r="E123" s="48"/>
    </row>
    <row r="124" spans="1:5" ht="14.25" customHeight="1">
      <c r="A124" s="501" t="s">
        <v>733</v>
      </c>
      <c r="B124" s="516">
        <v>1400</v>
      </c>
      <c r="C124" s="48" t="s">
        <v>730</v>
      </c>
      <c r="D124" s="48"/>
      <c r="E124" s="48"/>
    </row>
    <row r="125" spans="1:5" ht="14.25" customHeight="1">
      <c r="A125" s="501" t="s">
        <v>732</v>
      </c>
      <c r="B125" s="516">
        <v>1800</v>
      </c>
      <c r="C125" s="48" t="s">
        <v>730</v>
      </c>
      <c r="D125" s="48"/>
      <c r="E125" s="48"/>
    </row>
    <row r="126" spans="1:5" ht="14.25" customHeight="1">
      <c r="A126" s="501" t="s">
        <v>731</v>
      </c>
      <c r="B126" s="516">
        <v>2200</v>
      </c>
      <c r="C126" s="48" t="s">
        <v>730</v>
      </c>
      <c r="D126" s="48"/>
      <c r="E126" s="48"/>
    </row>
    <row r="127" spans="1:5" ht="14.25" customHeight="1">
      <c r="A127" s="504" t="s">
        <v>729</v>
      </c>
      <c r="B127" s="504" t="s">
        <v>661</v>
      </c>
      <c r="C127" s="509" t="s">
        <v>606</v>
      </c>
      <c r="D127" s="48"/>
      <c r="E127" s="48"/>
    </row>
    <row r="128" spans="1:5" ht="14.25" customHeight="1">
      <c r="A128" s="501" t="s">
        <v>728</v>
      </c>
      <c r="B128" s="516">
        <v>1200</v>
      </c>
      <c r="C128" s="48" t="s">
        <v>720</v>
      </c>
      <c r="D128" s="48"/>
      <c r="E128" s="48"/>
    </row>
    <row r="129" spans="1:5" ht="14.25" customHeight="1">
      <c r="A129" s="501" t="s">
        <v>727</v>
      </c>
      <c r="B129" s="516">
        <v>1850</v>
      </c>
      <c r="C129" s="48" t="s">
        <v>720</v>
      </c>
      <c r="D129" s="48"/>
      <c r="E129" s="48"/>
    </row>
    <row r="130" spans="1:5" ht="14.25" customHeight="1">
      <c r="A130" s="501" t="s">
        <v>726</v>
      </c>
      <c r="B130" s="516">
        <v>1080</v>
      </c>
      <c r="C130" s="48" t="s">
        <v>720</v>
      </c>
      <c r="D130" s="48"/>
      <c r="E130" s="48"/>
    </row>
    <row r="131" spans="1:5" ht="14.25" customHeight="1">
      <c r="A131" s="501" t="s">
        <v>725</v>
      </c>
      <c r="B131" s="516">
        <v>1350</v>
      </c>
      <c r="C131" s="48" t="s">
        <v>720</v>
      </c>
      <c r="D131" s="48"/>
      <c r="E131" s="48"/>
    </row>
    <row r="132" spans="1:5" ht="14.25" customHeight="1">
      <c r="A132" s="501" t="s">
        <v>724</v>
      </c>
      <c r="B132" s="516">
        <v>1475</v>
      </c>
      <c r="C132" s="48" t="s">
        <v>720</v>
      </c>
      <c r="D132" s="48"/>
      <c r="E132" s="48"/>
    </row>
    <row r="133" spans="1:5" ht="14.25" customHeight="1">
      <c r="A133" s="501" t="s">
        <v>723</v>
      </c>
      <c r="B133" s="516">
        <v>700</v>
      </c>
      <c r="C133" s="48" t="s">
        <v>720</v>
      </c>
      <c r="D133" s="48"/>
      <c r="E133" s="48"/>
    </row>
    <row r="134" spans="1:5" ht="14.25" customHeight="1">
      <c r="A134" s="501" t="s">
        <v>722</v>
      </c>
      <c r="B134" s="516">
        <v>550</v>
      </c>
      <c r="C134" s="48" t="s">
        <v>720</v>
      </c>
      <c r="D134" s="48"/>
      <c r="E134" s="48"/>
    </row>
    <row r="135" spans="1:5" ht="14.25" customHeight="1">
      <c r="A135" s="501" t="s">
        <v>721</v>
      </c>
      <c r="B135" s="516">
        <v>600</v>
      </c>
      <c r="C135" s="48" t="s">
        <v>720</v>
      </c>
      <c r="D135" s="48"/>
      <c r="E135" s="48"/>
    </row>
    <row r="136" spans="1:5" ht="14.25" customHeight="1">
      <c r="A136" s="504" t="s">
        <v>719</v>
      </c>
      <c r="B136" s="504" t="s">
        <v>661</v>
      </c>
      <c r="C136" s="509" t="s">
        <v>606</v>
      </c>
      <c r="D136" s="48"/>
      <c r="E136" s="48"/>
    </row>
    <row r="137" spans="1:5" ht="14.25" customHeight="1">
      <c r="A137" s="501" t="s">
        <v>718</v>
      </c>
      <c r="B137" s="516">
        <v>475</v>
      </c>
      <c r="C137" s="48" t="s">
        <v>711</v>
      </c>
      <c r="D137" s="48"/>
      <c r="E137" s="48"/>
    </row>
    <row r="138" spans="1:5" ht="14.25" customHeight="1">
      <c r="A138" s="501" t="s">
        <v>717</v>
      </c>
      <c r="B138" s="516">
        <v>825</v>
      </c>
      <c r="C138" s="48" t="s">
        <v>711</v>
      </c>
      <c r="D138" s="48"/>
      <c r="E138" s="48"/>
    </row>
    <row r="139" spans="1:5" ht="14.25" customHeight="1">
      <c r="A139" s="501" t="s">
        <v>716</v>
      </c>
      <c r="B139" s="516">
        <v>375</v>
      </c>
      <c r="C139" s="48" t="s">
        <v>711</v>
      </c>
      <c r="D139" s="48"/>
      <c r="E139" s="48"/>
    </row>
    <row r="140" spans="1:5" ht="14.25" customHeight="1">
      <c r="A140" s="501" t="s">
        <v>715</v>
      </c>
      <c r="B140" s="516">
        <v>825</v>
      </c>
      <c r="C140" s="48" t="s">
        <v>711</v>
      </c>
      <c r="D140" s="48"/>
      <c r="E140" s="48"/>
    </row>
    <row r="141" spans="1:5" ht="14.25" customHeight="1">
      <c r="A141" s="501" t="s">
        <v>714</v>
      </c>
      <c r="B141" s="516">
        <v>375</v>
      </c>
      <c r="C141" s="48" t="s">
        <v>711</v>
      </c>
      <c r="D141" s="48"/>
      <c r="E141" s="48"/>
    </row>
    <row r="142" spans="1:5" ht="14.25" customHeight="1">
      <c r="A142" s="501" t="s">
        <v>713</v>
      </c>
      <c r="B142" s="516">
        <v>1200</v>
      </c>
      <c r="C142" s="48" t="s">
        <v>711</v>
      </c>
      <c r="D142" s="48"/>
      <c r="E142" s="48"/>
    </row>
    <row r="143" spans="1:5" ht="14.25" customHeight="1">
      <c r="A143" s="501" t="s">
        <v>712</v>
      </c>
      <c r="B143" s="516">
        <v>550</v>
      </c>
      <c r="C143" s="48" t="s">
        <v>711</v>
      </c>
      <c r="D143" s="48"/>
      <c r="E143" s="48"/>
    </row>
    <row r="144" spans="1:5" ht="14.25" customHeight="1">
      <c r="A144" s="504" t="s">
        <v>710</v>
      </c>
      <c r="B144" s="504" t="s">
        <v>661</v>
      </c>
      <c r="C144" s="509" t="s">
        <v>606</v>
      </c>
      <c r="D144" s="48"/>
      <c r="E144" s="48"/>
    </row>
    <row r="145" spans="1:5" ht="14.25" customHeight="1">
      <c r="A145" s="501" t="s">
        <v>709</v>
      </c>
      <c r="B145" s="516">
        <v>200</v>
      </c>
      <c r="C145" s="48" t="s">
        <v>670</v>
      </c>
      <c r="D145" s="48"/>
      <c r="E145" s="48"/>
    </row>
    <row r="146" spans="1:5" ht="14.25" customHeight="1">
      <c r="A146" s="501" t="s">
        <v>708</v>
      </c>
      <c r="B146" s="516">
        <v>225</v>
      </c>
      <c r="C146" s="48" t="s">
        <v>670</v>
      </c>
      <c r="D146" s="48"/>
      <c r="E146" s="48"/>
    </row>
    <row r="147" spans="1:5" ht="14.25" customHeight="1">
      <c r="A147" s="501" t="s">
        <v>707</v>
      </c>
      <c r="B147" s="516">
        <v>275</v>
      </c>
      <c r="C147" s="48" t="s">
        <v>670</v>
      </c>
      <c r="D147" s="48"/>
      <c r="E147" s="48"/>
    </row>
    <row r="148" spans="1:5" ht="14.25" customHeight="1">
      <c r="A148" s="501" t="s">
        <v>706</v>
      </c>
      <c r="B148" s="516">
        <v>325</v>
      </c>
      <c r="C148" s="48" t="s">
        <v>670</v>
      </c>
      <c r="D148" s="48"/>
      <c r="E148" s="48"/>
    </row>
    <row r="149" spans="1:5" ht="14.25" customHeight="1">
      <c r="A149" s="501" t="s">
        <v>705</v>
      </c>
      <c r="B149" s="516">
        <v>400</v>
      </c>
      <c r="C149" s="48" t="s">
        <v>670</v>
      </c>
      <c r="D149" s="48"/>
      <c r="E149" s="48"/>
    </row>
    <row r="150" spans="1:5" ht="14.25" customHeight="1">
      <c r="A150" s="501" t="s">
        <v>704</v>
      </c>
      <c r="B150" s="516">
        <v>1200</v>
      </c>
      <c r="C150" s="48" t="s">
        <v>670</v>
      </c>
      <c r="D150" s="48"/>
      <c r="E150" s="48"/>
    </row>
    <row r="151" spans="1:5" ht="14.25" customHeight="1">
      <c r="A151" s="501" t="s">
        <v>703</v>
      </c>
      <c r="B151" s="516">
        <v>2000</v>
      </c>
      <c r="C151" s="48" t="s">
        <v>670</v>
      </c>
      <c r="D151" s="48"/>
      <c r="E151" s="48"/>
    </row>
    <row r="152" spans="1:5" ht="14.25" customHeight="1">
      <c r="A152" s="501" t="s">
        <v>702</v>
      </c>
      <c r="B152" s="516">
        <v>250</v>
      </c>
      <c r="C152" s="48" t="s">
        <v>670</v>
      </c>
      <c r="D152" s="48"/>
      <c r="E152" s="48"/>
    </row>
    <row r="153" spans="1:5" ht="14.25" customHeight="1">
      <c r="A153" s="501" t="s">
        <v>701</v>
      </c>
      <c r="B153" s="516">
        <v>300</v>
      </c>
      <c r="C153" s="48" t="s">
        <v>670</v>
      </c>
      <c r="D153" s="48"/>
      <c r="E153" s="48"/>
    </row>
    <row r="154" spans="1:5" ht="14.25" customHeight="1">
      <c r="A154" s="501" t="s">
        <v>700</v>
      </c>
      <c r="B154" s="516">
        <v>200</v>
      </c>
      <c r="C154" s="48" t="s">
        <v>670</v>
      </c>
      <c r="D154" s="48"/>
      <c r="E154" s="48"/>
    </row>
    <row r="155" spans="1:5" ht="14.25" customHeight="1">
      <c r="A155" s="501" t="s">
        <v>699</v>
      </c>
      <c r="B155" s="516">
        <v>300</v>
      </c>
      <c r="C155" s="48" t="s">
        <v>670</v>
      </c>
      <c r="D155" s="48"/>
      <c r="E155" s="48"/>
    </row>
    <row r="156" spans="1:5" ht="14.25" customHeight="1">
      <c r="A156" s="501" t="s">
        <v>698</v>
      </c>
      <c r="B156" s="516">
        <v>120</v>
      </c>
      <c r="C156" s="48" t="s">
        <v>670</v>
      </c>
      <c r="D156" s="48"/>
      <c r="E156" s="48"/>
    </row>
    <row r="157" spans="1:5" ht="14.25" customHeight="1">
      <c r="A157" s="501" t="s">
        <v>697</v>
      </c>
      <c r="B157" s="516">
        <v>150</v>
      </c>
      <c r="C157" s="48" t="s">
        <v>670</v>
      </c>
      <c r="D157" s="48"/>
      <c r="E157" s="48"/>
    </row>
    <row r="158" spans="1:5" ht="14.25" customHeight="1">
      <c r="A158" s="501" t="s">
        <v>696</v>
      </c>
      <c r="B158" s="516">
        <v>200</v>
      </c>
      <c r="C158" s="48" t="s">
        <v>670</v>
      </c>
      <c r="D158" s="48"/>
      <c r="E158" s="48"/>
    </row>
    <row r="159" spans="1:5" ht="14.25" customHeight="1">
      <c r="A159" s="501" t="s">
        <v>695</v>
      </c>
      <c r="B159" s="516">
        <v>200</v>
      </c>
      <c r="C159" s="48" t="s">
        <v>670</v>
      </c>
      <c r="D159" s="48"/>
      <c r="E159" s="48"/>
    </row>
    <row r="160" spans="1:5" ht="14.25" customHeight="1">
      <c r="A160" s="501" t="s">
        <v>694</v>
      </c>
      <c r="B160" s="516">
        <v>275</v>
      </c>
      <c r="C160" s="48" t="s">
        <v>670</v>
      </c>
      <c r="D160" s="48"/>
      <c r="E160" s="48"/>
    </row>
    <row r="161" spans="1:5" ht="14.25" customHeight="1">
      <c r="A161" s="501" t="s">
        <v>693</v>
      </c>
      <c r="B161" s="516">
        <v>350</v>
      </c>
      <c r="C161" s="48" t="s">
        <v>670</v>
      </c>
      <c r="D161" s="48"/>
      <c r="E161" s="48"/>
    </row>
    <row r="162" spans="1:5" ht="14.25" customHeight="1">
      <c r="A162" s="501" t="s">
        <v>692</v>
      </c>
      <c r="B162" s="516">
        <v>15</v>
      </c>
      <c r="C162" s="48" t="s">
        <v>670</v>
      </c>
      <c r="D162" s="48"/>
      <c r="E162" s="48"/>
    </row>
    <row r="163" spans="1:5" ht="14.25" customHeight="1">
      <c r="A163" s="504" t="s">
        <v>691</v>
      </c>
      <c r="B163" s="504" t="s">
        <v>661</v>
      </c>
      <c r="C163" s="509" t="s">
        <v>606</v>
      </c>
      <c r="D163" s="48"/>
      <c r="E163" s="48"/>
    </row>
    <row r="164" spans="1:5" ht="14.25" customHeight="1">
      <c r="A164" s="501" t="s">
        <v>690</v>
      </c>
      <c r="B164" s="516">
        <v>25</v>
      </c>
      <c r="C164" s="48" t="s">
        <v>670</v>
      </c>
      <c r="D164" s="48"/>
      <c r="E164" s="48"/>
    </row>
    <row r="165" spans="1:5" ht="14.25" customHeight="1">
      <c r="A165" s="501" t="s">
        <v>689</v>
      </c>
      <c r="B165" s="516">
        <v>15</v>
      </c>
      <c r="C165" s="48" t="s">
        <v>670</v>
      </c>
      <c r="D165" s="48"/>
      <c r="E165" s="48"/>
    </row>
    <row r="166" spans="1:5" ht="14.25" customHeight="1">
      <c r="A166" s="504" t="s">
        <v>688</v>
      </c>
      <c r="B166" s="504" t="s">
        <v>661</v>
      </c>
      <c r="C166" s="509" t="s">
        <v>606</v>
      </c>
      <c r="D166" s="48"/>
      <c r="E166" s="48"/>
    </row>
    <row r="167" spans="1:5" ht="14.25" customHeight="1">
      <c r="A167" s="501" t="s">
        <v>687</v>
      </c>
      <c r="B167" s="516">
        <v>420</v>
      </c>
      <c r="C167" s="48" t="s">
        <v>670</v>
      </c>
      <c r="D167" s="48"/>
      <c r="E167" s="48"/>
    </row>
    <row r="168" spans="1:5" ht="14.25" customHeight="1">
      <c r="A168" s="501" t="s">
        <v>686</v>
      </c>
      <c r="B168" s="516">
        <v>45</v>
      </c>
      <c r="C168" s="48" t="s">
        <v>670</v>
      </c>
      <c r="D168" s="48"/>
      <c r="E168" s="48"/>
    </row>
    <row r="169" spans="1:5" ht="14.25" customHeight="1">
      <c r="A169" s="504" t="s">
        <v>73</v>
      </c>
      <c r="B169" s="504" t="s">
        <v>661</v>
      </c>
      <c r="C169" s="509" t="s">
        <v>606</v>
      </c>
      <c r="D169" s="48"/>
      <c r="E169" s="48"/>
    </row>
    <row r="170" spans="1:5" ht="14.25" customHeight="1">
      <c r="A170" s="501" t="s">
        <v>685</v>
      </c>
      <c r="B170" s="517" t="s">
        <v>682</v>
      </c>
      <c r="C170" s="48" t="s">
        <v>670</v>
      </c>
      <c r="D170" s="48"/>
      <c r="E170" s="48"/>
    </row>
    <row r="171" spans="1:5" ht="14.25" customHeight="1">
      <c r="A171" s="501" t="s">
        <v>684</v>
      </c>
      <c r="B171" s="517" t="s">
        <v>682</v>
      </c>
      <c r="C171" s="48" t="s">
        <v>670</v>
      </c>
      <c r="D171" s="48"/>
      <c r="E171" s="48"/>
    </row>
    <row r="172" spans="1:5" ht="14.25" customHeight="1">
      <c r="A172" s="501" t="s">
        <v>683</v>
      </c>
      <c r="B172" s="517" t="s">
        <v>682</v>
      </c>
      <c r="C172" s="48" t="s">
        <v>670</v>
      </c>
      <c r="D172" s="48"/>
      <c r="E172" s="48"/>
    </row>
    <row r="173" spans="1:5" ht="14.25" customHeight="1">
      <c r="A173" s="504" t="s">
        <v>681</v>
      </c>
      <c r="B173" s="504" t="s">
        <v>661</v>
      </c>
      <c r="C173" s="509" t="s">
        <v>606</v>
      </c>
      <c r="D173" s="48"/>
      <c r="E173" s="48"/>
    </row>
    <row r="174" spans="1:5" ht="14.25" customHeight="1">
      <c r="A174" s="501" t="s">
        <v>680</v>
      </c>
      <c r="B174" s="516">
        <v>2</v>
      </c>
      <c r="C174" s="506" t="s">
        <v>670</v>
      </c>
      <c r="D174" s="48"/>
      <c r="E174" s="48"/>
    </row>
    <row r="175" spans="1:5" ht="14.25" customHeight="1">
      <c r="A175" s="501" t="s">
        <v>679</v>
      </c>
      <c r="B175" s="516">
        <v>4</v>
      </c>
      <c r="C175" s="506" t="s">
        <v>670</v>
      </c>
      <c r="D175" s="48"/>
      <c r="E175" s="48"/>
    </row>
    <row r="176" spans="1:5" ht="14.25" customHeight="1">
      <c r="A176" s="501" t="s">
        <v>678</v>
      </c>
      <c r="B176" s="516">
        <v>46</v>
      </c>
      <c r="C176" s="506" t="s">
        <v>676</v>
      </c>
      <c r="D176" s="48"/>
      <c r="E176" s="48"/>
    </row>
    <row r="177" spans="1:5" ht="14.25" customHeight="1">
      <c r="A177" s="501" t="s">
        <v>677</v>
      </c>
      <c r="B177" s="516">
        <v>68</v>
      </c>
      <c r="C177" s="506" t="s">
        <v>676</v>
      </c>
      <c r="D177" s="48"/>
      <c r="E177" s="48"/>
    </row>
    <row r="178" spans="1:5" ht="14.25" customHeight="1">
      <c r="A178" s="501" t="s">
        <v>675</v>
      </c>
      <c r="B178" s="516">
        <v>5</v>
      </c>
      <c r="C178" s="506" t="s">
        <v>670</v>
      </c>
      <c r="D178" s="48"/>
      <c r="E178" s="48"/>
    </row>
    <row r="179" spans="1:5" ht="14.25" customHeight="1">
      <c r="A179" s="504" t="s">
        <v>74</v>
      </c>
      <c r="B179" s="504" t="s">
        <v>661</v>
      </c>
      <c r="C179" s="509" t="s">
        <v>606</v>
      </c>
      <c r="D179" s="48"/>
      <c r="E179" s="48"/>
    </row>
    <row r="180" spans="1:5" ht="14.25" customHeight="1">
      <c r="A180" s="501" t="s">
        <v>674</v>
      </c>
      <c r="B180" s="516">
        <v>22</v>
      </c>
      <c r="C180" s="506" t="s">
        <v>670</v>
      </c>
      <c r="D180" s="48"/>
      <c r="E180" s="48"/>
    </row>
    <row r="181" spans="1:5" ht="14.25" customHeight="1">
      <c r="A181" s="501" t="s">
        <v>673</v>
      </c>
      <c r="B181" s="516">
        <v>32</v>
      </c>
      <c r="C181" s="506" t="s">
        <v>670</v>
      </c>
      <c r="D181" s="48"/>
      <c r="E181" s="48"/>
    </row>
    <row r="182" spans="1:5" ht="14.25" customHeight="1">
      <c r="A182" s="504" t="s">
        <v>672</v>
      </c>
      <c r="B182" s="504" t="s">
        <v>661</v>
      </c>
      <c r="C182" s="509" t="s">
        <v>606</v>
      </c>
      <c r="D182" s="48"/>
      <c r="E182" s="48"/>
    </row>
    <row r="183" spans="1:5" ht="14.25" customHeight="1">
      <c r="A183" s="501" t="s">
        <v>671</v>
      </c>
      <c r="B183" s="516">
        <v>75</v>
      </c>
      <c r="C183" s="506" t="s">
        <v>670</v>
      </c>
      <c r="D183" s="48"/>
      <c r="E183" s="48"/>
    </row>
    <row r="184" spans="1:5" ht="14.25" customHeight="1">
      <c r="A184" s="504" t="s">
        <v>669</v>
      </c>
      <c r="B184" s="504" t="s">
        <v>661</v>
      </c>
      <c r="C184" s="509" t="s">
        <v>606</v>
      </c>
      <c r="D184" s="48"/>
      <c r="E184" s="48"/>
    </row>
    <row r="185" spans="1:5" ht="14.25" customHeight="1">
      <c r="A185" s="501" t="s">
        <v>668</v>
      </c>
      <c r="B185" s="516">
        <v>120</v>
      </c>
      <c r="C185" s="506" t="s">
        <v>667</v>
      </c>
      <c r="D185" s="48"/>
      <c r="E185" s="48"/>
    </row>
    <row r="186" spans="1:5" ht="14.25" customHeight="1">
      <c r="A186" s="501" t="s">
        <v>666</v>
      </c>
      <c r="B186" s="516">
        <v>100</v>
      </c>
      <c r="C186" s="506" t="s">
        <v>603</v>
      </c>
      <c r="D186" s="48"/>
      <c r="E186" s="48"/>
    </row>
    <row r="187" spans="1:5" ht="14.25" customHeight="1">
      <c r="A187" s="501" t="s">
        <v>665</v>
      </c>
      <c r="B187" s="516">
        <v>100</v>
      </c>
      <c r="C187" s="506" t="s">
        <v>664</v>
      </c>
      <c r="D187" s="48"/>
      <c r="E187" s="48"/>
    </row>
    <row r="188" spans="1:5" ht="14.25" customHeight="1">
      <c r="A188" s="501" t="s">
        <v>663</v>
      </c>
      <c r="B188" s="516">
        <v>50</v>
      </c>
      <c r="C188" s="506" t="s">
        <v>603</v>
      </c>
      <c r="D188" s="48"/>
      <c r="E188" s="48"/>
    </row>
    <row r="189" spans="1:5" ht="14.25" customHeight="1">
      <c r="A189" s="504" t="s">
        <v>662</v>
      </c>
      <c r="B189" s="504" t="s">
        <v>661</v>
      </c>
      <c r="C189" s="509" t="s">
        <v>606</v>
      </c>
      <c r="D189" s="48"/>
      <c r="E189" s="48"/>
    </row>
    <row r="190" spans="1:5" ht="14.25" customHeight="1">
      <c r="A190" s="501" t="s">
        <v>660</v>
      </c>
      <c r="B190" s="516">
        <v>25</v>
      </c>
      <c r="C190" s="506" t="s">
        <v>659</v>
      </c>
      <c r="D190" s="48"/>
      <c r="E190" s="48"/>
    </row>
    <row r="191" spans="1:5" ht="14.25" customHeight="1" thickBot="1">
      <c r="A191" s="73"/>
      <c r="B191" s="73"/>
      <c r="C191" s="73"/>
      <c r="D191" s="73"/>
      <c r="E191" s="73"/>
    </row>
    <row r="192" spans="1:5" ht="14.25" customHeight="1">
      <c r="A192" s="505" t="s">
        <v>130</v>
      </c>
      <c r="B192" s="515" t="s">
        <v>658</v>
      </c>
      <c r="C192" s="505"/>
      <c r="D192" s="48"/>
      <c r="E192" s="48"/>
    </row>
    <row r="193" spans="1:5" ht="14.25" customHeight="1">
      <c r="A193" s="69" t="s">
        <v>657</v>
      </c>
      <c r="B193" s="69" t="s">
        <v>607</v>
      </c>
      <c r="C193" s="69" t="s">
        <v>656</v>
      </c>
      <c r="D193" s="69"/>
      <c r="E193" s="514"/>
    </row>
    <row r="194" spans="1:5" ht="14.25" customHeight="1">
      <c r="A194" s="48" t="s">
        <v>124</v>
      </c>
      <c r="B194" s="513">
        <v>21.01</v>
      </c>
      <c r="C194" s="513">
        <v>195</v>
      </c>
    </row>
    <row r="195" spans="1:5" ht="14.25" customHeight="1">
      <c r="A195" s="48" t="s">
        <v>125</v>
      </c>
      <c r="B195" s="513">
        <v>33.799999999999997</v>
      </c>
      <c r="C195" s="513">
        <v>195</v>
      </c>
    </row>
    <row r="196" spans="1:5" ht="14.25" customHeight="1">
      <c r="A196" s="501" t="s">
        <v>126</v>
      </c>
      <c r="B196" s="513">
        <v>33.799999999999997</v>
      </c>
      <c r="C196" s="513">
        <v>195</v>
      </c>
    </row>
    <row r="197" spans="1:5" ht="14.25" customHeight="1">
      <c r="A197" s="48" t="s">
        <v>77</v>
      </c>
      <c r="B197" s="513">
        <v>34.57</v>
      </c>
      <c r="C197" s="513">
        <v>195</v>
      </c>
    </row>
    <row r="198" spans="1:5" ht="14.25" customHeight="1">
      <c r="A198" s="48" t="s">
        <v>75</v>
      </c>
      <c r="B198" s="513">
        <v>23.16</v>
      </c>
      <c r="C198" s="513">
        <v>195</v>
      </c>
    </row>
    <row r="199" spans="1:5" ht="14.25" customHeight="1">
      <c r="A199" s="48" t="s">
        <v>79</v>
      </c>
      <c r="B199" s="513">
        <v>44.28</v>
      </c>
      <c r="C199" s="513">
        <v>195</v>
      </c>
    </row>
    <row r="200" spans="1:5" ht="14.25" customHeight="1">
      <c r="A200" s="48" t="s">
        <v>78</v>
      </c>
      <c r="B200" s="513">
        <v>72.34</v>
      </c>
      <c r="C200" s="513">
        <v>75</v>
      </c>
    </row>
    <row r="201" spans="1:5" ht="14.25" customHeight="1">
      <c r="A201" s="48" t="s">
        <v>76</v>
      </c>
      <c r="B201" s="513">
        <v>30.97</v>
      </c>
      <c r="C201" s="513">
        <v>75</v>
      </c>
    </row>
    <row r="202" spans="1:5" ht="14.25" customHeight="1">
      <c r="A202" s="48" t="s">
        <v>655</v>
      </c>
      <c r="B202" s="513">
        <v>32.520000000000003</v>
      </c>
      <c r="C202" s="513">
        <v>195</v>
      </c>
    </row>
    <row r="203" spans="1:5" ht="14.25" customHeight="1">
      <c r="A203" s="48" t="s">
        <v>654</v>
      </c>
      <c r="B203" s="513">
        <v>1.51</v>
      </c>
      <c r="C203" s="513">
        <v>60</v>
      </c>
    </row>
    <row r="204" spans="1:5" ht="14.25" customHeight="1">
      <c r="A204" s="48" t="s">
        <v>127</v>
      </c>
      <c r="B204" s="513">
        <v>6.95</v>
      </c>
      <c r="C204" s="513">
        <v>45</v>
      </c>
    </row>
    <row r="205" spans="1:5" ht="14.25" customHeight="1">
      <c r="A205" s="48" t="s">
        <v>653</v>
      </c>
      <c r="B205" s="513">
        <v>1.06</v>
      </c>
      <c r="C205" s="513">
        <v>40</v>
      </c>
    </row>
    <row r="206" spans="1:5" ht="14.25" customHeight="1">
      <c r="A206" s="48" t="s">
        <v>652</v>
      </c>
      <c r="B206" s="513">
        <v>1.06</v>
      </c>
      <c r="C206" s="513">
        <v>40</v>
      </c>
    </row>
    <row r="207" spans="1:5" ht="14.25" customHeight="1">
      <c r="A207" s="48" t="s">
        <v>128</v>
      </c>
      <c r="B207" s="513">
        <v>43.36</v>
      </c>
      <c r="C207" s="513">
        <v>195</v>
      </c>
    </row>
    <row r="208" spans="1:5" ht="14.25" customHeight="1">
      <c r="A208" s="48" t="s">
        <v>129</v>
      </c>
      <c r="B208" s="513">
        <v>30.97</v>
      </c>
      <c r="C208" s="513">
        <v>195</v>
      </c>
    </row>
    <row r="209" spans="1:5" ht="14.25" customHeight="1">
      <c r="A209" s="48" t="s">
        <v>651</v>
      </c>
      <c r="B209" s="513">
        <v>0.41</v>
      </c>
      <c r="C209" s="513">
        <v>55</v>
      </c>
    </row>
    <row r="210" spans="1:5" ht="14.25" customHeight="1">
      <c r="A210" s="48" t="s">
        <v>80</v>
      </c>
      <c r="B210" s="513">
        <v>19.7</v>
      </c>
      <c r="C210" s="513">
        <v>50</v>
      </c>
    </row>
    <row r="211" spans="1:5" ht="14.25" customHeight="1">
      <c r="A211" s="48" t="s">
        <v>650</v>
      </c>
      <c r="B211" s="513">
        <v>51.72</v>
      </c>
      <c r="C211" s="513">
        <v>205</v>
      </c>
    </row>
    <row r="212" spans="1:5" ht="14.25" customHeight="1">
      <c r="A212" s="48" t="s">
        <v>131</v>
      </c>
      <c r="B212" s="513">
        <v>93.05</v>
      </c>
      <c r="C212" s="513">
        <v>0</v>
      </c>
    </row>
    <row r="213" spans="1:5" ht="14.25" customHeight="1">
      <c r="A213" s="48" t="s">
        <v>649</v>
      </c>
      <c r="B213" s="513">
        <v>1.1499999999999999</v>
      </c>
      <c r="C213" s="513">
        <v>50</v>
      </c>
    </row>
    <row r="214" spans="1:5" ht="14.25" customHeight="1">
      <c r="A214" s="48" t="s">
        <v>648</v>
      </c>
      <c r="B214" s="513">
        <v>29.81</v>
      </c>
      <c r="C214" s="513">
        <v>220</v>
      </c>
    </row>
    <row r="215" spans="1:5" ht="14.25" customHeight="1">
      <c r="A215" s="48" t="s">
        <v>647</v>
      </c>
      <c r="B215" s="513">
        <v>1.1499999999999999</v>
      </c>
      <c r="C215" s="513">
        <v>98</v>
      </c>
    </row>
    <row r="216" spans="1:5" ht="14.25" customHeight="1">
      <c r="A216" s="48" t="s">
        <v>132</v>
      </c>
      <c r="B216" s="513">
        <v>26.55</v>
      </c>
      <c r="C216" s="513">
        <v>53</v>
      </c>
    </row>
    <row r="217" spans="1:5" ht="14.25" customHeight="1">
      <c r="A217" s="48" t="s">
        <v>133</v>
      </c>
      <c r="B217" s="513">
        <v>39.75</v>
      </c>
      <c r="C217" s="513">
        <v>195</v>
      </c>
    </row>
    <row r="218" spans="1:5" ht="14.25" customHeight="1">
      <c r="A218" s="48" t="s">
        <v>646</v>
      </c>
      <c r="B218" s="513"/>
      <c r="C218" s="48"/>
    </row>
    <row r="219" spans="1:5" ht="14.25" customHeight="1" thickBot="1">
      <c r="A219" s="512"/>
      <c r="B219" s="512"/>
      <c r="C219" s="512"/>
      <c r="D219" s="512"/>
      <c r="E219" s="512"/>
    </row>
    <row r="220" spans="1:5" ht="14.25" customHeight="1">
      <c r="A220" s="503" t="s">
        <v>81</v>
      </c>
      <c r="B220" s="501" t="s">
        <v>614</v>
      </c>
      <c r="E220" s="48"/>
    </row>
    <row r="221" spans="1:5" ht="14.25" customHeight="1">
      <c r="A221" s="502" t="s">
        <v>82</v>
      </c>
      <c r="B221" s="502" t="s">
        <v>31</v>
      </c>
      <c r="C221" s="502" t="s">
        <v>606</v>
      </c>
      <c r="E221" s="48"/>
    </row>
    <row r="222" spans="1:5" ht="14.25" customHeight="1">
      <c r="A222" s="501" t="s">
        <v>645</v>
      </c>
      <c r="B222" s="511">
        <v>70.2</v>
      </c>
      <c r="C222" s="46" t="s">
        <v>603</v>
      </c>
      <c r="E222" s="48"/>
    </row>
    <row r="223" spans="1:5" ht="14.25" customHeight="1">
      <c r="A223" s="501" t="s">
        <v>644</v>
      </c>
      <c r="B223" s="388">
        <v>95</v>
      </c>
      <c r="C223" s="46" t="s">
        <v>603</v>
      </c>
      <c r="E223" s="48"/>
    </row>
    <row r="224" spans="1:5" ht="14.25" customHeight="1">
      <c r="A224" s="501" t="s">
        <v>643</v>
      </c>
      <c r="B224" s="388">
        <v>50</v>
      </c>
      <c r="C224" s="46" t="s">
        <v>603</v>
      </c>
      <c r="E224" s="48"/>
    </row>
    <row r="225" spans="1:5" ht="14.25" customHeight="1">
      <c r="A225" s="501" t="s">
        <v>642</v>
      </c>
      <c r="B225" s="388">
        <v>120</v>
      </c>
      <c r="C225" s="46" t="s">
        <v>603</v>
      </c>
      <c r="D225" s="48"/>
      <c r="E225" s="48"/>
    </row>
    <row r="226" spans="1:5" ht="14.25" customHeight="1">
      <c r="A226" s="501" t="s">
        <v>641</v>
      </c>
      <c r="B226" s="388">
        <v>30</v>
      </c>
      <c r="C226" s="46" t="s">
        <v>603</v>
      </c>
      <c r="D226" s="48"/>
      <c r="E226" s="48"/>
    </row>
    <row r="227" spans="1:5" ht="14.25" customHeight="1">
      <c r="A227" s="501" t="s">
        <v>640</v>
      </c>
      <c r="B227" s="388">
        <v>30</v>
      </c>
      <c r="C227" s="46" t="s">
        <v>603</v>
      </c>
      <c r="D227" s="48"/>
      <c r="E227" s="48"/>
    </row>
    <row r="228" spans="1:5" ht="14.25" customHeight="1">
      <c r="A228" s="501" t="s">
        <v>134</v>
      </c>
      <c r="B228" s="388">
        <v>35</v>
      </c>
      <c r="C228" s="46" t="s">
        <v>603</v>
      </c>
      <c r="D228" s="48"/>
      <c r="E228" s="48"/>
    </row>
    <row r="229" spans="1:5" ht="14.25" customHeight="1">
      <c r="A229" s="501" t="s">
        <v>639</v>
      </c>
      <c r="B229" s="388">
        <v>30</v>
      </c>
      <c r="C229" s="46" t="s">
        <v>603</v>
      </c>
      <c r="D229" s="48"/>
      <c r="E229" s="48"/>
    </row>
    <row r="230" spans="1:5" ht="14.25" customHeight="1" thickBot="1">
      <c r="A230" s="73"/>
      <c r="B230" s="73"/>
      <c r="C230" s="73"/>
      <c r="D230" s="73"/>
      <c r="E230" s="73"/>
    </row>
    <row r="231" spans="1:5" ht="14.25" customHeight="1">
      <c r="A231" s="68" t="s">
        <v>98</v>
      </c>
      <c r="B231" s="48" t="s">
        <v>614</v>
      </c>
      <c r="C231" s="48"/>
      <c r="D231" s="48"/>
    </row>
    <row r="232" spans="1:5" ht="14.25" customHeight="1">
      <c r="A232" s="69" t="s">
        <v>102</v>
      </c>
      <c r="B232" s="48"/>
      <c r="C232" s="48"/>
      <c r="D232" s="48"/>
      <c r="E232" s="48"/>
    </row>
    <row r="233" spans="1:5" ht="14.25" customHeight="1">
      <c r="A233" s="510" t="s">
        <v>638</v>
      </c>
      <c r="B233" s="48" t="s">
        <v>637</v>
      </c>
      <c r="C233" s="48"/>
      <c r="D233" s="48"/>
      <c r="E233" s="48"/>
    </row>
    <row r="234" spans="1:5" ht="14.25" customHeight="1">
      <c r="A234" s="510" t="s">
        <v>636</v>
      </c>
      <c r="B234" s="48" t="s">
        <v>635</v>
      </c>
      <c r="C234" s="48"/>
      <c r="D234" s="48"/>
      <c r="E234" s="48"/>
    </row>
    <row r="235" spans="1:5" ht="14.25" customHeight="1">
      <c r="A235" s="510" t="s">
        <v>634</v>
      </c>
      <c r="B235" s="48" t="s">
        <v>633</v>
      </c>
      <c r="C235" s="48"/>
      <c r="D235" s="48"/>
      <c r="E235" s="48"/>
    </row>
    <row r="236" spans="1:5" ht="14.25" customHeight="1">
      <c r="A236" s="510" t="s">
        <v>632</v>
      </c>
      <c r="B236" s="48" t="s">
        <v>631</v>
      </c>
      <c r="C236" s="48"/>
      <c r="D236" s="48"/>
      <c r="E236" s="48"/>
    </row>
    <row r="237" spans="1:5" ht="14.25" customHeight="1">
      <c r="A237" s="510" t="s">
        <v>630</v>
      </c>
      <c r="B237" s="48" t="s">
        <v>629</v>
      </c>
      <c r="C237" s="48"/>
      <c r="D237" s="48"/>
      <c r="E237" s="48"/>
    </row>
    <row r="238" spans="1:5" ht="14.25" customHeight="1">
      <c r="A238" s="510" t="s">
        <v>628</v>
      </c>
      <c r="B238" s="48" t="s">
        <v>627</v>
      </c>
      <c r="C238" s="48"/>
      <c r="D238" s="48"/>
      <c r="E238" s="48"/>
    </row>
    <row r="239" spans="1:5" ht="14.25" customHeight="1">
      <c r="A239" s="510" t="s">
        <v>626</v>
      </c>
      <c r="B239" s="48" t="s">
        <v>625</v>
      </c>
      <c r="C239" s="48"/>
      <c r="D239" s="48"/>
      <c r="E239" s="48"/>
    </row>
    <row r="240" spans="1:5" ht="14.25" customHeight="1">
      <c r="A240" s="510" t="s">
        <v>624</v>
      </c>
      <c r="B240" s="48" t="s">
        <v>623</v>
      </c>
      <c r="C240" s="48"/>
      <c r="D240" s="48"/>
      <c r="E240" s="48"/>
    </row>
    <row r="241" spans="1:5" ht="14.25" customHeight="1">
      <c r="A241" s="510" t="s">
        <v>622</v>
      </c>
      <c r="B241" s="48" t="s">
        <v>621</v>
      </c>
      <c r="C241" s="48"/>
      <c r="D241" s="48"/>
      <c r="E241" s="48"/>
    </row>
    <row r="242" spans="1:5" ht="14.25" customHeight="1">
      <c r="A242" s="510" t="s">
        <v>620</v>
      </c>
      <c r="B242" s="48" t="s">
        <v>619</v>
      </c>
      <c r="C242" s="48"/>
      <c r="D242" s="48"/>
      <c r="E242" s="48"/>
    </row>
    <row r="243" spans="1:5" ht="14.25" customHeight="1">
      <c r="A243" s="510" t="s">
        <v>618</v>
      </c>
      <c r="B243" s="48" t="s">
        <v>617</v>
      </c>
      <c r="C243" s="48"/>
      <c r="D243" s="48"/>
      <c r="E243" s="48"/>
    </row>
    <row r="244" spans="1:5" ht="14.25" customHeight="1">
      <c r="A244" s="48"/>
      <c r="B244" s="48"/>
      <c r="C244" s="48"/>
      <c r="D244" s="48"/>
      <c r="E244" s="48"/>
    </row>
    <row r="245" spans="1:5" ht="14.25" customHeight="1">
      <c r="A245" s="69" t="s">
        <v>103</v>
      </c>
      <c r="B245" s="69" t="s">
        <v>616</v>
      </c>
      <c r="C245" s="509" t="s">
        <v>615</v>
      </c>
      <c r="D245" s="69" t="s">
        <v>606</v>
      </c>
      <c r="E245" s="48"/>
    </row>
    <row r="246" spans="1:5" ht="14.25" customHeight="1">
      <c r="A246" s="48" t="s">
        <v>99</v>
      </c>
      <c r="B246" s="507">
        <v>80</v>
      </c>
      <c r="C246" s="507">
        <v>40</v>
      </c>
      <c r="D246" s="48" t="s">
        <v>603</v>
      </c>
      <c r="E246" s="48"/>
    </row>
    <row r="247" spans="1:5" ht="14.25" customHeight="1">
      <c r="A247" s="48" t="s">
        <v>100</v>
      </c>
      <c r="B247" s="507">
        <v>80</v>
      </c>
      <c r="C247" s="507">
        <v>40</v>
      </c>
      <c r="D247" s="48" t="s">
        <v>603</v>
      </c>
      <c r="E247" s="48"/>
    </row>
    <row r="248" spans="1:5" ht="14.25" customHeight="1">
      <c r="A248" s="48" t="s">
        <v>135</v>
      </c>
      <c r="B248" s="507">
        <v>80</v>
      </c>
      <c r="C248" s="507">
        <v>40</v>
      </c>
      <c r="D248" s="48" t="s">
        <v>603</v>
      </c>
      <c r="E248" s="48"/>
    </row>
    <row r="249" spans="1:5" ht="14.25" customHeight="1">
      <c r="A249" s="48" t="s">
        <v>136</v>
      </c>
      <c r="B249" s="507">
        <v>80</v>
      </c>
      <c r="C249" s="507">
        <v>40</v>
      </c>
      <c r="D249" s="48" t="s">
        <v>603</v>
      </c>
      <c r="E249" s="48"/>
    </row>
    <row r="250" spans="1:5" ht="14.25" customHeight="1">
      <c r="A250" s="48" t="s">
        <v>138</v>
      </c>
      <c r="B250" s="507">
        <v>80</v>
      </c>
      <c r="C250" s="507">
        <v>40</v>
      </c>
      <c r="D250" s="48" t="s">
        <v>603</v>
      </c>
      <c r="E250" s="48"/>
    </row>
    <row r="251" spans="1:5" ht="14.25" customHeight="1">
      <c r="A251" s="48" t="s">
        <v>137</v>
      </c>
      <c r="B251" s="507">
        <v>80</v>
      </c>
      <c r="C251" s="507">
        <v>40</v>
      </c>
      <c r="D251" s="48" t="s">
        <v>603</v>
      </c>
      <c r="E251" s="48"/>
    </row>
    <row r="252" spans="1:5" ht="14.25" customHeight="1">
      <c r="A252" s="48" t="s">
        <v>101</v>
      </c>
      <c r="B252" s="507">
        <v>80</v>
      </c>
      <c r="C252" s="507">
        <v>0</v>
      </c>
      <c r="D252" s="48" t="s">
        <v>603</v>
      </c>
      <c r="E252" s="48"/>
    </row>
    <row r="253" spans="1:5" ht="14.25" customHeight="1">
      <c r="A253" s="48" t="s">
        <v>139</v>
      </c>
      <c r="B253" s="507">
        <v>80</v>
      </c>
      <c r="C253" s="507">
        <v>40</v>
      </c>
      <c r="D253" s="48" t="s">
        <v>603</v>
      </c>
      <c r="E253" s="48"/>
    </row>
    <row r="254" spans="1:5" ht="14.25" customHeight="1">
      <c r="A254" s="48" t="s">
        <v>140</v>
      </c>
      <c r="B254" s="507">
        <v>80</v>
      </c>
      <c r="C254" s="507">
        <v>40</v>
      </c>
      <c r="D254" s="48" t="s">
        <v>603</v>
      </c>
      <c r="E254" s="48"/>
    </row>
    <row r="255" spans="1:5" ht="14.25" customHeight="1">
      <c r="A255" s="48" t="s">
        <v>141</v>
      </c>
      <c r="B255" s="507">
        <v>0</v>
      </c>
      <c r="C255" s="507">
        <v>40</v>
      </c>
      <c r="D255" s="48" t="s">
        <v>603</v>
      </c>
      <c r="E255" s="48"/>
    </row>
    <row r="256" spans="1:5" ht="14.25" customHeight="1">
      <c r="A256" s="48" t="s">
        <v>142</v>
      </c>
      <c r="B256" s="507">
        <v>144</v>
      </c>
      <c r="C256" s="507">
        <v>0</v>
      </c>
      <c r="D256" s="48" t="s">
        <v>603</v>
      </c>
      <c r="E256" s="48"/>
    </row>
    <row r="257" spans="1:5" ht="14.4" thickBot="1">
      <c r="A257" s="73"/>
      <c r="B257" s="73"/>
      <c r="C257" s="73"/>
      <c r="D257" s="73"/>
      <c r="E257" s="73"/>
    </row>
    <row r="258" spans="1:5" ht="14.4">
      <c r="A258" s="68" t="s">
        <v>244</v>
      </c>
      <c r="B258" s="48" t="s">
        <v>614</v>
      </c>
      <c r="C258" s="48"/>
      <c r="D258" s="48"/>
    </row>
    <row r="259" spans="1:5">
      <c r="A259" s="69" t="s">
        <v>245</v>
      </c>
      <c r="B259" s="69" t="s">
        <v>31</v>
      </c>
      <c r="C259" s="69" t="s">
        <v>606</v>
      </c>
      <c r="D259" s="48"/>
      <c r="E259" s="48"/>
    </row>
    <row r="260" spans="1:5">
      <c r="A260" s="48" t="s">
        <v>247</v>
      </c>
      <c r="B260" s="507">
        <v>15</v>
      </c>
      <c r="C260" s="46" t="s">
        <v>607</v>
      </c>
      <c r="D260" s="48"/>
      <c r="E260" s="48"/>
    </row>
    <row r="261" spans="1:5">
      <c r="A261" s="48" t="s">
        <v>248</v>
      </c>
      <c r="B261" s="507">
        <v>30</v>
      </c>
      <c r="C261" s="46" t="s">
        <v>613</v>
      </c>
      <c r="D261" s="48"/>
      <c r="E261" s="48"/>
    </row>
    <row r="262" spans="1:5">
      <c r="A262" s="69" t="s">
        <v>246</v>
      </c>
      <c r="B262" s="508" t="s">
        <v>31</v>
      </c>
      <c r="C262" s="69" t="s">
        <v>606</v>
      </c>
      <c r="D262" s="48"/>
      <c r="E262" s="48"/>
    </row>
    <row r="263" spans="1:5">
      <c r="A263" s="48" t="s">
        <v>249</v>
      </c>
      <c r="B263" s="507">
        <v>0</v>
      </c>
      <c r="C263" s="48" t="s">
        <v>272</v>
      </c>
      <c r="E263" s="48"/>
    </row>
    <row r="264" spans="1:5">
      <c r="A264" s="48" t="s">
        <v>612</v>
      </c>
      <c r="B264" s="507">
        <v>30</v>
      </c>
      <c r="C264" s="46" t="s">
        <v>607</v>
      </c>
      <c r="D264" s="48"/>
      <c r="E264" s="48"/>
    </row>
    <row r="265" spans="1:5">
      <c r="A265" s="48" t="s">
        <v>611</v>
      </c>
      <c r="B265" s="507">
        <v>20</v>
      </c>
      <c r="C265" s="46" t="s">
        <v>607</v>
      </c>
      <c r="E265" s="48"/>
    </row>
    <row r="266" spans="1:5">
      <c r="A266" s="48" t="s">
        <v>269</v>
      </c>
      <c r="B266" s="507">
        <v>40</v>
      </c>
      <c r="C266" s="46" t="s">
        <v>607</v>
      </c>
      <c r="E266" s="48"/>
    </row>
    <row r="267" spans="1:5">
      <c r="A267" s="48" t="s">
        <v>250</v>
      </c>
      <c r="B267" s="507">
        <v>0</v>
      </c>
      <c r="C267" s="48" t="s">
        <v>272</v>
      </c>
      <c r="E267" s="48"/>
    </row>
    <row r="268" spans="1:5">
      <c r="A268" s="48" t="s">
        <v>251</v>
      </c>
      <c r="B268" s="507">
        <v>0</v>
      </c>
      <c r="C268" s="48" t="s">
        <v>272</v>
      </c>
      <c r="E268" s="48"/>
    </row>
    <row r="269" spans="1:5">
      <c r="A269" s="48" t="s">
        <v>252</v>
      </c>
      <c r="B269" s="507">
        <v>0</v>
      </c>
      <c r="C269" s="48" t="s">
        <v>272</v>
      </c>
      <c r="D269" s="48"/>
      <c r="E269" s="48"/>
    </row>
    <row r="270" spans="1:5">
      <c r="A270" s="48" t="s">
        <v>610</v>
      </c>
      <c r="B270" s="507">
        <v>0</v>
      </c>
      <c r="C270" s="48" t="s">
        <v>272</v>
      </c>
      <c r="D270" s="48"/>
      <c r="E270" s="48"/>
    </row>
    <row r="271" spans="1:5">
      <c r="A271" s="48" t="s">
        <v>253</v>
      </c>
      <c r="B271" s="507">
        <v>50</v>
      </c>
      <c r="C271" s="46" t="s">
        <v>607</v>
      </c>
      <c r="D271" s="48"/>
      <c r="E271" s="48"/>
    </row>
    <row r="272" spans="1:5">
      <c r="A272" s="48" t="s">
        <v>254</v>
      </c>
      <c r="B272" s="507">
        <v>22</v>
      </c>
      <c r="C272" s="46" t="s">
        <v>607</v>
      </c>
      <c r="D272" s="48"/>
      <c r="E272" s="48"/>
    </row>
    <row r="273" spans="1:5">
      <c r="A273" s="48" t="s">
        <v>255</v>
      </c>
      <c r="B273" s="507">
        <v>35</v>
      </c>
      <c r="C273" s="46" t="s">
        <v>607</v>
      </c>
      <c r="D273" s="48"/>
      <c r="E273" s="48"/>
    </row>
    <row r="274" spans="1:5">
      <c r="A274" s="48" t="s">
        <v>256</v>
      </c>
      <c r="B274" s="507">
        <v>30</v>
      </c>
      <c r="C274" s="46" t="s">
        <v>607</v>
      </c>
      <c r="D274" s="48"/>
      <c r="E274" s="48"/>
    </row>
    <row r="275" spans="1:5">
      <c r="A275" s="48" t="s">
        <v>257</v>
      </c>
      <c r="B275" s="507">
        <v>20</v>
      </c>
      <c r="C275" s="46" t="s">
        <v>607</v>
      </c>
      <c r="D275" s="48"/>
      <c r="E275" s="48"/>
    </row>
    <row r="276" spans="1:5">
      <c r="A276" s="48" t="s">
        <v>258</v>
      </c>
      <c r="B276" s="507">
        <v>30</v>
      </c>
      <c r="C276" s="46" t="s">
        <v>607</v>
      </c>
      <c r="D276" s="48"/>
      <c r="E276" s="48"/>
    </row>
    <row r="277" spans="1:5">
      <c r="A277" s="48" t="s">
        <v>259</v>
      </c>
      <c r="B277" s="507">
        <v>40</v>
      </c>
      <c r="C277" s="46" t="s">
        <v>607</v>
      </c>
      <c r="D277" s="48"/>
      <c r="E277" s="48"/>
    </row>
    <row r="278" spans="1:5">
      <c r="A278" s="48" t="s">
        <v>260</v>
      </c>
      <c r="B278" s="507">
        <v>30</v>
      </c>
      <c r="C278" s="46" t="s">
        <v>607</v>
      </c>
      <c r="D278" s="48"/>
      <c r="E278" s="48"/>
    </row>
    <row r="279" spans="1:5">
      <c r="A279" s="48" t="s">
        <v>261</v>
      </c>
      <c r="B279" s="507">
        <v>30</v>
      </c>
      <c r="C279" s="46" t="s">
        <v>607</v>
      </c>
      <c r="D279" s="48"/>
      <c r="E279" s="48"/>
    </row>
    <row r="280" spans="1:5">
      <c r="A280" s="48" t="s">
        <v>609</v>
      </c>
      <c r="B280" s="507">
        <v>20</v>
      </c>
      <c r="C280" s="46" t="s">
        <v>607</v>
      </c>
      <c r="E280" s="48"/>
    </row>
    <row r="281" spans="1:5">
      <c r="A281" s="48" t="s">
        <v>267</v>
      </c>
      <c r="B281" s="507">
        <v>30</v>
      </c>
      <c r="C281" s="46" t="s">
        <v>607</v>
      </c>
      <c r="E281" s="48"/>
    </row>
    <row r="282" spans="1:5">
      <c r="A282" s="48" t="s">
        <v>268</v>
      </c>
      <c r="B282" s="507">
        <v>50</v>
      </c>
      <c r="C282" s="46" t="s">
        <v>607</v>
      </c>
      <c r="D282" s="48"/>
      <c r="E282" s="48"/>
    </row>
    <row r="283" spans="1:5">
      <c r="A283" s="48" t="s">
        <v>271</v>
      </c>
      <c r="B283" s="507">
        <v>25</v>
      </c>
      <c r="C283" s="46" t="s">
        <v>607</v>
      </c>
      <c r="D283" s="48"/>
      <c r="E283" s="48"/>
    </row>
    <row r="284" spans="1:5">
      <c r="A284" s="48" t="s">
        <v>262</v>
      </c>
      <c r="B284" s="507">
        <v>20</v>
      </c>
      <c r="C284" s="46" t="s">
        <v>607</v>
      </c>
      <c r="D284" s="48"/>
      <c r="E284" s="48"/>
    </row>
    <row r="285" spans="1:5">
      <c r="A285" s="48" t="s">
        <v>263</v>
      </c>
      <c r="B285" s="507">
        <v>20</v>
      </c>
      <c r="C285" s="46" t="s">
        <v>607</v>
      </c>
      <c r="D285" s="48"/>
      <c r="E285" s="48"/>
    </row>
    <row r="286" spans="1:5">
      <c r="A286" s="48" t="s">
        <v>264</v>
      </c>
      <c r="B286" s="507">
        <v>0</v>
      </c>
      <c r="C286" s="48" t="s">
        <v>272</v>
      </c>
      <c r="D286" s="48"/>
      <c r="E286" s="48"/>
    </row>
    <row r="287" spans="1:5">
      <c r="A287" s="48" t="s">
        <v>265</v>
      </c>
      <c r="B287" s="507">
        <v>0</v>
      </c>
      <c r="C287" s="48" t="s">
        <v>272</v>
      </c>
      <c r="E287" s="48"/>
    </row>
    <row r="288" spans="1:5">
      <c r="A288" s="48" t="s">
        <v>266</v>
      </c>
      <c r="B288" s="507">
        <v>30</v>
      </c>
      <c r="C288" s="46" t="s">
        <v>607</v>
      </c>
      <c r="D288" s="48"/>
      <c r="E288" s="48"/>
    </row>
    <row r="289" spans="1:5">
      <c r="A289" s="48" t="s">
        <v>270</v>
      </c>
      <c r="B289" s="507">
        <v>0</v>
      </c>
      <c r="C289" s="48" t="s">
        <v>272</v>
      </c>
      <c r="D289" s="48"/>
      <c r="E289" s="48"/>
    </row>
    <row r="290" spans="1:5">
      <c r="A290" s="48" t="s">
        <v>608</v>
      </c>
      <c r="B290" s="507">
        <v>20</v>
      </c>
      <c r="C290" s="46" t="s">
        <v>607</v>
      </c>
      <c r="D290" s="48"/>
      <c r="E290" s="48"/>
    </row>
    <row r="291" spans="1:5">
      <c r="A291" s="69" t="s">
        <v>273</v>
      </c>
      <c r="B291" s="508" t="s">
        <v>31</v>
      </c>
      <c r="C291" s="69" t="s">
        <v>606</v>
      </c>
      <c r="D291" s="48"/>
      <c r="E291" s="48"/>
    </row>
    <row r="292" spans="1:5">
      <c r="A292" s="48" t="s">
        <v>274</v>
      </c>
      <c r="B292" s="507">
        <v>100</v>
      </c>
      <c r="C292" s="46" t="s">
        <v>605</v>
      </c>
      <c r="D292" s="48"/>
      <c r="E292" s="48"/>
    </row>
    <row r="293" spans="1:5">
      <c r="A293" s="48" t="s">
        <v>275</v>
      </c>
      <c r="B293" s="507">
        <v>100</v>
      </c>
      <c r="C293" s="46" t="s">
        <v>604</v>
      </c>
      <c r="D293" s="48"/>
      <c r="E293" s="48"/>
    </row>
    <row r="294" spans="1:5">
      <c r="A294" s="48" t="s">
        <v>276</v>
      </c>
      <c r="B294" s="507">
        <v>65</v>
      </c>
      <c r="C294" s="48" t="s">
        <v>603</v>
      </c>
      <c r="D294" s="48"/>
      <c r="E294" s="48"/>
    </row>
    <row r="295" spans="1:5">
      <c r="A295" s="48"/>
      <c r="B295" s="507"/>
      <c r="C295" s="48"/>
      <c r="D295" s="48"/>
      <c r="E295" s="48"/>
    </row>
    <row r="296" spans="1:5">
      <c r="A296" s="69" t="s">
        <v>873</v>
      </c>
      <c r="B296" s="48" t="s">
        <v>874</v>
      </c>
      <c r="C296" s="48"/>
      <c r="D296" s="48"/>
      <c r="E296" s="48"/>
    </row>
    <row r="297" spans="1:5">
      <c r="A297" s="554" t="s">
        <v>875</v>
      </c>
      <c r="B297" s="554" t="s">
        <v>879</v>
      </c>
      <c r="C297" s="554" t="s">
        <v>876</v>
      </c>
      <c r="D297" s="48"/>
      <c r="E297" s="48"/>
    </row>
    <row r="298" spans="1:5">
      <c r="A298" s="48" t="s">
        <v>877</v>
      </c>
      <c r="B298" s="553">
        <v>9168</v>
      </c>
      <c r="C298" s="553">
        <v>764</v>
      </c>
      <c r="D298" s="48"/>
      <c r="E298" s="48"/>
    </row>
    <row r="299" spans="1:5">
      <c r="A299" s="48" t="s">
        <v>878</v>
      </c>
      <c r="B299" s="553">
        <v>12840</v>
      </c>
      <c r="C299" s="553">
        <v>1070</v>
      </c>
      <c r="D299" s="48"/>
      <c r="E299" s="48"/>
    </row>
    <row r="300" spans="1:5">
      <c r="A300" s="48" t="s">
        <v>880</v>
      </c>
      <c r="B300" s="553">
        <v>24324</v>
      </c>
      <c r="C300" s="553">
        <v>2027</v>
      </c>
      <c r="D300" s="48"/>
    </row>
    <row r="301" spans="1:5">
      <c r="A301" s="1035" t="s">
        <v>881</v>
      </c>
      <c r="B301" s="1035"/>
      <c r="C301" s="1035"/>
      <c r="D301" s="48"/>
      <c r="E301" s="48"/>
    </row>
    <row r="302" spans="1:5">
      <c r="A302" s="225">
        <v>0</v>
      </c>
      <c r="B302" s="553">
        <v>48432</v>
      </c>
      <c r="C302" s="553">
        <v>4036</v>
      </c>
      <c r="D302" s="48"/>
    </row>
    <row r="303" spans="1:5">
      <c r="A303" s="225">
        <v>1</v>
      </c>
      <c r="B303" s="553">
        <v>48804</v>
      </c>
      <c r="C303" s="553">
        <v>4067</v>
      </c>
      <c r="D303" s="48"/>
    </row>
    <row r="304" spans="1:5">
      <c r="A304" s="225">
        <v>2</v>
      </c>
      <c r="B304" s="553">
        <v>49188</v>
      </c>
      <c r="C304" s="553">
        <v>4099</v>
      </c>
      <c r="D304" s="48"/>
    </row>
    <row r="305" spans="1:5">
      <c r="A305" s="225">
        <v>3</v>
      </c>
      <c r="B305" s="553">
        <v>51324</v>
      </c>
      <c r="C305" s="553">
        <v>4277</v>
      </c>
      <c r="D305" s="48"/>
    </row>
    <row r="306" spans="1:5">
      <c r="A306" s="225">
        <v>4</v>
      </c>
      <c r="B306" s="553">
        <v>53184</v>
      </c>
      <c r="C306" s="553">
        <v>4432</v>
      </c>
      <c r="D306" s="48"/>
    </row>
    <row r="307" spans="1:5">
      <c r="A307" s="225">
        <v>5</v>
      </c>
      <c r="B307" s="553">
        <v>55308</v>
      </c>
      <c r="C307" s="553">
        <v>4609</v>
      </c>
      <c r="D307" s="48"/>
    </row>
    <row r="308" spans="1:5">
      <c r="A308" s="225">
        <v>6</v>
      </c>
      <c r="B308" s="553">
        <v>57528</v>
      </c>
      <c r="C308" s="553">
        <v>4794</v>
      </c>
      <c r="D308" s="48"/>
    </row>
    <row r="309" spans="1:5">
      <c r="A309" s="225" t="s">
        <v>882</v>
      </c>
      <c r="B309" s="553">
        <v>59736</v>
      </c>
      <c r="C309" s="553">
        <v>4978</v>
      </c>
      <c r="D309" s="48"/>
    </row>
    <row r="310" spans="1:5">
      <c r="A310" s="555"/>
      <c r="B310" s="555"/>
      <c r="C310" s="555"/>
      <c r="D310" s="48"/>
      <c r="E310" s="48"/>
    </row>
    <row r="311" spans="1:5">
      <c r="A311" s="387" t="s">
        <v>885</v>
      </c>
      <c r="B311" s="48"/>
      <c r="C311" s="48"/>
      <c r="D311" s="48"/>
      <c r="E311" s="48"/>
    </row>
    <row r="312" spans="1:5">
      <c r="A312" s="48"/>
      <c r="B312" s="48" t="s">
        <v>36</v>
      </c>
      <c r="C312" s="48" t="s">
        <v>886</v>
      </c>
      <c r="D312" s="48"/>
      <c r="E312" s="48"/>
    </row>
    <row r="313" spans="1:5">
      <c r="A313" s="387" t="s">
        <v>887</v>
      </c>
      <c r="B313" s="553">
        <v>18689</v>
      </c>
      <c r="C313" s="553">
        <v>74757</v>
      </c>
      <c r="D313" s="48"/>
      <c r="E313" s="48"/>
    </row>
    <row r="314" spans="1:5">
      <c r="A314" s="387" t="s">
        <v>888</v>
      </c>
      <c r="B314" s="553">
        <v>4672</v>
      </c>
      <c r="C314" s="553">
        <v>18688</v>
      </c>
      <c r="D314" s="48"/>
      <c r="E314" s="48"/>
    </row>
    <row r="315" spans="1:5">
      <c r="A315" s="387" t="s">
        <v>889</v>
      </c>
      <c r="B315" s="553">
        <v>3867</v>
      </c>
      <c r="C315" s="553">
        <v>15468</v>
      </c>
      <c r="D315" s="48"/>
      <c r="E315" s="48"/>
    </row>
    <row r="316" spans="1:5">
      <c r="A316" s="387" t="s">
        <v>890</v>
      </c>
      <c r="B316" s="553">
        <v>14822</v>
      </c>
      <c r="C316" s="553">
        <v>59289</v>
      </c>
      <c r="D316" s="48"/>
      <c r="E316" s="48"/>
    </row>
    <row r="317" spans="1:5">
      <c r="A317" s="387" t="s">
        <v>891</v>
      </c>
      <c r="B317" s="553">
        <v>805</v>
      </c>
      <c r="C317" s="553">
        <v>3220</v>
      </c>
      <c r="D317" s="48"/>
      <c r="E317" s="48"/>
    </row>
    <row r="318" spans="1:5">
      <c r="A318" s="387"/>
      <c r="B318" s="48"/>
      <c r="C318" s="48"/>
      <c r="D318" s="48"/>
      <c r="E318" s="48"/>
    </row>
    <row r="319" spans="1:5">
      <c r="A319" s="387"/>
      <c r="B319" s="48" t="s">
        <v>892</v>
      </c>
      <c r="C319" s="48" t="s">
        <v>886</v>
      </c>
      <c r="D319" s="48"/>
      <c r="E319" s="48"/>
    </row>
    <row r="320" spans="1:5">
      <c r="A320" s="387" t="s">
        <v>893</v>
      </c>
      <c r="B320" s="553">
        <v>2737</v>
      </c>
      <c r="C320" s="553">
        <v>32844</v>
      </c>
      <c r="D320" s="48"/>
      <c r="E320" s="48"/>
    </row>
    <row r="321" spans="1:5">
      <c r="A321" s="48"/>
      <c r="B321" s="48"/>
      <c r="C321" s="48"/>
      <c r="D321" s="48"/>
      <c r="E321" s="48"/>
    </row>
    <row r="322" spans="1:5">
      <c r="A322" s="48"/>
      <c r="B322" s="48"/>
      <c r="C322" s="48"/>
      <c r="D322" s="48"/>
      <c r="E322" s="48"/>
    </row>
    <row r="323" spans="1:5">
      <c r="A323" s="48"/>
      <c r="B323" s="48"/>
      <c r="C323" s="48"/>
      <c r="D323" s="48"/>
      <c r="E323" s="48"/>
    </row>
    <row r="324" spans="1:5">
      <c r="A324" s="48"/>
      <c r="B324" s="48"/>
      <c r="C324" s="48"/>
      <c r="D324" s="48"/>
      <c r="E324" s="48"/>
    </row>
    <row r="325" spans="1:5">
      <c r="A325" s="48"/>
      <c r="B325" s="48"/>
      <c r="C325" s="48"/>
      <c r="D325" s="48"/>
      <c r="E325" s="48"/>
    </row>
    <row r="326" spans="1:5">
      <c r="A326" s="48"/>
      <c r="B326" s="48"/>
      <c r="C326" s="48"/>
      <c r="D326" s="48"/>
      <c r="E326" s="48"/>
    </row>
    <row r="327" spans="1:5">
      <c r="A327" s="48"/>
      <c r="B327" s="48"/>
      <c r="C327" s="48"/>
      <c r="D327" s="48"/>
      <c r="E327" s="48"/>
    </row>
    <row r="328" spans="1:5">
      <c r="A328" s="48"/>
      <c r="B328" s="48"/>
      <c r="C328" s="48"/>
      <c r="D328" s="48"/>
      <c r="E328" s="48"/>
    </row>
    <row r="329" spans="1:5">
      <c r="A329" s="48"/>
      <c r="B329" s="48"/>
      <c r="C329" s="48"/>
      <c r="D329" s="48"/>
      <c r="E329" s="48"/>
    </row>
    <row r="330" spans="1:5">
      <c r="A330" s="48"/>
      <c r="B330" s="48"/>
      <c r="C330" s="48"/>
      <c r="D330" s="48"/>
      <c r="E330" s="48"/>
    </row>
    <row r="331" spans="1:5">
      <c r="A331" s="48"/>
      <c r="B331" s="48"/>
      <c r="C331" s="48"/>
      <c r="D331" s="48"/>
      <c r="E331" s="48"/>
    </row>
    <row r="332" spans="1:5">
      <c r="A332" s="48"/>
      <c r="B332" s="48"/>
      <c r="C332" s="48"/>
      <c r="D332" s="48"/>
      <c r="E332" s="48"/>
    </row>
    <row r="333" spans="1:5">
      <c r="A333" s="48"/>
      <c r="B333" s="48"/>
      <c r="C333" s="48"/>
      <c r="D333" s="48"/>
      <c r="E333" s="48"/>
    </row>
    <row r="334" spans="1:5">
      <c r="A334" s="48"/>
      <c r="B334" s="48"/>
      <c r="C334" s="48"/>
      <c r="D334" s="48"/>
      <c r="E334" s="48"/>
    </row>
    <row r="335" spans="1:5">
      <c r="A335" s="48"/>
      <c r="B335" s="48"/>
      <c r="C335" s="48"/>
      <c r="D335" s="48"/>
      <c r="E335" s="48"/>
    </row>
    <row r="336" spans="1:5">
      <c r="A336" s="48"/>
      <c r="B336" s="48"/>
      <c r="C336" s="48"/>
      <c r="D336" s="48"/>
      <c r="E336" s="48"/>
    </row>
    <row r="337" spans="1:5">
      <c r="A337" s="48"/>
      <c r="B337" s="48"/>
      <c r="C337" s="48"/>
      <c r="D337" s="48"/>
      <c r="E337" s="48"/>
    </row>
    <row r="338" spans="1:5">
      <c r="A338" s="48"/>
      <c r="B338" s="48"/>
      <c r="C338" s="48"/>
      <c r="D338" s="48"/>
      <c r="E338" s="48"/>
    </row>
    <row r="339" spans="1:5">
      <c r="A339" s="48"/>
      <c r="B339" s="48"/>
      <c r="C339" s="48"/>
      <c r="D339" s="48"/>
      <c r="E339" s="48"/>
    </row>
    <row r="340" spans="1:5">
      <c r="A340" s="48"/>
      <c r="B340" s="48"/>
      <c r="C340" s="48"/>
      <c r="D340" s="48"/>
      <c r="E340" s="48"/>
    </row>
    <row r="341" spans="1:5">
      <c r="A341" s="48"/>
      <c r="B341" s="48"/>
      <c r="C341" s="48"/>
      <c r="D341" s="48"/>
      <c r="E341" s="48"/>
    </row>
    <row r="342" spans="1:5">
      <c r="A342" s="48"/>
      <c r="B342" s="48"/>
      <c r="C342" s="48"/>
      <c r="D342" s="48"/>
      <c r="E342" s="48"/>
    </row>
    <row r="343" spans="1:5">
      <c r="A343" s="48"/>
      <c r="B343" s="48"/>
      <c r="C343" s="48"/>
      <c r="D343" s="48"/>
      <c r="E343" s="48"/>
    </row>
    <row r="344" spans="1:5">
      <c r="A344" s="48"/>
      <c r="B344" s="48"/>
      <c r="C344" s="48"/>
      <c r="D344" s="48"/>
      <c r="E344" s="48"/>
    </row>
    <row r="345" spans="1:5">
      <c r="A345" s="48"/>
      <c r="B345" s="48"/>
      <c r="C345" s="48"/>
      <c r="D345" s="48"/>
      <c r="E345" s="48"/>
    </row>
    <row r="346" spans="1:5">
      <c r="A346" s="48"/>
      <c r="B346" s="48"/>
      <c r="C346" s="48"/>
      <c r="D346" s="48"/>
      <c r="E346" s="48"/>
    </row>
    <row r="347" spans="1:5">
      <c r="A347" s="48"/>
      <c r="B347" s="48"/>
      <c r="C347" s="48"/>
      <c r="D347" s="48"/>
      <c r="E347" s="48"/>
    </row>
    <row r="348" spans="1:5">
      <c r="A348" s="48"/>
      <c r="B348" s="48"/>
      <c r="C348" s="48"/>
      <c r="D348" s="48"/>
      <c r="E348" s="48"/>
    </row>
    <row r="349" spans="1:5">
      <c r="A349" s="48"/>
      <c r="B349" s="48"/>
      <c r="C349" s="48"/>
      <c r="D349" s="48"/>
      <c r="E349" s="48"/>
    </row>
    <row r="350" spans="1:5">
      <c r="A350" s="48"/>
      <c r="B350" s="48"/>
      <c r="C350" s="48"/>
      <c r="D350" s="48"/>
      <c r="E350" s="48"/>
    </row>
    <row r="351" spans="1:5">
      <c r="A351" s="48"/>
      <c r="B351" s="48"/>
      <c r="C351" s="48"/>
      <c r="D351" s="48"/>
      <c r="E351" s="48"/>
    </row>
    <row r="352" spans="1:5">
      <c r="A352" s="48"/>
      <c r="B352" s="48"/>
      <c r="C352" s="48"/>
      <c r="D352" s="48"/>
      <c r="E352" s="48"/>
    </row>
    <row r="353" spans="1:5">
      <c r="A353" s="48"/>
      <c r="B353" s="48"/>
      <c r="C353" s="48"/>
      <c r="D353" s="48"/>
      <c r="E353" s="48"/>
    </row>
    <row r="354" spans="1:5">
      <c r="A354" s="48"/>
      <c r="B354" s="48"/>
      <c r="C354" s="48"/>
      <c r="D354" s="48"/>
      <c r="E354" s="48"/>
    </row>
    <row r="355" spans="1:5">
      <c r="A355" s="48"/>
      <c r="B355" s="48"/>
      <c r="C355" s="48"/>
      <c r="D355" s="48"/>
      <c r="E355" s="48"/>
    </row>
    <row r="356" spans="1:5">
      <c r="A356" s="48"/>
      <c r="B356" s="48"/>
      <c r="C356" s="48"/>
      <c r="D356" s="48"/>
      <c r="E356" s="48"/>
    </row>
    <row r="357" spans="1:5">
      <c r="A357" s="48"/>
      <c r="B357" s="48"/>
      <c r="C357" s="48"/>
      <c r="D357" s="48"/>
      <c r="E357" s="48"/>
    </row>
    <row r="358" spans="1:5">
      <c r="A358" s="48"/>
      <c r="B358" s="48"/>
      <c r="C358" s="48"/>
      <c r="D358" s="48"/>
      <c r="E358" s="48"/>
    </row>
    <row r="359" spans="1:5">
      <c r="A359" s="48"/>
      <c r="B359" s="48"/>
      <c r="C359" s="48"/>
      <c r="D359" s="48"/>
      <c r="E359" s="48"/>
    </row>
    <row r="360" spans="1:5">
      <c r="A360" s="48"/>
      <c r="B360" s="48"/>
      <c r="C360" s="48"/>
      <c r="D360" s="48"/>
      <c r="E360" s="48"/>
    </row>
    <row r="361" spans="1:5">
      <c r="A361" s="48"/>
      <c r="B361" s="48"/>
      <c r="C361" s="48"/>
      <c r="D361" s="48"/>
      <c r="E361" s="48"/>
    </row>
    <row r="362" spans="1:5">
      <c r="A362" s="48"/>
      <c r="B362" s="48"/>
      <c r="C362" s="48"/>
      <c r="D362" s="48"/>
      <c r="E362" s="48"/>
    </row>
    <row r="363" spans="1:5">
      <c r="A363" s="48"/>
      <c r="B363" s="48"/>
      <c r="C363" s="48"/>
      <c r="D363" s="48"/>
      <c r="E363" s="48"/>
    </row>
    <row r="364" spans="1:5">
      <c r="A364" s="48"/>
      <c r="B364" s="48"/>
      <c r="C364" s="48"/>
      <c r="D364" s="48"/>
      <c r="E364" s="48"/>
    </row>
    <row r="365" spans="1:5">
      <c r="A365" s="48"/>
      <c r="B365" s="48"/>
      <c r="C365" s="48"/>
      <c r="D365" s="48"/>
      <c r="E365" s="48"/>
    </row>
    <row r="366" spans="1:5">
      <c r="A366" s="48"/>
      <c r="B366" s="48"/>
      <c r="C366" s="48"/>
      <c r="D366" s="48"/>
      <c r="E366" s="48"/>
    </row>
    <row r="367" spans="1:5">
      <c r="A367" s="48"/>
      <c r="B367" s="48"/>
      <c r="C367" s="48"/>
      <c r="D367" s="48"/>
      <c r="E367" s="48"/>
    </row>
    <row r="368" spans="1:5">
      <c r="A368" s="48"/>
      <c r="B368" s="48"/>
      <c r="C368" s="48"/>
      <c r="D368" s="48"/>
      <c r="E368" s="48"/>
    </row>
    <row r="369" spans="1:5">
      <c r="A369" s="48"/>
      <c r="B369" s="48"/>
      <c r="C369" s="48"/>
      <c r="D369" s="48"/>
      <c r="E369" s="48"/>
    </row>
    <row r="370" spans="1:5">
      <c r="A370" s="48"/>
      <c r="B370" s="48"/>
      <c r="C370" s="48"/>
      <c r="D370" s="48"/>
      <c r="E370" s="48"/>
    </row>
    <row r="371" spans="1:5">
      <c r="A371" s="48"/>
      <c r="B371" s="48"/>
      <c r="C371" s="48"/>
      <c r="D371" s="48"/>
      <c r="E371" s="48"/>
    </row>
    <row r="372" spans="1:5">
      <c r="A372" s="48"/>
      <c r="B372" s="48"/>
      <c r="C372" s="48"/>
      <c r="D372" s="48"/>
      <c r="E372" s="48"/>
    </row>
    <row r="373" spans="1:5">
      <c r="A373" s="48"/>
      <c r="B373" s="48"/>
      <c r="C373" s="48"/>
      <c r="D373" s="48"/>
      <c r="E373" s="48"/>
    </row>
    <row r="374" spans="1:5">
      <c r="A374" s="48"/>
      <c r="B374" s="48"/>
      <c r="C374" s="48"/>
      <c r="D374" s="48"/>
      <c r="E374" s="48"/>
    </row>
    <row r="375" spans="1:5">
      <c r="A375" s="48"/>
      <c r="B375" s="48"/>
      <c r="C375" s="48"/>
      <c r="D375" s="48"/>
      <c r="E375" s="48"/>
    </row>
    <row r="376" spans="1:5">
      <c r="A376" s="48"/>
      <c r="B376" s="48"/>
      <c r="C376" s="48"/>
      <c r="D376" s="48"/>
      <c r="E376" s="48"/>
    </row>
    <row r="377" spans="1:5">
      <c r="A377" s="48"/>
      <c r="B377" s="48"/>
      <c r="C377" s="48"/>
      <c r="D377" s="48"/>
      <c r="E377" s="48"/>
    </row>
    <row r="378" spans="1:5">
      <c r="A378" s="48"/>
      <c r="B378" s="48"/>
      <c r="C378" s="48"/>
      <c r="D378" s="48"/>
      <c r="E378" s="48"/>
    </row>
    <row r="379" spans="1:5">
      <c r="A379" s="48"/>
      <c r="B379" s="48"/>
      <c r="C379" s="48"/>
      <c r="D379" s="48"/>
      <c r="E379" s="48"/>
    </row>
    <row r="380" spans="1:5">
      <c r="A380" s="48"/>
      <c r="B380" s="48"/>
      <c r="C380" s="48"/>
      <c r="D380" s="48"/>
      <c r="E380" s="48"/>
    </row>
    <row r="381" spans="1:5">
      <c r="A381" s="48"/>
      <c r="B381" s="48"/>
      <c r="C381" s="48"/>
      <c r="D381" s="48"/>
      <c r="E381" s="48"/>
    </row>
    <row r="382" spans="1:5">
      <c r="A382" s="48"/>
      <c r="B382" s="48"/>
      <c r="C382" s="48"/>
      <c r="D382" s="48"/>
      <c r="E382" s="48"/>
    </row>
    <row r="383" spans="1:5">
      <c r="A383" s="48"/>
      <c r="B383" s="48"/>
      <c r="C383" s="48"/>
      <c r="D383" s="48"/>
      <c r="E383" s="48"/>
    </row>
    <row r="384" spans="1:5">
      <c r="A384" s="48"/>
      <c r="B384" s="48"/>
      <c r="C384" s="48"/>
      <c r="D384" s="48"/>
      <c r="E384" s="48"/>
    </row>
    <row r="385" spans="1:5">
      <c r="A385" s="48"/>
      <c r="B385" s="48"/>
      <c r="C385" s="48"/>
      <c r="D385" s="48"/>
      <c r="E385" s="48"/>
    </row>
    <row r="386" spans="1:5">
      <c r="A386" s="48"/>
      <c r="B386" s="48"/>
      <c r="C386" s="48"/>
      <c r="D386" s="48"/>
      <c r="E386" s="48"/>
    </row>
    <row r="387" spans="1:5">
      <c r="A387" s="48"/>
      <c r="B387" s="48"/>
      <c r="C387" s="48"/>
      <c r="D387" s="48"/>
      <c r="E387" s="48"/>
    </row>
    <row r="388" spans="1:5">
      <c r="A388" s="48"/>
      <c r="B388" s="48"/>
      <c r="C388" s="48"/>
      <c r="D388" s="48"/>
      <c r="E388" s="48"/>
    </row>
    <row r="389" spans="1:5">
      <c r="A389" s="48"/>
      <c r="B389" s="48"/>
      <c r="C389" s="48"/>
      <c r="D389" s="48"/>
      <c r="E389" s="48"/>
    </row>
    <row r="390" spans="1:5">
      <c r="A390" s="48"/>
      <c r="B390" s="48"/>
      <c r="C390" s="48"/>
      <c r="D390" s="48"/>
      <c r="E390" s="48"/>
    </row>
    <row r="391" spans="1:5">
      <c r="A391" s="48"/>
      <c r="B391" s="48"/>
      <c r="C391" s="48"/>
      <c r="D391" s="48"/>
      <c r="E391" s="48"/>
    </row>
    <row r="392" spans="1:5">
      <c r="A392" s="48"/>
      <c r="B392" s="48"/>
      <c r="C392" s="48"/>
      <c r="D392" s="48"/>
      <c r="E392" s="48"/>
    </row>
    <row r="393" spans="1:5">
      <c r="A393" s="48"/>
      <c r="B393" s="48"/>
      <c r="C393" s="48"/>
      <c r="D393" s="48"/>
      <c r="E393" s="48"/>
    </row>
    <row r="394" spans="1:5">
      <c r="A394" s="48"/>
      <c r="B394" s="48"/>
      <c r="C394" s="48"/>
      <c r="D394" s="48"/>
      <c r="E394" s="48"/>
    </row>
    <row r="395" spans="1:5">
      <c r="A395" s="48"/>
      <c r="B395" s="48"/>
      <c r="C395" s="48"/>
      <c r="D395" s="48"/>
      <c r="E395" s="48"/>
    </row>
    <row r="396" spans="1:5">
      <c r="A396" s="48"/>
      <c r="B396" s="48"/>
      <c r="C396" s="48"/>
      <c r="D396" s="48"/>
      <c r="E396" s="48"/>
    </row>
    <row r="397" spans="1:5">
      <c r="A397" s="48"/>
      <c r="B397" s="48"/>
      <c r="C397" s="48"/>
      <c r="D397" s="48"/>
      <c r="E397" s="48"/>
    </row>
    <row r="398" spans="1:5">
      <c r="A398" s="48"/>
      <c r="B398" s="48"/>
      <c r="C398" s="48"/>
      <c r="D398" s="48"/>
      <c r="E398" s="48"/>
    </row>
    <row r="399" spans="1:5">
      <c r="A399" s="48"/>
      <c r="B399" s="48"/>
      <c r="C399" s="48"/>
      <c r="D399" s="48"/>
      <c r="E399" s="48"/>
    </row>
    <row r="400" spans="1:5">
      <c r="A400" s="48"/>
      <c r="B400" s="48"/>
      <c r="C400" s="48"/>
      <c r="D400" s="48"/>
      <c r="E400" s="48"/>
    </row>
    <row r="401" spans="1:5">
      <c r="A401" s="48"/>
      <c r="B401" s="48"/>
      <c r="C401" s="48"/>
      <c r="D401" s="48"/>
      <c r="E401" s="48"/>
    </row>
    <row r="402" spans="1:5">
      <c r="A402" s="48"/>
      <c r="B402" s="48"/>
      <c r="C402" s="48"/>
      <c r="D402" s="48"/>
      <c r="E402" s="48"/>
    </row>
    <row r="403" spans="1:5">
      <c r="A403" s="48"/>
      <c r="B403" s="48"/>
      <c r="C403" s="48"/>
      <c r="D403" s="48"/>
      <c r="E403" s="48"/>
    </row>
    <row r="404" spans="1:5">
      <c r="A404" s="48"/>
      <c r="B404" s="48"/>
      <c r="C404" s="48"/>
      <c r="D404" s="48"/>
      <c r="E404" s="48"/>
    </row>
    <row r="405" spans="1:5">
      <c r="A405" s="48"/>
      <c r="B405" s="48"/>
      <c r="C405" s="48"/>
      <c r="D405" s="48"/>
      <c r="E405" s="48"/>
    </row>
    <row r="406" spans="1:5">
      <c r="A406" s="48"/>
      <c r="B406" s="48"/>
      <c r="C406" s="48"/>
      <c r="D406" s="48"/>
      <c r="E406" s="48"/>
    </row>
    <row r="407" spans="1:5">
      <c r="A407" s="48"/>
      <c r="B407" s="48"/>
      <c r="C407" s="48"/>
      <c r="D407" s="48"/>
      <c r="E407" s="48"/>
    </row>
    <row r="408" spans="1:5">
      <c r="A408" s="48"/>
      <c r="B408" s="48"/>
      <c r="C408" s="48"/>
      <c r="D408" s="48"/>
      <c r="E408" s="48"/>
    </row>
    <row r="409" spans="1:5">
      <c r="A409" s="48"/>
      <c r="B409" s="48"/>
      <c r="C409" s="48"/>
      <c r="D409" s="48"/>
      <c r="E409" s="48"/>
    </row>
    <row r="410" spans="1:5">
      <c r="A410" s="48"/>
      <c r="B410" s="48"/>
      <c r="C410" s="48"/>
      <c r="D410" s="48"/>
      <c r="E410" s="48"/>
    </row>
    <row r="411" spans="1:5">
      <c r="A411" s="48"/>
      <c r="B411" s="48"/>
      <c r="C411" s="48"/>
      <c r="D411" s="48"/>
      <c r="E411" s="48"/>
    </row>
    <row r="412" spans="1:5">
      <c r="A412" s="48"/>
      <c r="B412" s="48"/>
      <c r="C412" s="48"/>
      <c r="D412" s="48"/>
      <c r="E412" s="48"/>
    </row>
    <row r="413" spans="1:5">
      <c r="A413" s="48"/>
      <c r="B413" s="48"/>
      <c r="C413" s="48"/>
      <c r="D413" s="48"/>
      <c r="E413" s="48"/>
    </row>
    <row r="414" spans="1:5">
      <c r="A414" s="48"/>
      <c r="B414" s="48"/>
      <c r="C414" s="48"/>
      <c r="D414" s="48"/>
      <c r="E414" s="48"/>
    </row>
    <row r="415" spans="1:5">
      <c r="A415" s="48"/>
      <c r="B415" s="48"/>
      <c r="C415" s="48"/>
      <c r="D415" s="48"/>
      <c r="E415" s="48"/>
    </row>
    <row r="416" spans="1:5">
      <c r="A416" s="48"/>
      <c r="B416" s="48"/>
      <c r="C416" s="48"/>
      <c r="D416" s="48"/>
      <c r="E416" s="48"/>
    </row>
    <row r="417" spans="1:5">
      <c r="A417" s="48"/>
      <c r="B417" s="48"/>
      <c r="C417" s="48"/>
      <c r="D417" s="48"/>
      <c r="E417" s="48"/>
    </row>
    <row r="418" spans="1:5">
      <c r="A418" s="48"/>
      <c r="B418" s="48"/>
      <c r="C418" s="48"/>
      <c r="D418" s="48"/>
      <c r="E418" s="48"/>
    </row>
    <row r="419" spans="1:5">
      <c r="A419" s="48"/>
      <c r="B419" s="48"/>
      <c r="C419" s="48"/>
      <c r="D419" s="48"/>
      <c r="E419" s="48"/>
    </row>
    <row r="420" spans="1:5">
      <c r="A420" s="48"/>
      <c r="B420" s="48"/>
      <c r="C420" s="48"/>
      <c r="D420" s="48"/>
      <c r="E420" s="48"/>
    </row>
    <row r="421" spans="1:5">
      <c r="A421" s="48"/>
      <c r="B421" s="48"/>
      <c r="C421" s="48"/>
      <c r="D421" s="48"/>
      <c r="E421" s="48"/>
    </row>
    <row r="422" spans="1:5">
      <c r="A422" s="48"/>
      <c r="B422" s="48"/>
      <c r="C422" s="48"/>
      <c r="D422" s="48"/>
      <c r="E422" s="48"/>
    </row>
    <row r="423" spans="1:5">
      <c r="A423" s="48"/>
      <c r="B423" s="48"/>
      <c r="C423" s="48"/>
      <c r="D423" s="48"/>
      <c r="E423" s="48"/>
    </row>
    <row r="424" spans="1:5">
      <c r="A424" s="48"/>
      <c r="B424" s="48"/>
      <c r="C424" s="48"/>
      <c r="D424" s="48"/>
      <c r="E424" s="48"/>
    </row>
    <row r="425" spans="1:5">
      <c r="A425" s="48"/>
      <c r="B425" s="48"/>
      <c r="C425" s="48"/>
      <c r="D425" s="48"/>
      <c r="E425" s="48"/>
    </row>
    <row r="426" spans="1:5">
      <c r="A426" s="48"/>
      <c r="B426" s="48"/>
      <c r="C426" s="48"/>
      <c r="D426" s="48"/>
      <c r="E426" s="48"/>
    </row>
    <row r="427" spans="1:5">
      <c r="A427" s="48"/>
      <c r="B427" s="48"/>
      <c r="C427" s="48"/>
      <c r="D427" s="48"/>
      <c r="E427" s="48"/>
    </row>
    <row r="428" spans="1:5">
      <c r="A428" s="48"/>
      <c r="B428" s="48"/>
      <c r="C428" s="48"/>
      <c r="D428" s="48"/>
      <c r="E428" s="48"/>
    </row>
    <row r="429" spans="1:5">
      <c r="A429" s="48"/>
      <c r="B429" s="48"/>
      <c r="C429" s="48"/>
      <c r="D429" s="48"/>
      <c r="E429" s="48"/>
    </row>
    <row r="430" spans="1:5">
      <c r="A430" s="48"/>
      <c r="B430" s="48"/>
      <c r="C430" s="48"/>
      <c r="D430" s="48"/>
      <c r="E430" s="48"/>
    </row>
    <row r="431" spans="1:5">
      <c r="A431" s="48"/>
      <c r="B431" s="48"/>
      <c r="C431" s="48"/>
      <c r="D431" s="48"/>
      <c r="E431" s="48"/>
    </row>
    <row r="432" spans="1:5">
      <c r="A432" s="48"/>
      <c r="B432" s="48"/>
      <c r="C432" s="48"/>
      <c r="D432" s="48"/>
      <c r="E432" s="48"/>
    </row>
    <row r="433" spans="1:5">
      <c r="A433" s="48"/>
      <c r="B433" s="48"/>
      <c r="C433" s="48"/>
      <c r="D433" s="48"/>
      <c r="E433" s="48"/>
    </row>
    <row r="434" spans="1:5">
      <c r="A434" s="48"/>
      <c r="B434" s="48"/>
      <c r="C434" s="48"/>
      <c r="D434" s="48"/>
      <c r="E434" s="48"/>
    </row>
    <row r="435" spans="1:5">
      <c r="A435" s="48"/>
      <c r="B435" s="48"/>
      <c r="C435" s="48"/>
      <c r="D435" s="48"/>
      <c r="E435" s="48"/>
    </row>
    <row r="436" spans="1:5">
      <c r="A436" s="48"/>
      <c r="B436" s="48"/>
      <c r="C436" s="48"/>
      <c r="D436" s="48"/>
      <c r="E436" s="48"/>
    </row>
    <row r="437" spans="1:5">
      <c r="A437" s="48"/>
      <c r="B437" s="48"/>
      <c r="C437" s="48"/>
      <c r="D437" s="48"/>
      <c r="E437" s="48"/>
    </row>
    <row r="438" spans="1:5">
      <c r="A438" s="48"/>
      <c r="B438" s="48"/>
      <c r="C438" s="48"/>
      <c r="D438" s="48"/>
      <c r="E438" s="48"/>
    </row>
    <row r="439" spans="1:5">
      <c r="A439" s="48"/>
      <c r="B439" s="48"/>
      <c r="C439" s="48"/>
      <c r="D439" s="48"/>
      <c r="E439" s="48"/>
    </row>
    <row r="440" spans="1:5">
      <c r="A440" s="48"/>
      <c r="B440" s="48"/>
      <c r="C440" s="48"/>
      <c r="D440" s="48"/>
      <c r="E440" s="48"/>
    </row>
    <row r="441" spans="1:5">
      <c r="A441" s="48"/>
      <c r="B441" s="48"/>
      <c r="C441" s="48"/>
      <c r="D441" s="48"/>
      <c r="E441" s="48"/>
    </row>
    <row r="442" spans="1:5">
      <c r="A442" s="48"/>
      <c r="B442" s="48"/>
      <c r="C442" s="48"/>
      <c r="D442" s="48"/>
      <c r="E442" s="48"/>
    </row>
    <row r="443" spans="1:5">
      <c r="A443" s="48"/>
      <c r="B443" s="48"/>
      <c r="C443" s="48"/>
      <c r="D443" s="48"/>
      <c r="E443" s="48"/>
    </row>
    <row r="444" spans="1:5">
      <c r="A444" s="48"/>
      <c r="B444" s="48"/>
      <c r="C444" s="48"/>
      <c r="D444" s="48"/>
      <c r="E444" s="48"/>
    </row>
    <row r="445" spans="1:5">
      <c r="A445" s="48"/>
      <c r="B445" s="48"/>
      <c r="C445" s="48"/>
      <c r="D445" s="48"/>
      <c r="E445" s="48"/>
    </row>
    <row r="446" spans="1:5">
      <c r="A446" s="48"/>
      <c r="B446" s="48"/>
      <c r="C446" s="48"/>
      <c r="D446" s="48"/>
      <c r="E446" s="48"/>
    </row>
    <row r="447" spans="1:5">
      <c r="A447" s="48"/>
      <c r="B447" s="48"/>
      <c r="C447" s="48"/>
      <c r="D447" s="48"/>
      <c r="E447" s="48"/>
    </row>
    <row r="448" spans="1:5">
      <c r="A448" s="48"/>
      <c r="B448" s="48"/>
      <c r="C448" s="48"/>
      <c r="D448" s="48"/>
      <c r="E448" s="48"/>
    </row>
    <row r="449" spans="1:5">
      <c r="A449" s="48"/>
      <c r="B449" s="48"/>
      <c r="C449" s="48"/>
      <c r="D449" s="48"/>
      <c r="E449" s="48"/>
    </row>
    <row r="450" spans="1:5">
      <c r="A450" s="48"/>
      <c r="B450" s="48"/>
      <c r="C450" s="48"/>
      <c r="D450" s="48"/>
      <c r="E450" s="48"/>
    </row>
    <row r="451" spans="1:5">
      <c r="A451" s="48"/>
      <c r="B451" s="48"/>
      <c r="C451" s="48"/>
      <c r="D451" s="48"/>
      <c r="E451" s="48"/>
    </row>
    <row r="452" spans="1:5">
      <c r="A452" s="48"/>
      <c r="B452" s="48"/>
      <c r="C452" s="48"/>
      <c r="D452" s="48"/>
      <c r="E452" s="48"/>
    </row>
    <row r="453" spans="1:5">
      <c r="A453" s="48"/>
      <c r="B453" s="48"/>
      <c r="C453" s="48"/>
      <c r="D453" s="48"/>
      <c r="E453" s="48"/>
    </row>
    <row r="454" spans="1:5">
      <c r="A454" s="48"/>
      <c r="B454" s="48"/>
      <c r="C454" s="48"/>
      <c r="D454" s="48"/>
      <c r="E454" s="48"/>
    </row>
    <row r="455" spans="1:5">
      <c r="A455" s="48"/>
      <c r="B455" s="48"/>
      <c r="C455" s="48"/>
      <c r="D455" s="48"/>
      <c r="E455" s="48"/>
    </row>
    <row r="456" spans="1:5">
      <c r="A456" s="48"/>
      <c r="B456" s="48"/>
      <c r="C456" s="48"/>
      <c r="D456" s="48"/>
      <c r="E456" s="48"/>
    </row>
    <row r="457" spans="1:5">
      <c r="A457" s="48"/>
      <c r="B457" s="48"/>
      <c r="C457" s="48"/>
      <c r="D457" s="48"/>
      <c r="E457" s="48"/>
    </row>
    <row r="458" spans="1:5">
      <c r="A458" s="48"/>
      <c r="B458" s="48"/>
      <c r="C458" s="48"/>
      <c r="D458" s="48"/>
      <c r="E458" s="48"/>
    </row>
    <row r="459" spans="1:5">
      <c r="A459" s="48"/>
      <c r="B459" s="48"/>
      <c r="C459" s="48"/>
      <c r="D459" s="48"/>
      <c r="E459" s="48"/>
    </row>
    <row r="460" spans="1:5">
      <c r="A460" s="48"/>
      <c r="B460" s="48"/>
      <c r="C460" s="48"/>
      <c r="D460" s="48"/>
      <c r="E460" s="48"/>
    </row>
    <row r="461" spans="1:5">
      <c r="A461" s="48"/>
      <c r="B461" s="48"/>
      <c r="C461" s="48"/>
      <c r="D461" s="48"/>
      <c r="E461" s="48"/>
    </row>
    <row r="462" spans="1:5">
      <c r="A462" s="48"/>
      <c r="B462" s="48"/>
      <c r="C462" s="48"/>
      <c r="D462" s="48"/>
      <c r="E462" s="48"/>
    </row>
    <row r="463" spans="1:5">
      <c r="A463" s="48"/>
      <c r="B463" s="48"/>
      <c r="C463" s="48"/>
      <c r="D463" s="48"/>
      <c r="E463" s="48"/>
    </row>
    <row r="464" spans="1:5">
      <c r="A464" s="48"/>
      <c r="B464" s="48"/>
      <c r="C464" s="48"/>
      <c r="D464" s="48"/>
      <c r="E464" s="48"/>
    </row>
    <row r="465" spans="1:5">
      <c r="A465" s="48"/>
      <c r="B465" s="48"/>
      <c r="C465" s="48"/>
      <c r="D465" s="48"/>
      <c r="E465" s="48"/>
    </row>
    <row r="466" spans="1:5">
      <c r="A466" s="48"/>
      <c r="B466" s="48"/>
      <c r="C466" s="48"/>
      <c r="D466" s="48"/>
      <c r="E466" s="48"/>
    </row>
    <row r="467" spans="1:5">
      <c r="A467" s="48"/>
      <c r="B467" s="48"/>
      <c r="C467" s="48"/>
      <c r="D467" s="48"/>
      <c r="E467" s="48"/>
    </row>
    <row r="468" spans="1:5">
      <c r="A468" s="48"/>
      <c r="B468" s="48"/>
      <c r="C468" s="48"/>
      <c r="D468" s="48"/>
      <c r="E468" s="48"/>
    </row>
    <row r="469" spans="1:5">
      <c r="A469" s="48"/>
      <c r="B469" s="48"/>
      <c r="C469" s="48"/>
      <c r="D469" s="48"/>
      <c r="E469" s="48"/>
    </row>
    <row r="470" spans="1:5">
      <c r="A470" s="48"/>
      <c r="B470" s="48"/>
      <c r="C470" s="48"/>
      <c r="D470" s="48"/>
      <c r="E470" s="48"/>
    </row>
    <row r="471" spans="1:5">
      <c r="A471" s="48"/>
      <c r="B471" s="48"/>
      <c r="C471" s="48"/>
      <c r="D471" s="48"/>
      <c r="E471" s="48"/>
    </row>
    <row r="472" spans="1:5">
      <c r="A472" s="48"/>
      <c r="B472" s="48"/>
      <c r="C472" s="48"/>
      <c r="D472" s="48"/>
      <c r="E472" s="48"/>
    </row>
    <row r="473" spans="1:5">
      <c r="A473" s="48"/>
      <c r="B473" s="48"/>
      <c r="C473" s="48"/>
      <c r="D473" s="48"/>
      <c r="E473" s="48"/>
    </row>
    <row r="474" spans="1:5">
      <c r="A474" s="48"/>
      <c r="B474" s="48"/>
      <c r="C474" s="48"/>
      <c r="D474" s="48"/>
      <c r="E474" s="48"/>
    </row>
    <row r="475" spans="1:5">
      <c r="A475" s="48"/>
      <c r="B475" s="48"/>
      <c r="C475" s="48"/>
      <c r="D475" s="48"/>
      <c r="E475" s="48"/>
    </row>
    <row r="476" spans="1:5">
      <c r="A476" s="48"/>
      <c r="B476" s="48"/>
      <c r="C476" s="48"/>
      <c r="D476" s="48"/>
      <c r="E476" s="48"/>
    </row>
    <row r="477" spans="1:5">
      <c r="A477" s="48"/>
      <c r="B477" s="48"/>
      <c r="C477" s="48"/>
      <c r="D477" s="48"/>
      <c r="E477" s="48"/>
    </row>
    <row r="478" spans="1:5">
      <c r="A478" s="48"/>
      <c r="B478" s="48"/>
      <c r="C478" s="48"/>
      <c r="D478" s="48"/>
      <c r="E478" s="48"/>
    </row>
    <row r="479" spans="1:5">
      <c r="A479" s="48"/>
      <c r="B479" s="48"/>
      <c r="C479" s="48"/>
      <c r="D479" s="48"/>
      <c r="E479" s="48"/>
    </row>
    <row r="480" spans="1:5">
      <c r="A480" s="48"/>
      <c r="B480" s="48"/>
      <c r="C480" s="48"/>
      <c r="D480" s="48"/>
      <c r="E480" s="48"/>
    </row>
    <row r="481" spans="1:5">
      <c r="A481" s="48"/>
      <c r="B481" s="48"/>
      <c r="C481" s="48"/>
      <c r="D481" s="48"/>
      <c r="E481" s="48"/>
    </row>
    <row r="482" spans="1:5">
      <c r="A482" s="48"/>
      <c r="B482" s="48"/>
      <c r="C482" s="48"/>
      <c r="D482" s="48"/>
      <c r="E482" s="48"/>
    </row>
    <row r="483" spans="1:5">
      <c r="A483" s="48"/>
      <c r="B483" s="48"/>
      <c r="C483" s="48"/>
      <c r="D483" s="48"/>
      <c r="E483" s="48"/>
    </row>
    <row r="484" spans="1:5">
      <c r="A484" s="48"/>
      <c r="B484" s="48"/>
      <c r="C484" s="48"/>
      <c r="D484" s="48"/>
      <c r="E484" s="48"/>
    </row>
    <row r="485" spans="1:5">
      <c r="A485" s="48"/>
      <c r="B485" s="48"/>
      <c r="C485" s="48"/>
      <c r="D485" s="48"/>
      <c r="E485" s="48"/>
    </row>
    <row r="486" spans="1:5">
      <c r="A486" s="48"/>
      <c r="B486" s="48"/>
      <c r="C486" s="48"/>
      <c r="D486" s="48"/>
      <c r="E486" s="48"/>
    </row>
    <row r="487" spans="1:5">
      <c r="A487" s="48"/>
      <c r="B487" s="48"/>
      <c r="C487" s="48"/>
      <c r="D487" s="48"/>
      <c r="E487" s="48"/>
    </row>
    <row r="488" spans="1:5">
      <c r="A488" s="48"/>
      <c r="B488" s="48"/>
      <c r="C488" s="48"/>
      <c r="D488" s="48"/>
      <c r="E488" s="48"/>
    </row>
    <row r="489" spans="1:5">
      <c r="A489" s="48"/>
      <c r="B489" s="48"/>
      <c r="C489" s="48"/>
      <c r="D489" s="48"/>
      <c r="E489" s="48"/>
    </row>
    <row r="490" spans="1:5">
      <c r="A490" s="48"/>
      <c r="B490" s="48"/>
      <c r="C490" s="48"/>
      <c r="D490" s="48"/>
      <c r="E490" s="48"/>
    </row>
    <row r="491" spans="1:5">
      <c r="A491" s="48"/>
      <c r="B491" s="48"/>
      <c r="C491" s="48"/>
      <c r="D491" s="48"/>
      <c r="E491" s="48"/>
    </row>
    <row r="492" spans="1:5">
      <c r="A492" s="48"/>
      <c r="B492" s="48"/>
      <c r="C492" s="48"/>
      <c r="D492" s="48"/>
      <c r="E492" s="48"/>
    </row>
    <row r="493" spans="1:5">
      <c r="A493" s="48"/>
      <c r="B493" s="48"/>
      <c r="C493" s="48"/>
      <c r="D493" s="48"/>
      <c r="E493" s="48"/>
    </row>
    <row r="494" spans="1:5">
      <c r="A494" s="48"/>
      <c r="B494" s="48"/>
      <c r="C494" s="48"/>
      <c r="D494" s="48"/>
      <c r="E494" s="48"/>
    </row>
    <row r="495" spans="1:5">
      <c r="A495" s="48"/>
      <c r="B495" s="48"/>
      <c r="C495" s="48"/>
      <c r="D495" s="48"/>
      <c r="E495" s="48"/>
    </row>
    <row r="496" spans="1:5">
      <c r="A496" s="48"/>
      <c r="B496" s="48"/>
      <c r="C496" s="48"/>
      <c r="D496" s="48"/>
      <c r="E496" s="48"/>
    </row>
    <row r="497" spans="1:5">
      <c r="A497" s="48"/>
      <c r="B497" s="48"/>
      <c r="C497" s="48"/>
      <c r="D497" s="48"/>
      <c r="E497" s="48"/>
    </row>
    <row r="498" spans="1:5">
      <c r="A498" s="48"/>
      <c r="B498" s="48"/>
      <c r="C498" s="48"/>
      <c r="D498" s="48"/>
      <c r="E498" s="48"/>
    </row>
    <row r="499" spans="1:5">
      <c r="A499" s="48"/>
      <c r="B499" s="48"/>
      <c r="C499" s="48"/>
      <c r="D499" s="48"/>
      <c r="E499" s="48"/>
    </row>
    <row r="500" spans="1:5">
      <c r="A500" s="48"/>
      <c r="B500" s="48"/>
      <c r="C500" s="48"/>
      <c r="D500" s="48"/>
      <c r="E500" s="48"/>
    </row>
    <row r="501" spans="1:5">
      <c r="A501" s="48"/>
      <c r="B501" s="48"/>
      <c r="C501" s="48"/>
      <c r="D501" s="48"/>
      <c r="E501" s="48"/>
    </row>
    <row r="502" spans="1:5">
      <c r="A502" s="48"/>
      <c r="B502" s="48"/>
      <c r="C502" s="48"/>
      <c r="D502" s="48"/>
      <c r="E502" s="48"/>
    </row>
    <row r="503" spans="1:5">
      <c r="A503" s="48"/>
      <c r="B503" s="48"/>
      <c r="C503" s="48"/>
      <c r="D503" s="48"/>
      <c r="E503" s="48"/>
    </row>
    <row r="504" spans="1:5">
      <c r="A504" s="48"/>
      <c r="B504" s="48"/>
      <c r="C504" s="48"/>
      <c r="D504" s="48"/>
      <c r="E504" s="48"/>
    </row>
    <row r="505" spans="1:5">
      <c r="A505" s="48"/>
      <c r="B505" s="48"/>
      <c r="C505" s="48"/>
      <c r="D505" s="48"/>
      <c r="E505" s="48"/>
    </row>
    <row r="506" spans="1:5">
      <c r="A506" s="48"/>
      <c r="B506" s="48"/>
      <c r="C506" s="48"/>
      <c r="D506" s="48"/>
      <c r="E506" s="48"/>
    </row>
    <row r="507" spans="1:5">
      <c r="A507" s="48"/>
      <c r="B507" s="48"/>
      <c r="C507" s="48"/>
      <c r="D507" s="48"/>
      <c r="E507" s="48"/>
    </row>
    <row r="508" spans="1:5">
      <c r="A508" s="48"/>
      <c r="B508" s="48"/>
      <c r="C508" s="48"/>
      <c r="D508" s="48"/>
      <c r="E508" s="48"/>
    </row>
    <row r="509" spans="1:5">
      <c r="A509" s="48"/>
      <c r="B509" s="48"/>
      <c r="C509" s="48"/>
      <c r="D509" s="48"/>
      <c r="E509" s="48"/>
    </row>
    <row r="510" spans="1:5">
      <c r="A510" s="48"/>
      <c r="B510" s="48"/>
      <c r="C510" s="48"/>
      <c r="D510" s="48"/>
      <c r="E510" s="48"/>
    </row>
    <row r="511" spans="1:5">
      <c r="A511" s="48"/>
      <c r="B511" s="48"/>
      <c r="C511" s="48"/>
      <c r="D511" s="48"/>
      <c r="E511" s="48"/>
    </row>
    <row r="512" spans="1:5">
      <c r="A512" s="48"/>
      <c r="B512" s="48"/>
      <c r="C512" s="48"/>
      <c r="D512" s="48"/>
      <c r="E512" s="48"/>
    </row>
    <row r="513" spans="1:5">
      <c r="A513" s="48"/>
      <c r="B513" s="48"/>
      <c r="C513" s="48"/>
      <c r="D513" s="48"/>
      <c r="E513" s="48"/>
    </row>
    <row r="514" spans="1:5">
      <c r="A514" s="48"/>
      <c r="B514" s="48"/>
      <c r="C514" s="48"/>
      <c r="D514" s="48"/>
      <c r="E514" s="48"/>
    </row>
    <row r="515" spans="1:5">
      <c r="A515" s="48"/>
      <c r="B515" s="48"/>
      <c r="C515" s="48"/>
      <c r="D515" s="48"/>
      <c r="E515" s="48"/>
    </row>
    <row r="516" spans="1:5">
      <c r="A516" s="48"/>
      <c r="B516" s="48"/>
      <c r="C516" s="48"/>
      <c r="D516" s="48"/>
      <c r="E516" s="48"/>
    </row>
    <row r="517" spans="1:5">
      <c r="A517" s="48"/>
      <c r="B517" s="48"/>
      <c r="C517" s="48"/>
      <c r="D517" s="48"/>
      <c r="E517" s="48"/>
    </row>
    <row r="518" spans="1:5">
      <c r="A518" s="48"/>
      <c r="B518" s="48"/>
      <c r="C518" s="48"/>
      <c r="D518" s="48"/>
      <c r="E518" s="48"/>
    </row>
    <row r="519" spans="1:5">
      <c r="A519" s="48"/>
      <c r="B519" s="48"/>
      <c r="C519" s="48"/>
      <c r="D519" s="48"/>
      <c r="E519" s="48"/>
    </row>
    <row r="520" spans="1:5">
      <c r="A520" s="48"/>
      <c r="B520" s="48"/>
      <c r="C520" s="48"/>
      <c r="D520" s="48"/>
      <c r="E520" s="48"/>
    </row>
    <row r="521" spans="1:5">
      <c r="A521" s="48"/>
      <c r="B521" s="48"/>
      <c r="C521" s="48"/>
      <c r="D521" s="48"/>
      <c r="E521" s="48"/>
    </row>
    <row r="522" spans="1:5">
      <c r="A522" s="48"/>
      <c r="B522" s="48"/>
      <c r="C522" s="48"/>
      <c r="D522" s="48"/>
      <c r="E522" s="48"/>
    </row>
    <row r="523" spans="1:5">
      <c r="A523" s="48"/>
      <c r="B523" s="48"/>
      <c r="C523" s="48"/>
      <c r="D523" s="48"/>
      <c r="E523" s="48"/>
    </row>
    <row r="524" spans="1:5">
      <c r="A524" s="48"/>
      <c r="B524" s="48"/>
      <c r="C524" s="48"/>
      <c r="D524" s="48"/>
      <c r="E524" s="48"/>
    </row>
    <row r="525" spans="1:5">
      <c r="A525" s="48"/>
      <c r="B525" s="48"/>
      <c r="C525" s="48"/>
      <c r="D525" s="48"/>
      <c r="E525" s="48"/>
    </row>
    <row r="526" spans="1:5">
      <c r="A526" s="48"/>
      <c r="B526" s="48"/>
      <c r="C526" s="48"/>
      <c r="D526" s="48"/>
      <c r="E526" s="48"/>
    </row>
    <row r="527" spans="1:5">
      <c r="A527" s="48"/>
      <c r="B527" s="48"/>
      <c r="C527" s="48"/>
      <c r="D527" s="48"/>
      <c r="E527" s="48"/>
    </row>
    <row r="528" spans="1:5">
      <c r="A528" s="48"/>
      <c r="B528" s="48"/>
      <c r="C528" s="48"/>
      <c r="D528" s="48"/>
      <c r="E528" s="48"/>
    </row>
    <row r="529" spans="1:5">
      <c r="A529" s="48"/>
      <c r="B529" s="48"/>
      <c r="C529" s="48"/>
      <c r="D529" s="48"/>
      <c r="E529" s="48"/>
    </row>
    <row r="530" spans="1:5">
      <c r="A530" s="48"/>
      <c r="B530" s="48"/>
      <c r="C530" s="48"/>
      <c r="D530" s="48"/>
      <c r="E530" s="48"/>
    </row>
    <row r="531" spans="1:5">
      <c r="A531" s="48"/>
      <c r="B531" s="48"/>
      <c r="C531" s="48"/>
      <c r="D531" s="48"/>
      <c r="E531" s="48"/>
    </row>
    <row r="532" spans="1:5">
      <c r="A532" s="48"/>
      <c r="B532" s="48"/>
      <c r="C532" s="48"/>
      <c r="D532" s="48"/>
      <c r="E532" s="48"/>
    </row>
    <row r="533" spans="1:5">
      <c r="A533" s="48"/>
      <c r="B533" s="48"/>
      <c r="C533" s="48"/>
      <c r="D533" s="48"/>
      <c r="E533" s="48"/>
    </row>
    <row r="534" spans="1:5">
      <c r="A534" s="48"/>
      <c r="B534" s="48"/>
      <c r="C534" s="48"/>
      <c r="D534" s="48"/>
      <c r="E534" s="48"/>
    </row>
    <row r="535" spans="1:5">
      <c r="A535" s="48"/>
      <c r="B535" s="48"/>
      <c r="C535" s="48"/>
      <c r="D535" s="48"/>
      <c r="E535" s="48"/>
    </row>
    <row r="536" spans="1:5">
      <c r="A536" s="48"/>
      <c r="B536" s="48"/>
      <c r="C536" s="48"/>
      <c r="D536" s="48"/>
      <c r="E536" s="48"/>
    </row>
    <row r="537" spans="1:5">
      <c r="A537" s="48"/>
      <c r="B537" s="48"/>
      <c r="C537" s="48"/>
      <c r="D537" s="48"/>
      <c r="E537" s="48"/>
    </row>
  </sheetData>
  <mergeCells count="1">
    <mergeCell ref="A301:C301"/>
  </mergeCells>
  <hyperlinks>
    <hyperlink ref="B170" r:id="rId1" display="https://nucore.northwestern.edu/facilities" xr:uid="{00000000-0004-0000-1000-000000000000}"/>
    <hyperlink ref="B171" r:id="rId2" display="https://nucore.northwestern.edu/facilities" xr:uid="{00000000-0004-0000-1000-000001000000}"/>
    <hyperlink ref="B172" r:id="rId3" display="https://nucore.northwestern.edu/facilities" xr:uid="{00000000-0004-0000-1000-000002000000}"/>
  </hyperlinks>
  <pageMargins left="0.75" right="0.75" top="1" bottom="1" header="0.5" footer="0.5"/>
  <pageSetup scale="66" fitToHeight="0" orientation="portrait" r:id="rId4"/>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3"/>
  <sheetViews>
    <sheetView workbookViewId="0">
      <pane ySplit="1" topLeftCell="A43" activePane="bottomLeft" state="frozen"/>
      <selection pane="bottomLeft" activeCell="A63" sqref="A63"/>
    </sheetView>
  </sheetViews>
  <sheetFormatPr defaultRowHeight="13.2"/>
  <cols>
    <col min="1" max="1" width="11.109375" style="534" customWidth="1"/>
    <col min="2" max="2" width="198.109375" bestFit="1" customWidth="1"/>
  </cols>
  <sheetData>
    <row r="1" spans="1:2">
      <c r="A1" s="534" t="s">
        <v>817</v>
      </c>
      <c r="B1" t="s">
        <v>818</v>
      </c>
    </row>
    <row r="2" spans="1:2">
      <c r="A2" s="534">
        <v>41706</v>
      </c>
      <c r="B2" t="s">
        <v>819</v>
      </c>
    </row>
    <row r="3" spans="1:2">
      <c r="A3" s="534">
        <v>41702</v>
      </c>
      <c r="B3" t="s">
        <v>859</v>
      </c>
    </row>
    <row r="4" spans="1:2">
      <c r="A4" s="534">
        <v>41758</v>
      </c>
      <c r="B4" t="s">
        <v>853</v>
      </c>
    </row>
    <row r="5" spans="1:2">
      <c r="A5" s="534">
        <v>41759</v>
      </c>
      <c r="B5" t="s">
        <v>863</v>
      </c>
    </row>
    <row r="6" spans="1:2">
      <c r="A6" s="534">
        <v>41767</v>
      </c>
      <c r="B6" t="s">
        <v>865</v>
      </c>
    </row>
    <row r="7" spans="1:2">
      <c r="A7" s="534">
        <v>41772</v>
      </c>
      <c r="B7" t="s">
        <v>867</v>
      </c>
    </row>
    <row r="8" spans="1:2">
      <c r="A8" s="534">
        <v>41850</v>
      </c>
      <c r="B8" t="s">
        <v>868</v>
      </c>
    </row>
    <row r="9" spans="1:2">
      <c r="A9" s="534">
        <v>41895</v>
      </c>
      <c r="B9" t="s">
        <v>869</v>
      </c>
    </row>
    <row r="10" spans="1:2">
      <c r="A10" s="534">
        <v>41915</v>
      </c>
      <c r="B10" t="s">
        <v>870</v>
      </c>
    </row>
    <row r="11" spans="1:2">
      <c r="A11" s="534">
        <v>42007</v>
      </c>
      <c r="B11" t="s">
        <v>872</v>
      </c>
    </row>
    <row r="12" spans="1:2">
      <c r="A12" s="534">
        <v>42007</v>
      </c>
      <c r="B12" t="s">
        <v>931</v>
      </c>
    </row>
    <row r="13" spans="1:2">
      <c r="A13" s="534">
        <v>42007</v>
      </c>
      <c r="B13" t="s">
        <v>883</v>
      </c>
    </row>
    <row r="14" spans="1:2">
      <c r="A14" s="534">
        <v>42025</v>
      </c>
      <c r="B14" t="s">
        <v>911</v>
      </c>
    </row>
    <row r="15" spans="1:2">
      <c r="A15" s="534">
        <v>42074</v>
      </c>
      <c r="B15" t="s">
        <v>910</v>
      </c>
    </row>
    <row r="16" spans="1:2">
      <c r="A16" s="534">
        <v>42111</v>
      </c>
      <c r="B16" t="s">
        <v>894</v>
      </c>
    </row>
    <row r="17" spans="1:2">
      <c r="A17" s="534">
        <v>42196</v>
      </c>
      <c r="B17" t="s">
        <v>899</v>
      </c>
    </row>
    <row r="18" spans="1:2">
      <c r="A18" s="534">
        <v>42266</v>
      </c>
      <c r="B18" t="s">
        <v>900</v>
      </c>
    </row>
    <row r="19" spans="1:2">
      <c r="A19" s="534">
        <v>42276</v>
      </c>
      <c r="B19" t="s">
        <v>901</v>
      </c>
    </row>
    <row r="20" spans="1:2">
      <c r="A20" s="534">
        <v>42286</v>
      </c>
      <c r="B20" t="s">
        <v>902</v>
      </c>
    </row>
    <row r="21" spans="1:2">
      <c r="A21" s="534">
        <v>42294</v>
      </c>
      <c r="B21" t="s">
        <v>903</v>
      </c>
    </row>
    <row r="22" spans="1:2">
      <c r="A22" s="534">
        <v>42299</v>
      </c>
      <c r="B22" t="s">
        <v>904</v>
      </c>
    </row>
    <row r="23" spans="1:2">
      <c r="A23" s="534">
        <v>42315</v>
      </c>
      <c r="B23" t="s">
        <v>906</v>
      </c>
    </row>
    <row r="24" spans="1:2">
      <c r="A24" s="534">
        <v>42328</v>
      </c>
      <c r="B24" t="s">
        <v>907</v>
      </c>
    </row>
    <row r="25" spans="1:2">
      <c r="A25" s="534">
        <v>42340</v>
      </c>
      <c r="B25" t="s">
        <v>908</v>
      </c>
    </row>
    <row r="26" spans="1:2">
      <c r="A26" s="534">
        <v>42371</v>
      </c>
      <c r="B26" t="s">
        <v>909</v>
      </c>
    </row>
    <row r="27" spans="1:2">
      <c r="A27" s="534">
        <v>42404</v>
      </c>
      <c r="B27" t="s">
        <v>912</v>
      </c>
    </row>
    <row r="28" spans="1:2">
      <c r="A28" s="534">
        <v>42585</v>
      </c>
      <c r="B28" t="s">
        <v>918</v>
      </c>
    </row>
    <row r="29" spans="1:2">
      <c r="A29" s="534">
        <v>42720</v>
      </c>
      <c r="B29" t="s">
        <v>919</v>
      </c>
    </row>
    <row r="30" spans="1:2">
      <c r="A30" s="534">
        <v>42738</v>
      </c>
      <c r="B30" t="s">
        <v>920</v>
      </c>
    </row>
    <row r="31" spans="1:2">
      <c r="A31" s="534">
        <v>42747</v>
      </c>
      <c r="B31" t="s">
        <v>921</v>
      </c>
    </row>
    <row r="32" spans="1:2">
      <c r="A32" s="534">
        <v>42991</v>
      </c>
      <c r="B32" t="s">
        <v>923</v>
      </c>
    </row>
    <row r="33" spans="1:2">
      <c r="A33" s="534">
        <v>42998</v>
      </c>
      <c r="B33" t="s">
        <v>924</v>
      </c>
    </row>
    <row r="34" spans="1:2">
      <c r="A34" s="534">
        <v>43076</v>
      </c>
      <c r="B34" t="s">
        <v>928</v>
      </c>
    </row>
    <row r="35" spans="1:2">
      <c r="A35" s="534">
        <v>43103</v>
      </c>
      <c r="B35" t="s">
        <v>927</v>
      </c>
    </row>
    <row r="36" spans="1:2">
      <c r="A36" s="534">
        <v>43118</v>
      </c>
      <c r="B36" t="s">
        <v>929</v>
      </c>
    </row>
    <row r="37" spans="1:2">
      <c r="A37" s="534">
        <v>43141</v>
      </c>
      <c r="B37" t="s">
        <v>930</v>
      </c>
    </row>
    <row r="38" spans="1:2">
      <c r="A38" s="534">
        <v>43224</v>
      </c>
      <c r="B38" t="s">
        <v>932</v>
      </c>
    </row>
    <row r="39" spans="1:2">
      <c r="A39" s="534">
        <v>43349</v>
      </c>
      <c r="B39" t="s">
        <v>935</v>
      </c>
    </row>
    <row r="40" spans="1:2">
      <c r="A40" s="534">
        <v>43355</v>
      </c>
      <c r="B40" t="s">
        <v>936</v>
      </c>
    </row>
    <row r="41" spans="1:2">
      <c r="A41" s="534">
        <v>43391</v>
      </c>
      <c r="B41" t="s">
        <v>940</v>
      </c>
    </row>
    <row r="42" spans="1:2">
      <c r="A42" s="534">
        <v>43410</v>
      </c>
      <c r="B42" t="s">
        <v>945</v>
      </c>
    </row>
    <row r="43" spans="1:2">
      <c r="A43" s="534">
        <v>43481</v>
      </c>
      <c r="B43" t="s">
        <v>946</v>
      </c>
    </row>
    <row r="44" spans="1:2">
      <c r="A44" s="534">
        <v>43487</v>
      </c>
      <c r="B44" t="s">
        <v>947</v>
      </c>
    </row>
    <row r="45" spans="1:2">
      <c r="A45" s="534">
        <v>43501</v>
      </c>
      <c r="B45" t="s">
        <v>948</v>
      </c>
    </row>
    <row r="46" spans="1:2">
      <c r="A46" s="534">
        <v>43581</v>
      </c>
      <c r="B46" t="s">
        <v>951</v>
      </c>
    </row>
    <row r="47" spans="1:2">
      <c r="A47" s="534">
        <v>43698</v>
      </c>
      <c r="B47" t="s">
        <v>952</v>
      </c>
    </row>
    <row r="48" spans="1:2">
      <c r="A48" s="534">
        <v>43805</v>
      </c>
      <c r="B48" t="s">
        <v>958</v>
      </c>
    </row>
    <row r="49" spans="1:2">
      <c r="A49" s="534">
        <v>43862</v>
      </c>
      <c r="B49" t="s">
        <v>959</v>
      </c>
    </row>
    <row r="50" spans="1:2">
      <c r="A50" s="534">
        <v>43907</v>
      </c>
      <c r="B50" t="s">
        <v>960</v>
      </c>
    </row>
    <row r="51" spans="1:2">
      <c r="A51" s="534">
        <v>43925</v>
      </c>
      <c r="B51" t="s">
        <v>961</v>
      </c>
    </row>
    <row r="52" spans="1:2">
      <c r="A52" s="534">
        <v>43930</v>
      </c>
      <c r="B52" t="s">
        <v>962</v>
      </c>
    </row>
    <row r="53" spans="1:2">
      <c r="A53" s="534">
        <v>43936</v>
      </c>
      <c r="B53" t="s">
        <v>963</v>
      </c>
    </row>
    <row r="54" spans="1:2">
      <c r="A54" s="534">
        <v>43949</v>
      </c>
      <c r="B54" t="s">
        <v>964</v>
      </c>
    </row>
    <row r="55" spans="1:2">
      <c r="A55" s="534">
        <v>44056</v>
      </c>
      <c r="B55" t="s">
        <v>965</v>
      </c>
    </row>
    <row r="56" spans="1:2">
      <c r="A56" s="534">
        <v>44288</v>
      </c>
      <c r="B56" t="s">
        <v>969</v>
      </c>
    </row>
    <row r="57" spans="1:2">
      <c r="A57" s="534">
        <v>44342</v>
      </c>
      <c r="B57" t="s">
        <v>972</v>
      </c>
    </row>
    <row r="58" spans="1:2">
      <c r="A58" s="534">
        <v>44505</v>
      </c>
      <c r="B58" t="s">
        <v>979</v>
      </c>
    </row>
    <row r="59" spans="1:2">
      <c r="A59" s="534">
        <v>44541</v>
      </c>
      <c r="B59" t="s">
        <v>985</v>
      </c>
    </row>
    <row r="60" spans="1:2">
      <c r="A60" s="534">
        <v>44593</v>
      </c>
      <c r="B60" t="s">
        <v>988</v>
      </c>
    </row>
    <row r="61" spans="1:2">
      <c r="A61" s="534">
        <v>44679</v>
      </c>
      <c r="B61" t="s">
        <v>991</v>
      </c>
    </row>
    <row r="62" spans="1:2">
      <c r="A62" s="534">
        <v>44693</v>
      </c>
      <c r="B62" t="s">
        <v>992</v>
      </c>
    </row>
    <row r="63" spans="1:2">
      <c r="A63" s="534">
        <v>44747</v>
      </c>
      <c r="B63" t="s">
        <v>993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7" tint="0.39997558519241921"/>
    <pageSetUpPr fitToPage="1"/>
  </sheetPr>
  <dimension ref="A1:AZ112"/>
  <sheetViews>
    <sheetView zoomScaleNormal="100" workbookViewId="0">
      <selection activeCell="T1" sqref="T1"/>
    </sheetView>
  </sheetViews>
  <sheetFormatPr defaultColWidth="9.109375" defaultRowHeight="15.6"/>
  <cols>
    <col min="1" max="1" width="47.44140625" style="59" bestFit="1" customWidth="1"/>
    <col min="2" max="3" width="11.88671875" style="59" customWidth="1"/>
    <col min="4" max="4" width="1.33203125" style="59" customWidth="1"/>
    <col min="5" max="6" width="11.88671875" style="59" customWidth="1"/>
    <col min="7" max="7" width="1.33203125" style="59" customWidth="1"/>
    <col min="8" max="9" width="11.88671875" style="59" customWidth="1"/>
    <col min="10" max="10" width="1.33203125" style="59" customWidth="1"/>
    <col min="11" max="12" width="11.88671875" style="59" customWidth="1"/>
    <col min="13" max="13" width="1.33203125" style="59" customWidth="1"/>
    <col min="14" max="15" width="11.88671875" style="59" customWidth="1"/>
    <col min="16" max="16" width="1.33203125" style="59" customWidth="1"/>
    <col min="17" max="18" width="11.88671875" style="59" customWidth="1"/>
    <col min="19" max="19" width="1.33203125" style="59" customWidth="1"/>
    <col min="20" max="20" width="35.6640625" style="1" bestFit="1" customWidth="1"/>
    <col min="21" max="21" width="3.88671875" style="59" customWidth="1"/>
    <col min="22" max="24" width="9.109375" style="59"/>
    <col min="25" max="42" width="8.33203125" style="59" customWidth="1"/>
    <col min="43" max="43" width="3.88671875" style="59" customWidth="1"/>
    <col min="44" max="46" width="9.109375" style="59"/>
    <col min="47" max="52" width="8.33203125" style="59" customWidth="1"/>
    <col min="53" max="16384" width="9.109375" style="59"/>
  </cols>
  <sheetData>
    <row r="1" spans="1:52" ht="31.5" customHeight="1" thickBot="1">
      <c r="A1" s="811" t="str">
        <f>'BP1'!A1</f>
        <v>Title</v>
      </c>
      <c r="B1" s="812"/>
      <c r="C1" s="812"/>
      <c r="D1" s="812"/>
      <c r="E1" s="812"/>
      <c r="F1" s="812"/>
      <c r="G1" s="812"/>
      <c r="H1" s="812"/>
      <c r="I1" s="812"/>
      <c r="J1" s="812"/>
      <c r="K1" s="812"/>
      <c r="L1" s="812"/>
      <c r="M1" s="812"/>
      <c r="N1" s="812"/>
      <c r="O1" s="812"/>
      <c r="P1" s="812"/>
      <c r="Q1" s="812"/>
      <c r="R1" s="813"/>
      <c r="T1" s="117" t="s">
        <v>184</v>
      </c>
      <c r="V1" s="816" t="s">
        <v>452</v>
      </c>
      <c r="W1" s="817"/>
      <c r="X1" s="817"/>
      <c r="Y1" s="817"/>
      <c r="Z1" s="817"/>
      <c r="AA1" s="817"/>
      <c r="AB1" s="817"/>
      <c r="AC1" s="817"/>
      <c r="AD1" s="817"/>
      <c r="AE1" s="817"/>
      <c r="AF1" s="817"/>
      <c r="AG1" s="817"/>
      <c r="AH1" s="817"/>
      <c r="AI1" s="817"/>
      <c r="AJ1" s="817"/>
      <c r="AK1" s="817"/>
      <c r="AL1" s="817"/>
      <c r="AM1" s="817"/>
      <c r="AN1" s="817"/>
      <c r="AO1" s="817"/>
      <c r="AP1" s="817"/>
      <c r="AQ1" s="817"/>
      <c r="AR1" s="817"/>
      <c r="AS1" s="817"/>
      <c r="AT1" s="817"/>
      <c r="AU1" s="817"/>
      <c r="AV1" s="817"/>
      <c r="AW1" s="817"/>
      <c r="AX1" s="817"/>
      <c r="AY1" s="817"/>
      <c r="AZ1" s="818"/>
    </row>
    <row r="2" spans="1:52" ht="31.5" customHeight="1">
      <c r="A2" s="832" t="str">
        <f>"Northwestern PI 
"&amp;'BP1'!A11</f>
        <v>Northwestern PI 
Professor McCormick</v>
      </c>
      <c r="B2" s="832"/>
      <c r="C2" s="832"/>
      <c r="D2" s="833" t="str">
        <f>CONCATENATE("Start Date: 
",TEXT('BP1'!K8,"mmmm d, yyyy"))</f>
        <v>Start Date: 
September 1, 2026</v>
      </c>
      <c r="E2" s="833"/>
      <c r="F2" s="833"/>
      <c r="G2" s="833"/>
      <c r="H2" s="833"/>
      <c r="I2" s="833" t="str">
        <f ca="1">CONCATENATE("End Date: 
",TEXT(INDIRECT("BP"&amp;'BP1'!K5&amp;"!K10"),"mmmm d, yyyy"))</f>
        <v>End Date: 
August 31, 2027</v>
      </c>
      <c r="J2" s="833"/>
      <c r="K2" s="833"/>
      <c r="L2" s="833"/>
      <c r="M2" s="833"/>
      <c r="N2" s="814" t="str">
        <f>CONCATENATE('BP1'!K5," ","Budget Period",IF('BP1'!K5&gt;1,"s",""))</f>
        <v>1 Budget Period</v>
      </c>
      <c r="O2" s="814"/>
      <c r="P2" s="814"/>
      <c r="Q2" s="814"/>
      <c r="R2" s="814"/>
      <c r="T2" s="115" t="s">
        <v>215</v>
      </c>
      <c r="V2" s="819"/>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1"/>
    </row>
    <row r="3" spans="1:52" ht="16.2" thickBot="1">
      <c r="A3" s="827" t="str">
        <f>IF('BP1'!L2="No F&amp;A","No Indirect Costs",CONCATENATE("Initial Fiscal Year ",'BP1'!K2," ",'BP1'!L2," F&amp;A Rate of ",IF('BP1'!L2="Custom",TEXT('BP1'!I77,"0.00%"),TEXT('BP1'!G77,"0.00%"))))</f>
        <v>Initial Fiscal Year Federal On Campus F&amp;A Rate of 60.00%</v>
      </c>
      <c r="B3" s="827"/>
      <c r="C3" s="827"/>
      <c r="D3" s="441"/>
      <c r="E3" s="441"/>
      <c r="F3" s="441"/>
      <c r="G3" s="442"/>
      <c r="H3" s="827" t="str">
        <f>'BP1'!K3</f>
        <v>MTDC</v>
      </c>
      <c r="I3" s="827"/>
      <c r="J3" s="441"/>
      <c r="K3" s="441"/>
      <c r="L3" s="441"/>
      <c r="M3" s="441"/>
      <c r="N3" s="827" t="str">
        <f>CONCATENATE(TEXT('BP1'!$K$7,"0.00%")," ","Annual Salary Increase")</f>
        <v>3.00% Annual Salary Increase</v>
      </c>
      <c r="O3" s="827"/>
      <c r="P3" s="827"/>
      <c r="Q3" s="827"/>
      <c r="R3" s="827"/>
      <c r="T3" s="115" t="s">
        <v>215</v>
      </c>
      <c r="V3" s="822"/>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3"/>
      <c r="AU3" s="823"/>
      <c r="AV3" s="823"/>
      <c r="AW3" s="823"/>
      <c r="AX3" s="823"/>
      <c r="AY3" s="823"/>
      <c r="AZ3" s="824"/>
    </row>
    <row r="4" spans="1:52" ht="16.2" thickBot="1">
      <c r="A4" s="815" t="str">
        <f ca="1">IF('BP1'!N84=0,"Note: You have not budgeted Cost-Share funds. Please use the Sponsor-only Budget.","")</f>
        <v>Note: You have not budgeted Cost-Share funds. Please use the Sponsor-only Budget.</v>
      </c>
      <c r="B4" s="815"/>
      <c r="C4" s="815"/>
      <c r="D4" s="815"/>
      <c r="E4" s="815"/>
      <c r="F4" s="815"/>
      <c r="G4" s="815"/>
      <c r="H4" s="815"/>
      <c r="I4" s="815"/>
      <c r="J4" s="815"/>
      <c r="K4" s="815"/>
      <c r="L4" s="815"/>
      <c r="M4" s="815"/>
      <c r="N4" s="815"/>
      <c r="O4" s="815"/>
      <c r="P4" s="815"/>
      <c r="Q4" s="815"/>
      <c r="R4" s="815"/>
      <c r="T4" s="115" t="s">
        <v>215</v>
      </c>
      <c r="V4" s="206"/>
      <c r="W4" s="206"/>
      <c r="X4" s="206"/>
      <c r="Y4" s="206"/>
      <c r="Z4" s="206"/>
      <c r="AA4" s="206"/>
    </row>
    <row r="5" spans="1:52" ht="16.2" thickBot="1">
      <c r="A5" s="828"/>
      <c r="B5" s="825" t="s">
        <v>420</v>
      </c>
      <c r="C5" s="826"/>
      <c r="E5" s="825" t="str">
        <f>IF('BP1'!$K$5&gt;1,"Budget Period 2","")</f>
        <v/>
      </c>
      <c r="F5" s="826"/>
      <c r="H5" s="825" t="str">
        <f>IF('BP1'!$K$5&gt;2,"Budget Period 3","")</f>
        <v/>
      </c>
      <c r="I5" s="826"/>
      <c r="K5" s="825" t="str">
        <f>IF('BP1'!$K$5&gt;3,"Budget Period 4","")</f>
        <v/>
      </c>
      <c r="L5" s="826"/>
      <c r="N5" s="825" t="str">
        <f>IF('BP1'!$K$5&gt;4,"Budget Period 5","")</f>
        <v/>
      </c>
      <c r="O5" s="826"/>
      <c r="Q5" s="825" t="s">
        <v>286</v>
      </c>
      <c r="R5" s="826"/>
      <c r="T5" s="115" t="s">
        <v>215</v>
      </c>
    </row>
    <row r="6" spans="1:52" ht="16.2" customHeight="1" thickBot="1">
      <c r="A6" s="828"/>
      <c r="B6" s="830" t="str">
        <f>IF('BP1'!$K$5&gt;0,CONCATENATE(TEXT('BP1'!$K$8,"m/d/yy")," - ",TEXT('BP1'!$K$10,"m/d/yy")),"")</f>
        <v>9/1/26 - 8/31/27</v>
      </c>
      <c r="C6" s="831"/>
      <c r="E6" s="830" t="str">
        <f>IF('BP1'!$K$5&gt;1,CONCATENATE(TEXT('BP2'!$K$8,"m/d/yy")," - ",TEXT('BP2'!$K$10,"m/d/yy")),"")</f>
        <v/>
      </c>
      <c r="F6" s="831"/>
      <c r="H6" s="830" t="str">
        <f>IF('BP1'!$K$5&gt;2,CONCATENATE(TEXT('BP3'!$K$8,"m/d/yy")," - ",TEXT('BP3'!$K$10,"m/d/yy")),"")</f>
        <v/>
      </c>
      <c r="I6" s="831"/>
      <c r="K6" s="830" t="str">
        <f>IF('BP1'!$K$5&gt;3,CONCATENATE(TEXT('BP4'!$K$8,"m/d/yy")," - ",TEXT('BP4'!$K$10,"m/d/yy")),"")</f>
        <v/>
      </c>
      <c r="L6" s="831"/>
      <c r="N6" s="830" t="str">
        <f>IF('BP1'!$K$5&gt;4,CONCATENATE(TEXT('BP5'!$K$8,"m/d/yy")," - ",TEXT('BP5'!$K$10,"m/d/yy")),"")</f>
        <v/>
      </c>
      <c r="O6" s="831"/>
      <c r="Q6" s="830" t="str">
        <f ca="1">CONCATENATE(TEXT('BP1'!K8,"m/d/yy")," - ",TEXT(INDIRECT("BP"&amp;'BP1'!K5&amp;"!K10"),"m/d/yy"))</f>
        <v>9/1/26 - 8/31/27</v>
      </c>
      <c r="R6" s="831"/>
      <c r="T6" s="115" t="s">
        <v>215</v>
      </c>
      <c r="V6" s="808" t="s">
        <v>197</v>
      </c>
      <c r="W6" s="809"/>
      <c r="X6" s="809"/>
      <c r="Y6" s="809"/>
      <c r="Z6" s="809"/>
      <c r="AA6" s="809"/>
      <c r="AB6" s="809"/>
      <c r="AC6" s="809"/>
      <c r="AD6" s="809"/>
      <c r="AE6" s="809"/>
      <c r="AF6" s="809"/>
      <c r="AG6" s="809"/>
      <c r="AH6" s="809"/>
      <c r="AI6" s="809"/>
      <c r="AJ6" s="809"/>
      <c r="AK6" s="809"/>
      <c r="AL6" s="809"/>
      <c r="AM6" s="809"/>
      <c r="AN6" s="809"/>
      <c r="AO6" s="809"/>
      <c r="AP6" s="810"/>
      <c r="AR6" s="802" t="s">
        <v>505</v>
      </c>
      <c r="AS6" s="803"/>
      <c r="AT6" s="803"/>
      <c r="AU6" s="803"/>
      <c r="AV6" s="803"/>
      <c r="AW6" s="803"/>
      <c r="AX6" s="803"/>
      <c r="AY6" s="803"/>
      <c r="AZ6" s="804"/>
    </row>
    <row r="7" spans="1:52" ht="16.5" customHeight="1" thickBot="1">
      <c r="A7" s="829"/>
      <c r="B7" s="255" t="s">
        <v>197</v>
      </c>
      <c r="C7" s="256" t="s">
        <v>505</v>
      </c>
      <c r="D7" s="60"/>
      <c r="E7" s="255" t="s">
        <v>197</v>
      </c>
      <c r="F7" s="256" t="s">
        <v>505</v>
      </c>
      <c r="G7" s="60"/>
      <c r="H7" s="255" t="s">
        <v>197</v>
      </c>
      <c r="I7" s="256" t="s">
        <v>505</v>
      </c>
      <c r="J7" s="60"/>
      <c r="K7" s="255" t="s">
        <v>197</v>
      </c>
      <c r="L7" s="256" t="s">
        <v>505</v>
      </c>
      <c r="M7" s="60"/>
      <c r="N7" s="255" t="s">
        <v>197</v>
      </c>
      <c r="O7" s="256" t="s">
        <v>505</v>
      </c>
      <c r="P7" s="60"/>
      <c r="Q7" s="255" t="s">
        <v>197</v>
      </c>
      <c r="R7" s="256" t="s">
        <v>505</v>
      </c>
      <c r="S7" s="60"/>
      <c r="T7" s="115" t="s">
        <v>215</v>
      </c>
      <c r="V7" s="772" t="s">
        <v>223</v>
      </c>
      <c r="W7" s="772"/>
      <c r="X7" s="772"/>
      <c r="Y7" s="783" t="s">
        <v>420</v>
      </c>
      <c r="Z7" s="784"/>
      <c r="AA7" s="785"/>
      <c r="AB7" s="783" t="s">
        <v>421</v>
      </c>
      <c r="AC7" s="784"/>
      <c r="AD7" s="785"/>
      <c r="AE7" s="783" t="s">
        <v>422</v>
      </c>
      <c r="AF7" s="784"/>
      <c r="AG7" s="785"/>
      <c r="AH7" s="786" t="s">
        <v>423</v>
      </c>
      <c r="AI7" s="786"/>
      <c r="AJ7" s="786"/>
      <c r="AK7" s="783" t="s">
        <v>424</v>
      </c>
      <c r="AL7" s="784"/>
      <c r="AM7" s="785"/>
      <c r="AN7" s="783" t="s">
        <v>93</v>
      </c>
      <c r="AO7" s="784"/>
      <c r="AP7" s="785"/>
      <c r="AR7" s="805" t="s">
        <v>223</v>
      </c>
      <c r="AS7" s="805"/>
      <c r="AT7" s="805"/>
      <c r="AU7" s="362" t="s">
        <v>447</v>
      </c>
      <c r="AV7" s="362" t="s">
        <v>448</v>
      </c>
      <c r="AW7" s="362" t="s">
        <v>449</v>
      </c>
      <c r="AX7" s="362" t="s">
        <v>450</v>
      </c>
      <c r="AY7" s="363" t="s">
        <v>451</v>
      </c>
      <c r="AZ7" s="362" t="s">
        <v>93</v>
      </c>
    </row>
    <row r="8" spans="1:52">
      <c r="A8" s="74" t="str">
        <f>IF('BP1'!$B$15="Professor McCormick","Senior Personnel 1 Salary",IF(ISBLANK('BP1'!$B$15),"Senior Personnel 1 Salary",""&amp;'BP1'!$B$15&amp;" Salary"))</f>
        <v>Senior Personnel 1 Salary</v>
      </c>
      <c r="B8" s="390">
        <f>'BP1'!$K$15</f>
        <v>0</v>
      </c>
      <c r="C8" s="391">
        <f>'BP1'!$N$15</f>
        <v>0</v>
      </c>
      <c r="D8" s="392"/>
      <c r="E8" s="390">
        <f ca="1">'BP2'!$K$15</f>
        <v>0</v>
      </c>
      <c r="F8" s="391">
        <f ca="1">'BP2'!$N$15</f>
        <v>0</v>
      </c>
      <c r="G8" s="392"/>
      <c r="H8" s="390">
        <f ca="1">'BP3'!$K$15</f>
        <v>0</v>
      </c>
      <c r="I8" s="391">
        <f ca="1">'BP3'!$N$15</f>
        <v>0</v>
      </c>
      <c r="J8" s="392"/>
      <c r="K8" s="390">
        <f ca="1">'BP4'!$K$15</f>
        <v>0</v>
      </c>
      <c r="L8" s="391">
        <f ca="1">'BP4'!$N$15</f>
        <v>0</v>
      </c>
      <c r="M8" s="392"/>
      <c r="N8" s="390">
        <f ca="1">'BP5'!$K$15</f>
        <v>0</v>
      </c>
      <c r="O8" s="391">
        <f ca="1">'BP5'!$N$15</f>
        <v>0</v>
      </c>
      <c r="P8" s="392"/>
      <c r="Q8" s="390">
        <f ca="1">B8+E8+H8+K8+N8</f>
        <v>0</v>
      </c>
      <c r="R8" s="391">
        <f ca="1">C8+F8+I8+L8+O8</f>
        <v>0</v>
      </c>
      <c r="S8" s="65"/>
      <c r="T8" s="115" t="s">
        <v>215</v>
      </c>
      <c r="V8" s="759" t="str">
        <f>IF('BP1'!$B$15="Professor McCormick","Senior Personnel 1",IF(ISBLANK('BP1'!$B$15),"Senior Personnel 1",'BP1'!$B$15))</f>
        <v>Senior Personnel 1</v>
      </c>
      <c r="W8" s="760"/>
      <c r="X8" s="761"/>
      <c r="Y8" s="564" t="s">
        <v>2</v>
      </c>
      <c r="Z8" s="566" t="s">
        <v>194</v>
      </c>
      <c r="AA8" s="566" t="s">
        <v>195</v>
      </c>
      <c r="AB8" s="564" t="s">
        <v>2</v>
      </c>
      <c r="AC8" s="566" t="s">
        <v>194</v>
      </c>
      <c r="AD8" s="566" t="s">
        <v>195</v>
      </c>
      <c r="AE8" s="564" t="s">
        <v>2</v>
      </c>
      <c r="AF8" s="566" t="s">
        <v>194</v>
      </c>
      <c r="AG8" s="566" t="s">
        <v>195</v>
      </c>
      <c r="AH8" s="564" t="s">
        <v>2</v>
      </c>
      <c r="AI8" s="566" t="s">
        <v>194</v>
      </c>
      <c r="AJ8" s="566" t="s">
        <v>195</v>
      </c>
      <c r="AK8" s="564" t="s">
        <v>2</v>
      </c>
      <c r="AL8" s="566" t="s">
        <v>194</v>
      </c>
      <c r="AM8" s="566" t="s">
        <v>195</v>
      </c>
      <c r="AN8" s="564" t="s">
        <v>2</v>
      </c>
      <c r="AO8" s="566" t="s">
        <v>194</v>
      </c>
      <c r="AP8" s="566" t="s">
        <v>195</v>
      </c>
      <c r="AR8" s="800" t="str">
        <f>IF('BP1'!$B$15="Professor McCormick","Senior Personnel 1",IF(ISBLANK('BP1'!$B$15),"Senior Personnel 1",'BP1'!$B$15))</f>
        <v>Senior Personnel 1</v>
      </c>
      <c r="AS8" s="800"/>
      <c r="AT8" s="800"/>
      <c r="AU8" s="568" t="s">
        <v>284</v>
      </c>
      <c r="AV8" s="568" t="s">
        <v>284</v>
      </c>
      <c r="AW8" s="568" t="s">
        <v>284</v>
      </c>
      <c r="AX8" s="568" t="s">
        <v>284</v>
      </c>
      <c r="AY8" s="568" t="s">
        <v>284</v>
      </c>
      <c r="AZ8" s="568" t="s">
        <v>284</v>
      </c>
    </row>
    <row r="9" spans="1:52" ht="15.75" customHeight="1">
      <c r="A9" s="74" t="str">
        <f>IF('BP1'!$B$15="Professor McCormick","Senior Personnel 1 Fringe",IF(ISBLANK('BP1'!$B$15),"Senior Personnel 1 Fringe",""&amp;'BP1'!$B$15&amp;" Fringe"))</f>
        <v>Senior Personnel 1 Fringe</v>
      </c>
      <c r="B9" s="393">
        <f>'BP1'!$L$15</f>
        <v>0</v>
      </c>
      <c r="C9" s="394">
        <f>'BP1'!$O$15</f>
        <v>0</v>
      </c>
      <c r="D9" s="392"/>
      <c r="E9" s="393">
        <f ca="1">'BP2'!$L$15</f>
        <v>0</v>
      </c>
      <c r="F9" s="394">
        <f ca="1">'BP2'!$O$15</f>
        <v>0</v>
      </c>
      <c r="G9" s="392"/>
      <c r="H9" s="393">
        <f ca="1">'BP3'!$L$15</f>
        <v>0</v>
      </c>
      <c r="I9" s="394">
        <f ca="1">'BP3'!$O$15</f>
        <v>0</v>
      </c>
      <c r="J9" s="392"/>
      <c r="K9" s="393">
        <f ca="1">'BP4'!$L$15</f>
        <v>0</v>
      </c>
      <c r="L9" s="394">
        <f ca="1">'BP4'!$O$15</f>
        <v>0</v>
      </c>
      <c r="M9" s="392"/>
      <c r="N9" s="393">
        <f ca="1">'BP5'!$L$15</f>
        <v>0</v>
      </c>
      <c r="O9" s="394">
        <f ca="1">'BP5'!$O$15</f>
        <v>0</v>
      </c>
      <c r="P9" s="392"/>
      <c r="Q9" s="393">
        <f t="shared" ref="Q9:Q80" ca="1" si="0">B9+E9+H9+K9+N9</f>
        <v>0</v>
      </c>
      <c r="R9" s="394">
        <f t="shared" ref="R9:R80" ca="1" si="1">C9+F9+I9+L9+O9</f>
        <v>0</v>
      </c>
      <c r="S9" s="65"/>
      <c r="T9" s="115" t="s">
        <v>215</v>
      </c>
      <c r="V9" s="762"/>
      <c r="W9" s="763"/>
      <c r="X9" s="764"/>
      <c r="Y9" s="565">
        <f>'BP1'!H15</f>
        <v>0</v>
      </c>
      <c r="Z9" s="567">
        <f>'BP1'!I15</f>
        <v>0</v>
      </c>
      <c r="AA9" s="567">
        <f>'BP1'!J15</f>
        <v>0</v>
      </c>
      <c r="AB9" s="565">
        <f>'BP2'!H15</f>
        <v>0</v>
      </c>
      <c r="AC9" s="567">
        <f>'BP2'!I15</f>
        <v>0</v>
      </c>
      <c r="AD9" s="567">
        <f>'BP2'!J15</f>
        <v>0</v>
      </c>
      <c r="AE9" s="565">
        <f>'BP3'!H15</f>
        <v>0</v>
      </c>
      <c r="AF9" s="567">
        <f>'BP3'!I15</f>
        <v>0</v>
      </c>
      <c r="AG9" s="567">
        <f>'BP3'!J15</f>
        <v>0</v>
      </c>
      <c r="AH9" s="565">
        <f>'BP4'!H15</f>
        <v>0</v>
      </c>
      <c r="AI9" s="567">
        <f>'BP4'!I15</f>
        <v>0</v>
      </c>
      <c r="AJ9" s="567">
        <f>'BP4'!J15</f>
        <v>0</v>
      </c>
      <c r="AK9" s="565">
        <f>'BP5'!H15</f>
        <v>0</v>
      </c>
      <c r="AL9" s="567">
        <f>'BP5'!I15</f>
        <v>0</v>
      </c>
      <c r="AM9" s="567">
        <f>'BP5'!J15</f>
        <v>0</v>
      </c>
      <c r="AN9" s="565">
        <f>Y9+AB9+AE9+AH9+AK9</f>
        <v>0</v>
      </c>
      <c r="AO9" s="567">
        <f>Z9+AC9+AF9+AI9+AL9</f>
        <v>0</v>
      </c>
      <c r="AP9" s="567">
        <f>AA9+AD9+AG9+AJ9+AM9</f>
        <v>0</v>
      </c>
      <c r="AR9" s="800"/>
      <c r="AS9" s="800"/>
      <c r="AT9" s="800"/>
      <c r="AU9" s="569">
        <f>'BP1'!M15</f>
        <v>0</v>
      </c>
      <c r="AV9" s="569">
        <f>'BP2'!M15</f>
        <v>0</v>
      </c>
      <c r="AW9" s="569">
        <f>'BP3'!M15</f>
        <v>0</v>
      </c>
      <c r="AX9" s="569">
        <f>'BP4'!M15</f>
        <v>0</v>
      </c>
      <c r="AY9" s="569">
        <f>'BP5'!M15</f>
        <v>0</v>
      </c>
      <c r="AZ9" s="569">
        <f>AU9+AV9+AW9+AX9+AY9</f>
        <v>0</v>
      </c>
    </row>
    <row r="10" spans="1:52">
      <c r="A10" s="74" t="str">
        <f>CONCATENATE(V10," Salary")</f>
        <v>Senior Personnel 2 Salary</v>
      </c>
      <c r="B10" s="390">
        <f>'BP1'!$K$16</f>
        <v>0</v>
      </c>
      <c r="C10" s="391">
        <f>'BP1'!$N$16</f>
        <v>0</v>
      </c>
      <c r="D10" s="392"/>
      <c r="E10" s="390">
        <f ca="1">'BP2'!$K$16</f>
        <v>0</v>
      </c>
      <c r="F10" s="391">
        <f ca="1">'BP2'!$N$16</f>
        <v>0</v>
      </c>
      <c r="G10" s="392"/>
      <c r="H10" s="390">
        <f ca="1">'BP3'!$K$16</f>
        <v>0</v>
      </c>
      <c r="I10" s="391">
        <f ca="1">'BP3'!$N$16</f>
        <v>0</v>
      </c>
      <c r="J10" s="392"/>
      <c r="K10" s="390">
        <f ca="1">'BP4'!$K$16</f>
        <v>0</v>
      </c>
      <c r="L10" s="391">
        <f ca="1">'BP4'!$N$16</f>
        <v>0</v>
      </c>
      <c r="M10" s="392"/>
      <c r="N10" s="390">
        <f ca="1">'BP5'!$K$16</f>
        <v>0</v>
      </c>
      <c r="O10" s="391">
        <f ca="1">'BP5'!$N$16</f>
        <v>0</v>
      </c>
      <c r="P10" s="392"/>
      <c r="Q10" s="390">
        <f t="shared" ca="1" si="0"/>
        <v>0</v>
      </c>
      <c r="R10" s="391">
        <f t="shared" ca="1" si="1"/>
        <v>0</v>
      </c>
      <c r="S10" s="65"/>
      <c r="T10" s="115" t="s">
        <v>215</v>
      </c>
      <c r="V10" s="759" t="str">
        <f>IF(ISBLANK('BP1'!$B$16),"Senior Personnel 2",""&amp;'BP1'!$B$16)</f>
        <v>Senior Personnel 2</v>
      </c>
      <c r="W10" s="760"/>
      <c r="X10" s="761"/>
      <c r="Y10" s="564" t="s">
        <v>2</v>
      </c>
      <c r="Z10" s="566" t="s">
        <v>194</v>
      </c>
      <c r="AA10" s="566" t="s">
        <v>195</v>
      </c>
      <c r="AB10" s="564" t="s">
        <v>2</v>
      </c>
      <c r="AC10" s="566" t="s">
        <v>194</v>
      </c>
      <c r="AD10" s="566" t="s">
        <v>195</v>
      </c>
      <c r="AE10" s="564" t="s">
        <v>2</v>
      </c>
      <c r="AF10" s="566" t="s">
        <v>194</v>
      </c>
      <c r="AG10" s="566" t="s">
        <v>195</v>
      </c>
      <c r="AH10" s="564" t="s">
        <v>2</v>
      </c>
      <c r="AI10" s="566" t="s">
        <v>194</v>
      </c>
      <c r="AJ10" s="566" t="s">
        <v>195</v>
      </c>
      <c r="AK10" s="564" t="s">
        <v>2</v>
      </c>
      <c r="AL10" s="566" t="s">
        <v>194</v>
      </c>
      <c r="AM10" s="566" t="s">
        <v>195</v>
      </c>
      <c r="AN10" s="564" t="s">
        <v>2</v>
      </c>
      <c r="AO10" s="566" t="s">
        <v>194</v>
      </c>
      <c r="AP10" s="566" t="s">
        <v>195</v>
      </c>
      <c r="AR10" s="800" t="str">
        <f>IF(ISBLANK('BP1'!$B$16),"Senior Personnel 2",""&amp;'BP1'!$B$16)</f>
        <v>Senior Personnel 2</v>
      </c>
      <c r="AS10" s="800"/>
      <c r="AT10" s="800"/>
      <c r="AU10" s="568" t="s">
        <v>284</v>
      </c>
      <c r="AV10" s="568" t="s">
        <v>284</v>
      </c>
      <c r="AW10" s="568" t="s">
        <v>284</v>
      </c>
      <c r="AX10" s="568" t="s">
        <v>284</v>
      </c>
      <c r="AY10" s="568" t="s">
        <v>284</v>
      </c>
      <c r="AZ10" s="568" t="s">
        <v>284</v>
      </c>
    </row>
    <row r="11" spans="1:52" ht="15.75" customHeight="1">
      <c r="A11" s="74" t="str">
        <f>CONCATENATE(V10," Fringe")</f>
        <v>Senior Personnel 2 Fringe</v>
      </c>
      <c r="B11" s="393">
        <f>'BP1'!$L$16</f>
        <v>0</v>
      </c>
      <c r="C11" s="394">
        <f>'BP1'!$O$16</f>
        <v>0</v>
      </c>
      <c r="D11" s="392"/>
      <c r="E11" s="393">
        <f ca="1">'BP2'!$L$16</f>
        <v>0</v>
      </c>
      <c r="F11" s="394">
        <f ca="1">'BP2'!$O$16</f>
        <v>0</v>
      </c>
      <c r="G11" s="392"/>
      <c r="H11" s="393">
        <f ca="1">'BP3'!$L$16</f>
        <v>0</v>
      </c>
      <c r="I11" s="394">
        <f ca="1">'BP3'!$O$16</f>
        <v>0</v>
      </c>
      <c r="J11" s="392"/>
      <c r="K11" s="393">
        <f ca="1">'BP4'!$L$16</f>
        <v>0</v>
      </c>
      <c r="L11" s="394">
        <f ca="1">'BP4'!$O$16</f>
        <v>0</v>
      </c>
      <c r="M11" s="392"/>
      <c r="N11" s="393">
        <f ca="1">'BP5'!$L$16</f>
        <v>0</v>
      </c>
      <c r="O11" s="394">
        <f ca="1">'BP5'!$O$16</f>
        <v>0</v>
      </c>
      <c r="P11" s="392"/>
      <c r="Q11" s="393">
        <f t="shared" ca="1" si="0"/>
        <v>0</v>
      </c>
      <c r="R11" s="394">
        <f t="shared" ca="1" si="1"/>
        <v>0</v>
      </c>
      <c r="S11" s="65"/>
      <c r="T11" s="115" t="s">
        <v>215</v>
      </c>
      <c r="V11" s="762"/>
      <c r="W11" s="763"/>
      <c r="X11" s="764"/>
      <c r="Y11" s="565">
        <f>'BP1'!H16</f>
        <v>0</v>
      </c>
      <c r="Z11" s="567">
        <f>'BP1'!I16</f>
        <v>0</v>
      </c>
      <c r="AA11" s="567">
        <f>'BP1'!J16</f>
        <v>0</v>
      </c>
      <c r="AB11" s="565">
        <f>'BP2'!H16</f>
        <v>0</v>
      </c>
      <c r="AC11" s="567">
        <f>'BP2'!I16</f>
        <v>0</v>
      </c>
      <c r="AD11" s="567">
        <f>'BP2'!J16</f>
        <v>0</v>
      </c>
      <c r="AE11" s="565">
        <f>'BP3'!H16</f>
        <v>0</v>
      </c>
      <c r="AF11" s="567">
        <f>'BP3'!I16</f>
        <v>0</v>
      </c>
      <c r="AG11" s="567">
        <f>'BP3'!J16</f>
        <v>0</v>
      </c>
      <c r="AH11" s="565">
        <f>'BP4'!H16</f>
        <v>0</v>
      </c>
      <c r="AI11" s="567">
        <f>'BP4'!I16</f>
        <v>0</v>
      </c>
      <c r="AJ11" s="567">
        <f>'BP4'!J16</f>
        <v>0</v>
      </c>
      <c r="AK11" s="565">
        <f>'BP5'!H16</f>
        <v>0</v>
      </c>
      <c r="AL11" s="567">
        <f>'BP5'!I16</f>
        <v>0</v>
      </c>
      <c r="AM11" s="567">
        <f>'BP5'!J16</f>
        <v>0</v>
      </c>
      <c r="AN11" s="565">
        <f>Y11+AB11+AE11+AH11+AK11</f>
        <v>0</v>
      </c>
      <c r="AO11" s="567">
        <f>Z11+AC11+AF11+AI11+AL11</f>
        <v>0</v>
      </c>
      <c r="AP11" s="567">
        <f>AA11+AD11+AG11+AJ11+AM11</f>
        <v>0</v>
      </c>
      <c r="AR11" s="800"/>
      <c r="AS11" s="800"/>
      <c r="AT11" s="800"/>
      <c r="AU11" s="569">
        <f>'BP1'!M16</f>
        <v>0</v>
      </c>
      <c r="AV11" s="569">
        <f>'BP2'!M16</f>
        <v>0</v>
      </c>
      <c r="AW11" s="569">
        <f>'BP3'!M16</f>
        <v>0</v>
      </c>
      <c r="AX11" s="569">
        <f>'BP4'!M16</f>
        <v>0</v>
      </c>
      <c r="AY11" s="569">
        <f>'BP5'!M16</f>
        <v>0</v>
      </c>
      <c r="AZ11" s="569">
        <f>AU11+AV11+AW11+AX11+AY11</f>
        <v>0</v>
      </c>
    </row>
    <row r="12" spans="1:52">
      <c r="A12" s="74" t="str">
        <f>CONCATENATE(V12," Salary")</f>
        <v>Senior Personnel 3 Salary</v>
      </c>
      <c r="B12" s="390">
        <f>'BP1'!$K$17</f>
        <v>0</v>
      </c>
      <c r="C12" s="391">
        <f>'BP1'!$N$17</f>
        <v>0</v>
      </c>
      <c r="D12" s="392"/>
      <c r="E12" s="390">
        <f ca="1">'BP2'!$K$17</f>
        <v>0</v>
      </c>
      <c r="F12" s="391">
        <f ca="1">'BP2'!$N$17</f>
        <v>0</v>
      </c>
      <c r="G12" s="392"/>
      <c r="H12" s="390">
        <f ca="1">'BP3'!$K$17</f>
        <v>0</v>
      </c>
      <c r="I12" s="391">
        <f ca="1">'BP3'!$N$17</f>
        <v>0</v>
      </c>
      <c r="J12" s="392"/>
      <c r="K12" s="390">
        <f ca="1">'BP4'!$K$17</f>
        <v>0</v>
      </c>
      <c r="L12" s="391">
        <f ca="1">'BP4'!$N$17</f>
        <v>0</v>
      </c>
      <c r="M12" s="392"/>
      <c r="N12" s="390">
        <f ca="1">'BP5'!$K$17</f>
        <v>0</v>
      </c>
      <c r="O12" s="391">
        <f ca="1">'BP5'!$N$17</f>
        <v>0</v>
      </c>
      <c r="P12" s="392"/>
      <c r="Q12" s="390">
        <f t="shared" ca="1" si="0"/>
        <v>0</v>
      </c>
      <c r="R12" s="391">
        <f t="shared" ca="1" si="1"/>
        <v>0</v>
      </c>
      <c r="S12" s="65"/>
      <c r="T12" s="115" t="s">
        <v>215</v>
      </c>
      <c r="V12" s="759" t="str">
        <f>IF(ISBLANK('BP1'!$B$17),"Senior Personnel 3",""&amp;'BP1'!$B$17)</f>
        <v>Senior Personnel 3</v>
      </c>
      <c r="W12" s="760"/>
      <c r="X12" s="761"/>
      <c r="Y12" s="564" t="s">
        <v>2</v>
      </c>
      <c r="Z12" s="566" t="s">
        <v>194</v>
      </c>
      <c r="AA12" s="566" t="s">
        <v>195</v>
      </c>
      <c r="AB12" s="564" t="s">
        <v>2</v>
      </c>
      <c r="AC12" s="566" t="s">
        <v>194</v>
      </c>
      <c r="AD12" s="566" t="s">
        <v>195</v>
      </c>
      <c r="AE12" s="564" t="s">
        <v>2</v>
      </c>
      <c r="AF12" s="566" t="s">
        <v>194</v>
      </c>
      <c r="AG12" s="566" t="s">
        <v>195</v>
      </c>
      <c r="AH12" s="564" t="s">
        <v>2</v>
      </c>
      <c r="AI12" s="566" t="s">
        <v>194</v>
      </c>
      <c r="AJ12" s="566" t="s">
        <v>195</v>
      </c>
      <c r="AK12" s="564" t="s">
        <v>2</v>
      </c>
      <c r="AL12" s="566" t="s">
        <v>194</v>
      </c>
      <c r="AM12" s="566" t="s">
        <v>195</v>
      </c>
      <c r="AN12" s="564" t="s">
        <v>2</v>
      </c>
      <c r="AO12" s="566" t="s">
        <v>194</v>
      </c>
      <c r="AP12" s="566" t="s">
        <v>195</v>
      </c>
      <c r="AR12" s="800" t="str">
        <f>IF(ISBLANK('BP1'!$B$17),"Senior Personnel 3",""&amp;'BP1'!$B$17)</f>
        <v>Senior Personnel 3</v>
      </c>
      <c r="AS12" s="800"/>
      <c r="AT12" s="800"/>
      <c r="AU12" s="568" t="s">
        <v>284</v>
      </c>
      <c r="AV12" s="568" t="s">
        <v>284</v>
      </c>
      <c r="AW12" s="568" t="s">
        <v>284</v>
      </c>
      <c r="AX12" s="568" t="s">
        <v>284</v>
      </c>
      <c r="AY12" s="568" t="s">
        <v>284</v>
      </c>
      <c r="AZ12" s="568" t="s">
        <v>284</v>
      </c>
    </row>
    <row r="13" spans="1:52" ht="15.75" customHeight="1">
      <c r="A13" s="74" t="str">
        <f>CONCATENATE(V12," Fringe")</f>
        <v>Senior Personnel 3 Fringe</v>
      </c>
      <c r="B13" s="393">
        <f>'BP1'!$L$17</f>
        <v>0</v>
      </c>
      <c r="C13" s="394">
        <f>'BP1'!$O$17</f>
        <v>0</v>
      </c>
      <c r="D13" s="392"/>
      <c r="E13" s="393">
        <f ca="1">'BP2'!$L$17</f>
        <v>0</v>
      </c>
      <c r="F13" s="394">
        <f ca="1">'BP2'!$O$17</f>
        <v>0</v>
      </c>
      <c r="G13" s="392"/>
      <c r="H13" s="393">
        <f ca="1">'BP3'!$L$17</f>
        <v>0</v>
      </c>
      <c r="I13" s="394">
        <f ca="1">'BP3'!$O$17</f>
        <v>0</v>
      </c>
      <c r="J13" s="392"/>
      <c r="K13" s="393">
        <f ca="1">'BP4'!$L$17</f>
        <v>0</v>
      </c>
      <c r="L13" s="394">
        <f ca="1">'BP4'!$O$17</f>
        <v>0</v>
      </c>
      <c r="M13" s="392"/>
      <c r="N13" s="393">
        <f ca="1">'BP5'!$L$17</f>
        <v>0</v>
      </c>
      <c r="O13" s="394">
        <f ca="1">'BP5'!$O$17</f>
        <v>0</v>
      </c>
      <c r="P13" s="392"/>
      <c r="Q13" s="393">
        <f t="shared" ca="1" si="0"/>
        <v>0</v>
      </c>
      <c r="R13" s="394">
        <f t="shared" ca="1" si="1"/>
        <v>0</v>
      </c>
      <c r="S13" s="65"/>
      <c r="T13" s="115" t="s">
        <v>215</v>
      </c>
      <c r="V13" s="762"/>
      <c r="W13" s="763"/>
      <c r="X13" s="764"/>
      <c r="Y13" s="565">
        <f>'BP1'!H17</f>
        <v>0</v>
      </c>
      <c r="Z13" s="567">
        <f>'BP1'!I17</f>
        <v>0</v>
      </c>
      <c r="AA13" s="567">
        <f>'BP1'!J17</f>
        <v>0</v>
      </c>
      <c r="AB13" s="565">
        <f>'BP2'!H17</f>
        <v>0</v>
      </c>
      <c r="AC13" s="567">
        <f>'BP2'!I17</f>
        <v>0</v>
      </c>
      <c r="AD13" s="567">
        <f>'BP2'!J17</f>
        <v>0</v>
      </c>
      <c r="AE13" s="565">
        <f>'BP3'!H17</f>
        <v>0</v>
      </c>
      <c r="AF13" s="567">
        <f>'BP3'!I17</f>
        <v>0</v>
      </c>
      <c r="AG13" s="567">
        <f>'BP3'!J17</f>
        <v>0</v>
      </c>
      <c r="AH13" s="565">
        <f>'BP4'!H17</f>
        <v>0</v>
      </c>
      <c r="AI13" s="567">
        <f>'BP4'!I17</f>
        <v>0</v>
      </c>
      <c r="AJ13" s="567">
        <f>'BP4'!J17</f>
        <v>0</v>
      </c>
      <c r="AK13" s="565">
        <f>'BP5'!H17</f>
        <v>0</v>
      </c>
      <c r="AL13" s="567">
        <f>'BP5'!I17</f>
        <v>0</v>
      </c>
      <c r="AM13" s="567">
        <f>'BP5'!J17</f>
        <v>0</v>
      </c>
      <c r="AN13" s="565">
        <f>Y13+AB13+AE13+AH13+AK13</f>
        <v>0</v>
      </c>
      <c r="AO13" s="567">
        <f>Z13+AC13+AF13+AI13+AL13</f>
        <v>0</v>
      </c>
      <c r="AP13" s="567">
        <f>AA13+AD13+AG13+AJ13+AM13</f>
        <v>0</v>
      </c>
      <c r="AR13" s="800"/>
      <c r="AS13" s="800"/>
      <c r="AT13" s="800"/>
      <c r="AU13" s="569">
        <f>'BP1'!M17</f>
        <v>0</v>
      </c>
      <c r="AV13" s="569">
        <f>'BP2'!M17</f>
        <v>0</v>
      </c>
      <c r="AW13" s="569">
        <f>'BP3'!M17</f>
        <v>0</v>
      </c>
      <c r="AX13" s="569">
        <f>'BP4'!M17</f>
        <v>0</v>
      </c>
      <c r="AY13" s="569">
        <f>'BP5'!M17</f>
        <v>0</v>
      </c>
      <c r="AZ13" s="569">
        <f>AU13+AV13+AW13+AX13+AY13</f>
        <v>0</v>
      </c>
    </row>
    <row r="14" spans="1:52">
      <c r="A14" s="74" t="str">
        <f>CONCATENATE(V14," Salary")</f>
        <v>Senior Personnel 4 Salary</v>
      </c>
      <c r="B14" s="390">
        <f>'BP1'!$K$18</f>
        <v>0</v>
      </c>
      <c r="C14" s="391">
        <f>'BP1'!$N$18</f>
        <v>0</v>
      </c>
      <c r="D14" s="392"/>
      <c r="E14" s="390">
        <f ca="1">'BP2'!$K$18</f>
        <v>0</v>
      </c>
      <c r="F14" s="391">
        <f ca="1">'BP2'!$N$18</f>
        <v>0</v>
      </c>
      <c r="G14" s="392"/>
      <c r="H14" s="390">
        <f ca="1">'BP3'!$K$18</f>
        <v>0</v>
      </c>
      <c r="I14" s="391">
        <f ca="1">'BP3'!$N$18</f>
        <v>0</v>
      </c>
      <c r="J14" s="392"/>
      <c r="K14" s="390">
        <f ca="1">'BP4'!$K$18</f>
        <v>0</v>
      </c>
      <c r="L14" s="391">
        <f ca="1">'BP4'!$N$18</f>
        <v>0</v>
      </c>
      <c r="M14" s="392"/>
      <c r="N14" s="390">
        <f ca="1">'BP5'!$K$18</f>
        <v>0</v>
      </c>
      <c r="O14" s="391">
        <f ca="1">'BP5'!$N$18</f>
        <v>0</v>
      </c>
      <c r="P14" s="392"/>
      <c r="Q14" s="390">
        <f t="shared" ca="1" si="0"/>
        <v>0</v>
      </c>
      <c r="R14" s="391">
        <f t="shared" ca="1" si="1"/>
        <v>0</v>
      </c>
      <c r="S14" s="65"/>
      <c r="T14" s="115" t="s">
        <v>215</v>
      </c>
      <c r="V14" s="759" t="str">
        <f>IF(ISBLANK('BP1'!$B$18),"Senior Personnel 4",""&amp;'BP1'!$B$18)</f>
        <v>Senior Personnel 4</v>
      </c>
      <c r="W14" s="760"/>
      <c r="X14" s="761"/>
      <c r="Y14" s="564" t="s">
        <v>2</v>
      </c>
      <c r="Z14" s="566" t="s">
        <v>194</v>
      </c>
      <c r="AA14" s="566" t="s">
        <v>195</v>
      </c>
      <c r="AB14" s="564" t="s">
        <v>2</v>
      </c>
      <c r="AC14" s="566" t="s">
        <v>194</v>
      </c>
      <c r="AD14" s="566" t="s">
        <v>195</v>
      </c>
      <c r="AE14" s="564" t="s">
        <v>2</v>
      </c>
      <c r="AF14" s="566" t="s">
        <v>194</v>
      </c>
      <c r="AG14" s="566" t="s">
        <v>195</v>
      </c>
      <c r="AH14" s="564" t="s">
        <v>2</v>
      </c>
      <c r="AI14" s="566" t="s">
        <v>194</v>
      </c>
      <c r="AJ14" s="566" t="s">
        <v>195</v>
      </c>
      <c r="AK14" s="564" t="s">
        <v>2</v>
      </c>
      <c r="AL14" s="566" t="s">
        <v>194</v>
      </c>
      <c r="AM14" s="566" t="s">
        <v>195</v>
      </c>
      <c r="AN14" s="564" t="s">
        <v>2</v>
      </c>
      <c r="AO14" s="566" t="s">
        <v>194</v>
      </c>
      <c r="AP14" s="566" t="s">
        <v>195</v>
      </c>
      <c r="AR14" s="800" t="str">
        <f>IF(ISBLANK('BP1'!$B$18),"Senior Personnel 4",""&amp;'BP1'!$B$18)</f>
        <v>Senior Personnel 4</v>
      </c>
      <c r="AS14" s="800"/>
      <c r="AT14" s="800"/>
      <c r="AU14" s="568" t="s">
        <v>284</v>
      </c>
      <c r="AV14" s="568" t="s">
        <v>284</v>
      </c>
      <c r="AW14" s="568" t="s">
        <v>284</v>
      </c>
      <c r="AX14" s="568" t="s">
        <v>284</v>
      </c>
      <c r="AY14" s="568" t="s">
        <v>284</v>
      </c>
      <c r="AZ14" s="568" t="s">
        <v>284</v>
      </c>
    </row>
    <row r="15" spans="1:52" ht="15.75" customHeight="1">
      <c r="A15" s="74" t="str">
        <f>CONCATENATE(V14," Fringe")</f>
        <v>Senior Personnel 4 Fringe</v>
      </c>
      <c r="B15" s="393">
        <f>'BP1'!$L$18</f>
        <v>0</v>
      </c>
      <c r="C15" s="394">
        <f>'BP1'!$O$18</f>
        <v>0</v>
      </c>
      <c r="D15" s="392"/>
      <c r="E15" s="393">
        <f ca="1">'BP2'!$L$18</f>
        <v>0</v>
      </c>
      <c r="F15" s="394">
        <f ca="1">'BP2'!$O$18</f>
        <v>0</v>
      </c>
      <c r="G15" s="392"/>
      <c r="H15" s="393">
        <f ca="1">'BP3'!$L$18</f>
        <v>0</v>
      </c>
      <c r="I15" s="394">
        <f ca="1">'BP3'!$O$18</f>
        <v>0</v>
      </c>
      <c r="J15" s="392"/>
      <c r="K15" s="393">
        <f ca="1">'BP4'!$L$18</f>
        <v>0</v>
      </c>
      <c r="L15" s="394">
        <f ca="1">'BP4'!$O$18</f>
        <v>0</v>
      </c>
      <c r="M15" s="392"/>
      <c r="N15" s="393">
        <f ca="1">'BP5'!$L$18</f>
        <v>0</v>
      </c>
      <c r="O15" s="394">
        <f ca="1">'BP5'!$O$18</f>
        <v>0</v>
      </c>
      <c r="P15" s="392"/>
      <c r="Q15" s="393">
        <f t="shared" ca="1" si="0"/>
        <v>0</v>
      </c>
      <c r="R15" s="394">
        <f t="shared" ca="1" si="1"/>
        <v>0</v>
      </c>
      <c r="S15" s="65"/>
      <c r="T15" s="115" t="s">
        <v>215</v>
      </c>
      <c r="V15" s="762"/>
      <c r="W15" s="763"/>
      <c r="X15" s="764"/>
      <c r="Y15" s="565">
        <f>'BP1'!H18</f>
        <v>0</v>
      </c>
      <c r="Z15" s="567">
        <f>'BP1'!I18</f>
        <v>0</v>
      </c>
      <c r="AA15" s="567">
        <f>'BP1'!J18</f>
        <v>0</v>
      </c>
      <c r="AB15" s="565">
        <f>'BP2'!H18</f>
        <v>0</v>
      </c>
      <c r="AC15" s="567">
        <f>'BP2'!I18</f>
        <v>0</v>
      </c>
      <c r="AD15" s="567">
        <f>'BP2'!J18</f>
        <v>0</v>
      </c>
      <c r="AE15" s="565">
        <f>'BP3'!H18</f>
        <v>0</v>
      </c>
      <c r="AF15" s="567">
        <f>'BP3'!I18</f>
        <v>0</v>
      </c>
      <c r="AG15" s="567">
        <f>'BP3'!J18</f>
        <v>0</v>
      </c>
      <c r="AH15" s="565">
        <f>'BP4'!H18</f>
        <v>0</v>
      </c>
      <c r="AI15" s="567">
        <f>'BP4'!I18</f>
        <v>0</v>
      </c>
      <c r="AJ15" s="567">
        <f>'BP4'!J18</f>
        <v>0</v>
      </c>
      <c r="AK15" s="565">
        <f>'BP5'!H18</f>
        <v>0</v>
      </c>
      <c r="AL15" s="567">
        <f>'BP5'!I18</f>
        <v>0</v>
      </c>
      <c r="AM15" s="567">
        <f>'BP5'!J18</f>
        <v>0</v>
      </c>
      <c r="AN15" s="565">
        <f>Y15+AB15+AE15+AH15+AK15</f>
        <v>0</v>
      </c>
      <c r="AO15" s="567">
        <f>Z15+AC15+AF15+AI15+AL15</f>
        <v>0</v>
      </c>
      <c r="AP15" s="567">
        <f>AA15+AD15+AG15+AJ15+AM15</f>
        <v>0</v>
      </c>
      <c r="AR15" s="800"/>
      <c r="AS15" s="800"/>
      <c r="AT15" s="800"/>
      <c r="AU15" s="569">
        <f>'BP1'!M18</f>
        <v>0</v>
      </c>
      <c r="AV15" s="569">
        <f>'BP2'!M18</f>
        <v>0</v>
      </c>
      <c r="AW15" s="569">
        <f>'BP3'!M18</f>
        <v>0</v>
      </c>
      <c r="AX15" s="569">
        <f>'BP4'!M18</f>
        <v>0</v>
      </c>
      <c r="AY15" s="569">
        <f>'BP5'!M18</f>
        <v>0</v>
      </c>
      <c r="AZ15" s="569">
        <f>AU15+AV15+AW15+AX15+AY15</f>
        <v>0</v>
      </c>
    </row>
    <row r="16" spans="1:52">
      <c r="A16" s="74" t="str">
        <f>CONCATENATE(V16," Salary")</f>
        <v>Senior Personnel 5 Salary</v>
      </c>
      <c r="B16" s="390">
        <f>'BP1'!$K$19</f>
        <v>0</v>
      </c>
      <c r="C16" s="391">
        <f>'BP1'!$N$19</f>
        <v>0</v>
      </c>
      <c r="D16" s="392"/>
      <c r="E16" s="390">
        <f ca="1">'BP2'!$K$19</f>
        <v>0</v>
      </c>
      <c r="F16" s="391">
        <f ca="1">'BP2'!$N$19</f>
        <v>0</v>
      </c>
      <c r="G16" s="392"/>
      <c r="H16" s="390">
        <f ca="1">'BP3'!$K$19</f>
        <v>0</v>
      </c>
      <c r="I16" s="391">
        <f ca="1">'BP3'!$N$19</f>
        <v>0</v>
      </c>
      <c r="J16" s="392"/>
      <c r="K16" s="390">
        <f ca="1">'BP4'!$K$19</f>
        <v>0</v>
      </c>
      <c r="L16" s="391">
        <f ca="1">'BP4'!$N$19</f>
        <v>0</v>
      </c>
      <c r="M16" s="392"/>
      <c r="N16" s="390">
        <f ca="1">'BP5'!$K$19</f>
        <v>0</v>
      </c>
      <c r="O16" s="391">
        <f ca="1">'BP5'!$N$19</f>
        <v>0</v>
      </c>
      <c r="P16" s="392"/>
      <c r="Q16" s="390">
        <f t="shared" ca="1" si="0"/>
        <v>0</v>
      </c>
      <c r="R16" s="391">
        <f t="shared" ca="1" si="1"/>
        <v>0</v>
      </c>
      <c r="S16" s="65"/>
      <c r="T16" s="115" t="s">
        <v>215</v>
      </c>
      <c r="V16" s="759" t="str">
        <f>IF(ISBLANK('BP1'!$B$19),"Senior Personnel 5",""&amp;'BP1'!$B$19)</f>
        <v>Senior Personnel 5</v>
      </c>
      <c r="W16" s="760"/>
      <c r="X16" s="761"/>
      <c r="Y16" s="564" t="s">
        <v>2</v>
      </c>
      <c r="Z16" s="566" t="s">
        <v>194</v>
      </c>
      <c r="AA16" s="566" t="s">
        <v>195</v>
      </c>
      <c r="AB16" s="564" t="s">
        <v>2</v>
      </c>
      <c r="AC16" s="566" t="s">
        <v>194</v>
      </c>
      <c r="AD16" s="566" t="s">
        <v>195</v>
      </c>
      <c r="AE16" s="564" t="s">
        <v>2</v>
      </c>
      <c r="AF16" s="566" t="s">
        <v>194</v>
      </c>
      <c r="AG16" s="566" t="s">
        <v>195</v>
      </c>
      <c r="AH16" s="564" t="s">
        <v>2</v>
      </c>
      <c r="AI16" s="566" t="s">
        <v>194</v>
      </c>
      <c r="AJ16" s="566" t="s">
        <v>195</v>
      </c>
      <c r="AK16" s="564" t="s">
        <v>2</v>
      </c>
      <c r="AL16" s="566" t="s">
        <v>194</v>
      </c>
      <c r="AM16" s="566" t="s">
        <v>195</v>
      </c>
      <c r="AN16" s="564" t="s">
        <v>2</v>
      </c>
      <c r="AO16" s="566" t="s">
        <v>194</v>
      </c>
      <c r="AP16" s="566" t="s">
        <v>195</v>
      </c>
      <c r="AR16" s="800" t="str">
        <f>IF(ISBLANK('BP1'!$B$19),"Senior Personnel 5",""&amp;'BP1'!$B$19)</f>
        <v>Senior Personnel 5</v>
      </c>
      <c r="AS16" s="800"/>
      <c r="AT16" s="800"/>
      <c r="AU16" s="568" t="s">
        <v>284</v>
      </c>
      <c r="AV16" s="568" t="s">
        <v>284</v>
      </c>
      <c r="AW16" s="568" t="s">
        <v>284</v>
      </c>
      <c r="AX16" s="568" t="s">
        <v>284</v>
      </c>
      <c r="AY16" s="568" t="s">
        <v>284</v>
      </c>
      <c r="AZ16" s="568" t="s">
        <v>284</v>
      </c>
    </row>
    <row r="17" spans="1:52" ht="15.75" customHeight="1">
      <c r="A17" s="74" t="str">
        <f>CONCATENATE(V16," Fringe")</f>
        <v>Senior Personnel 5 Fringe</v>
      </c>
      <c r="B17" s="393">
        <f>'BP1'!$L$19</f>
        <v>0</v>
      </c>
      <c r="C17" s="394">
        <f>'BP1'!$O$19</f>
        <v>0</v>
      </c>
      <c r="D17" s="392"/>
      <c r="E17" s="393">
        <f ca="1">'BP2'!$L$19</f>
        <v>0</v>
      </c>
      <c r="F17" s="394">
        <f ca="1">'BP2'!$O$19</f>
        <v>0</v>
      </c>
      <c r="G17" s="392"/>
      <c r="H17" s="393">
        <f ca="1">'BP3'!$L$19</f>
        <v>0</v>
      </c>
      <c r="I17" s="394">
        <f ca="1">'BP3'!$O$19</f>
        <v>0</v>
      </c>
      <c r="J17" s="392"/>
      <c r="K17" s="393">
        <f ca="1">'BP4'!$L$19</f>
        <v>0</v>
      </c>
      <c r="L17" s="394">
        <f ca="1">'BP4'!$O$19</f>
        <v>0</v>
      </c>
      <c r="M17" s="392"/>
      <c r="N17" s="393">
        <f ca="1">'BP5'!$L$19</f>
        <v>0</v>
      </c>
      <c r="O17" s="394">
        <f ca="1">'BP5'!$O$19</f>
        <v>0</v>
      </c>
      <c r="P17" s="392"/>
      <c r="Q17" s="393">
        <f t="shared" ca="1" si="0"/>
        <v>0</v>
      </c>
      <c r="R17" s="394">
        <f t="shared" ca="1" si="1"/>
        <v>0</v>
      </c>
      <c r="S17" s="65"/>
      <c r="T17" s="115" t="s">
        <v>215</v>
      </c>
      <c r="V17" s="762"/>
      <c r="W17" s="763"/>
      <c r="X17" s="764"/>
      <c r="Y17" s="565">
        <f>'BP1'!H19</f>
        <v>0</v>
      </c>
      <c r="Z17" s="567">
        <f>'BP1'!I19</f>
        <v>0</v>
      </c>
      <c r="AA17" s="567">
        <f>'BP1'!J19</f>
        <v>0</v>
      </c>
      <c r="AB17" s="565">
        <f>'BP2'!H19</f>
        <v>0</v>
      </c>
      <c r="AC17" s="567">
        <f>'BP2'!I19</f>
        <v>0</v>
      </c>
      <c r="AD17" s="567">
        <f>'BP2'!J19</f>
        <v>0</v>
      </c>
      <c r="AE17" s="565">
        <f>'BP3'!H19</f>
        <v>0</v>
      </c>
      <c r="AF17" s="567">
        <f>'BP3'!I19</f>
        <v>0</v>
      </c>
      <c r="AG17" s="567">
        <f>'BP3'!J19</f>
        <v>0</v>
      </c>
      <c r="AH17" s="565">
        <f>'BP4'!H19</f>
        <v>0</v>
      </c>
      <c r="AI17" s="567">
        <f>'BP4'!I19</f>
        <v>0</v>
      </c>
      <c r="AJ17" s="567">
        <f>'BP4'!J19</f>
        <v>0</v>
      </c>
      <c r="AK17" s="565">
        <f>'BP5'!H19</f>
        <v>0</v>
      </c>
      <c r="AL17" s="567">
        <f>'BP5'!I19</f>
        <v>0</v>
      </c>
      <c r="AM17" s="567">
        <f>'BP5'!J19</f>
        <v>0</v>
      </c>
      <c r="AN17" s="565">
        <f>Y17+AB17+AE17+AH17+AK17</f>
        <v>0</v>
      </c>
      <c r="AO17" s="567">
        <f>Z17+AC17+AF17+AI17+AL17</f>
        <v>0</v>
      </c>
      <c r="AP17" s="567">
        <f>AA17+AD17+AG17+AJ17+AM17</f>
        <v>0</v>
      </c>
      <c r="AR17" s="800"/>
      <c r="AS17" s="800"/>
      <c r="AT17" s="800"/>
      <c r="AU17" s="569">
        <f>'BP1'!M19</f>
        <v>0</v>
      </c>
      <c r="AV17" s="569">
        <f>'BP2'!M19</f>
        <v>0</v>
      </c>
      <c r="AW17" s="569">
        <f>'BP3'!M19</f>
        <v>0</v>
      </c>
      <c r="AX17" s="569">
        <f>'BP4'!M19</f>
        <v>0</v>
      </c>
      <c r="AY17" s="569">
        <f>'BP5'!M19</f>
        <v>0</v>
      </c>
      <c r="AZ17" s="569">
        <f>AU17+AV17+AW17+AX17+AY17</f>
        <v>0</v>
      </c>
    </row>
    <row r="18" spans="1:52" ht="15.75" hidden="1" customHeight="1">
      <c r="A18" s="74" t="str">
        <f>CONCATENATE(V18," Salary")</f>
        <v>Senior Personnel 6 Salary</v>
      </c>
      <c r="B18" s="390">
        <f>'BP1'!$K$20</f>
        <v>0</v>
      </c>
      <c r="C18" s="391">
        <f>'BP1'!$N$20</f>
        <v>0</v>
      </c>
      <c r="D18" s="392"/>
      <c r="E18" s="390">
        <f ca="1">'BP2'!$K$20</f>
        <v>0</v>
      </c>
      <c r="F18" s="391">
        <f ca="1">'BP2'!$N$20</f>
        <v>0</v>
      </c>
      <c r="G18" s="392"/>
      <c r="H18" s="390">
        <f ca="1">'BP3'!$K$20</f>
        <v>0</v>
      </c>
      <c r="I18" s="391">
        <f ca="1">'BP3'!$N$20</f>
        <v>0</v>
      </c>
      <c r="J18" s="392"/>
      <c r="K18" s="390">
        <f ca="1">'BP4'!$K$20</f>
        <v>0</v>
      </c>
      <c r="L18" s="391">
        <f ca="1">'BP4'!$N$20</f>
        <v>0</v>
      </c>
      <c r="M18" s="392"/>
      <c r="N18" s="390">
        <f ca="1">'BP5'!$K$20</f>
        <v>0</v>
      </c>
      <c r="O18" s="391">
        <f ca="1">'BP5'!$N$20</f>
        <v>0</v>
      </c>
      <c r="P18" s="392"/>
      <c r="Q18" s="390">
        <f t="shared" ca="1" si="0"/>
        <v>0</v>
      </c>
      <c r="R18" s="391">
        <f t="shared" ca="1" si="1"/>
        <v>0</v>
      </c>
      <c r="S18" s="65"/>
      <c r="T18" s="115" t="s">
        <v>481</v>
      </c>
      <c r="V18" s="759" t="str">
        <f>IF(ISBLANK('BP1'!$B$20),"Senior Personnel 6",""&amp;'BP1'!$B$20)</f>
        <v>Senior Personnel 6</v>
      </c>
      <c r="W18" s="760"/>
      <c r="X18" s="761"/>
      <c r="Y18" s="564" t="s">
        <v>2</v>
      </c>
      <c r="Z18" s="566" t="s">
        <v>194</v>
      </c>
      <c r="AA18" s="566" t="s">
        <v>195</v>
      </c>
      <c r="AB18" s="564" t="s">
        <v>2</v>
      </c>
      <c r="AC18" s="566" t="s">
        <v>194</v>
      </c>
      <c r="AD18" s="566" t="s">
        <v>195</v>
      </c>
      <c r="AE18" s="564" t="s">
        <v>2</v>
      </c>
      <c r="AF18" s="566" t="s">
        <v>194</v>
      </c>
      <c r="AG18" s="566" t="s">
        <v>195</v>
      </c>
      <c r="AH18" s="564" t="s">
        <v>2</v>
      </c>
      <c r="AI18" s="566" t="s">
        <v>194</v>
      </c>
      <c r="AJ18" s="566" t="s">
        <v>195</v>
      </c>
      <c r="AK18" s="564" t="s">
        <v>2</v>
      </c>
      <c r="AL18" s="566" t="s">
        <v>194</v>
      </c>
      <c r="AM18" s="566" t="s">
        <v>195</v>
      </c>
      <c r="AN18" s="564" t="s">
        <v>2</v>
      </c>
      <c r="AO18" s="566" t="s">
        <v>194</v>
      </c>
      <c r="AP18" s="566" t="s">
        <v>195</v>
      </c>
      <c r="AR18" s="800" t="str">
        <f>IF(ISBLANK('BP1'!$B$20),"Senior Personnel 6",""&amp;'BP1'!$B$20)</f>
        <v>Senior Personnel 6</v>
      </c>
      <c r="AS18" s="800"/>
      <c r="AT18" s="800"/>
      <c r="AU18" s="568" t="s">
        <v>284</v>
      </c>
      <c r="AV18" s="568" t="s">
        <v>284</v>
      </c>
      <c r="AW18" s="568" t="s">
        <v>284</v>
      </c>
      <c r="AX18" s="568" t="s">
        <v>284</v>
      </c>
      <c r="AY18" s="568" t="s">
        <v>284</v>
      </c>
      <c r="AZ18" s="568" t="s">
        <v>284</v>
      </c>
    </row>
    <row r="19" spans="1:52" ht="15.75" hidden="1" customHeight="1">
      <c r="A19" s="74" t="str">
        <f>CONCATENATE(V18," Fringe")</f>
        <v>Senior Personnel 6 Fringe</v>
      </c>
      <c r="B19" s="393">
        <f>'BP1'!$L$20</f>
        <v>0</v>
      </c>
      <c r="C19" s="394">
        <f>'BP1'!$O$20</f>
        <v>0</v>
      </c>
      <c r="D19" s="392"/>
      <c r="E19" s="393">
        <f ca="1">'BP2'!$L$20</f>
        <v>0</v>
      </c>
      <c r="F19" s="394">
        <f ca="1">'BP2'!$O$20</f>
        <v>0</v>
      </c>
      <c r="G19" s="392"/>
      <c r="H19" s="393">
        <f ca="1">'BP3'!$L$20</f>
        <v>0</v>
      </c>
      <c r="I19" s="394">
        <f ca="1">'BP3'!$O$20</f>
        <v>0</v>
      </c>
      <c r="J19" s="392"/>
      <c r="K19" s="393">
        <f ca="1">'BP4'!$L$20</f>
        <v>0</v>
      </c>
      <c r="L19" s="394">
        <f ca="1">'BP4'!$O$20</f>
        <v>0</v>
      </c>
      <c r="M19" s="392"/>
      <c r="N19" s="393">
        <f ca="1">'BP5'!$L$20</f>
        <v>0</v>
      </c>
      <c r="O19" s="394">
        <f ca="1">'BP5'!$O$20</f>
        <v>0</v>
      </c>
      <c r="P19" s="392"/>
      <c r="Q19" s="393">
        <f t="shared" ca="1" si="0"/>
        <v>0</v>
      </c>
      <c r="R19" s="394">
        <f t="shared" ca="1" si="1"/>
        <v>0</v>
      </c>
      <c r="S19" s="65"/>
      <c r="T19" s="115" t="s">
        <v>481</v>
      </c>
      <c r="V19" s="762"/>
      <c r="W19" s="763"/>
      <c r="X19" s="764"/>
      <c r="Y19" s="565">
        <f>'BP1'!H20</f>
        <v>0</v>
      </c>
      <c r="Z19" s="567">
        <f>'BP1'!I20</f>
        <v>0</v>
      </c>
      <c r="AA19" s="567">
        <f>'BP1'!J20</f>
        <v>0</v>
      </c>
      <c r="AB19" s="565">
        <f>'BP2'!H20</f>
        <v>0</v>
      </c>
      <c r="AC19" s="567">
        <f>'BP2'!I20</f>
        <v>0</v>
      </c>
      <c r="AD19" s="567">
        <f>'BP2'!J20</f>
        <v>0</v>
      </c>
      <c r="AE19" s="565">
        <f>'BP3'!H20</f>
        <v>0</v>
      </c>
      <c r="AF19" s="567">
        <f>'BP3'!I20</f>
        <v>0</v>
      </c>
      <c r="AG19" s="567">
        <f>'BP3'!J20</f>
        <v>0</v>
      </c>
      <c r="AH19" s="565">
        <f>'BP4'!H20</f>
        <v>0</v>
      </c>
      <c r="AI19" s="567">
        <f>'BP4'!I20</f>
        <v>0</v>
      </c>
      <c r="AJ19" s="567">
        <f>'BP4'!J20</f>
        <v>0</v>
      </c>
      <c r="AK19" s="565">
        <f>'BP5'!H20</f>
        <v>0</v>
      </c>
      <c r="AL19" s="567">
        <f>'BP5'!I20</f>
        <v>0</v>
      </c>
      <c r="AM19" s="567">
        <f>'BP5'!J20</f>
        <v>0</v>
      </c>
      <c r="AN19" s="565">
        <f>Y19+AB19+AE19+AH19+AK19</f>
        <v>0</v>
      </c>
      <c r="AO19" s="567">
        <f>Z19+AC19+AF19+AI19+AL19</f>
        <v>0</v>
      </c>
      <c r="AP19" s="567">
        <f>AA19+AD19+AG19+AJ19+AM19</f>
        <v>0</v>
      </c>
      <c r="AR19" s="800"/>
      <c r="AS19" s="800"/>
      <c r="AT19" s="800"/>
      <c r="AU19" s="569">
        <f>'BP1'!M20</f>
        <v>0</v>
      </c>
      <c r="AV19" s="569">
        <f>'BP2'!M20</f>
        <v>0</v>
      </c>
      <c r="AW19" s="569">
        <f>'BP3'!M20</f>
        <v>0</v>
      </c>
      <c r="AX19" s="569">
        <f>'BP4'!M20</f>
        <v>0</v>
      </c>
      <c r="AY19" s="569">
        <f>'BP5'!M20</f>
        <v>0</v>
      </c>
      <c r="AZ19" s="569">
        <f>AU19+AV19+AW19+AX19+AY19</f>
        <v>0</v>
      </c>
    </row>
    <row r="20" spans="1:52" ht="15.75" hidden="1" customHeight="1">
      <c r="A20" s="74" t="str">
        <f>CONCATENATE(V20," Salary")</f>
        <v>Senior Personnel 7 Salary</v>
      </c>
      <c r="B20" s="390">
        <f>'BP1'!$K$21</f>
        <v>0</v>
      </c>
      <c r="C20" s="391">
        <f>'BP1'!$N$21</f>
        <v>0</v>
      </c>
      <c r="D20" s="392"/>
      <c r="E20" s="390">
        <f ca="1">'BP2'!$K$21</f>
        <v>0</v>
      </c>
      <c r="F20" s="391">
        <f ca="1">'BP2'!$N$21</f>
        <v>0</v>
      </c>
      <c r="G20" s="392"/>
      <c r="H20" s="390">
        <f ca="1">'BP3'!$K$21</f>
        <v>0</v>
      </c>
      <c r="I20" s="391">
        <f ca="1">'BP3'!$N$21</f>
        <v>0</v>
      </c>
      <c r="J20" s="392"/>
      <c r="K20" s="390">
        <f ca="1">'BP4'!$K$21</f>
        <v>0</v>
      </c>
      <c r="L20" s="391">
        <f ca="1">'BP4'!$N$21</f>
        <v>0</v>
      </c>
      <c r="M20" s="392"/>
      <c r="N20" s="390">
        <f ca="1">'BP5'!$K$21</f>
        <v>0</v>
      </c>
      <c r="O20" s="391">
        <f ca="1">'BP5'!$N$21</f>
        <v>0</v>
      </c>
      <c r="P20" s="392"/>
      <c r="Q20" s="390">
        <f t="shared" ca="1" si="0"/>
        <v>0</v>
      </c>
      <c r="R20" s="391">
        <f t="shared" ca="1" si="1"/>
        <v>0</v>
      </c>
      <c r="S20" s="65"/>
      <c r="T20" s="115" t="s">
        <v>481</v>
      </c>
      <c r="V20" s="759" t="str">
        <f>IF(ISBLANK('BP1'!$B$21),"Senior Personnel 7",""&amp;'BP1'!$B$21)</f>
        <v>Senior Personnel 7</v>
      </c>
      <c r="W20" s="760"/>
      <c r="X20" s="761"/>
      <c r="Y20" s="564" t="s">
        <v>2</v>
      </c>
      <c r="Z20" s="566" t="s">
        <v>194</v>
      </c>
      <c r="AA20" s="566" t="s">
        <v>195</v>
      </c>
      <c r="AB20" s="564" t="s">
        <v>2</v>
      </c>
      <c r="AC20" s="566" t="s">
        <v>194</v>
      </c>
      <c r="AD20" s="566" t="s">
        <v>195</v>
      </c>
      <c r="AE20" s="564" t="s">
        <v>2</v>
      </c>
      <c r="AF20" s="566" t="s">
        <v>194</v>
      </c>
      <c r="AG20" s="566" t="s">
        <v>195</v>
      </c>
      <c r="AH20" s="564" t="s">
        <v>2</v>
      </c>
      <c r="AI20" s="566" t="s">
        <v>194</v>
      </c>
      <c r="AJ20" s="566" t="s">
        <v>195</v>
      </c>
      <c r="AK20" s="564" t="s">
        <v>2</v>
      </c>
      <c r="AL20" s="566" t="s">
        <v>194</v>
      </c>
      <c r="AM20" s="566" t="s">
        <v>195</v>
      </c>
      <c r="AN20" s="564" t="s">
        <v>2</v>
      </c>
      <c r="AO20" s="566" t="s">
        <v>194</v>
      </c>
      <c r="AP20" s="566" t="s">
        <v>195</v>
      </c>
      <c r="AR20" s="800" t="str">
        <f>IF(ISBLANK('BP1'!$B$21),"Senior Personnel 7",""&amp;'BP1'!$B$21)</f>
        <v>Senior Personnel 7</v>
      </c>
      <c r="AS20" s="800"/>
      <c r="AT20" s="800"/>
      <c r="AU20" s="568" t="s">
        <v>284</v>
      </c>
      <c r="AV20" s="568" t="s">
        <v>284</v>
      </c>
      <c r="AW20" s="568" t="s">
        <v>284</v>
      </c>
      <c r="AX20" s="568" t="s">
        <v>284</v>
      </c>
      <c r="AY20" s="568" t="s">
        <v>284</v>
      </c>
      <c r="AZ20" s="568" t="s">
        <v>284</v>
      </c>
    </row>
    <row r="21" spans="1:52" ht="15.75" hidden="1" customHeight="1">
      <c r="A21" s="74" t="str">
        <f>CONCATENATE(V20," Fringe")</f>
        <v>Senior Personnel 7 Fringe</v>
      </c>
      <c r="B21" s="393">
        <f>'BP1'!$L$21</f>
        <v>0</v>
      </c>
      <c r="C21" s="394">
        <f>'BP1'!$O$21</f>
        <v>0</v>
      </c>
      <c r="D21" s="392"/>
      <c r="E21" s="393">
        <f ca="1">'BP2'!$L$21</f>
        <v>0</v>
      </c>
      <c r="F21" s="394">
        <f ca="1">'BP2'!$O$21</f>
        <v>0</v>
      </c>
      <c r="G21" s="392"/>
      <c r="H21" s="393">
        <f ca="1">'BP3'!$L$21</f>
        <v>0</v>
      </c>
      <c r="I21" s="394">
        <f ca="1">'BP3'!$O$21</f>
        <v>0</v>
      </c>
      <c r="J21" s="392"/>
      <c r="K21" s="393">
        <f ca="1">'BP4'!$L$21</f>
        <v>0</v>
      </c>
      <c r="L21" s="394">
        <f ca="1">'BP4'!$O$21</f>
        <v>0</v>
      </c>
      <c r="M21" s="392"/>
      <c r="N21" s="393">
        <f ca="1">'BP5'!$L$21</f>
        <v>0</v>
      </c>
      <c r="O21" s="394">
        <f ca="1">'BP5'!$O$21</f>
        <v>0</v>
      </c>
      <c r="P21" s="392"/>
      <c r="Q21" s="393">
        <f t="shared" ca="1" si="0"/>
        <v>0</v>
      </c>
      <c r="R21" s="394">
        <f t="shared" ca="1" si="1"/>
        <v>0</v>
      </c>
      <c r="S21" s="65"/>
      <c r="T21" s="115" t="s">
        <v>481</v>
      </c>
      <c r="V21" s="762"/>
      <c r="W21" s="763"/>
      <c r="X21" s="764"/>
      <c r="Y21" s="565">
        <f>'BP1'!H21</f>
        <v>0</v>
      </c>
      <c r="Z21" s="567">
        <f>'BP1'!I21</f>
        <v>0</v>
      </c>
      <c r="AA21" s="567">
        <f>'BP1'!J21</f>
        <v>0</v>
      </c>
      <c r="AB21" s="565">
        <f>'BP2'!H21</f>
        <v>0</v>
      </c>
      <c r="AC21" s="567">
        <f>'BP2'!I21</f>
        <v>0</v>
      </c>
      <c r="AD21" s="567">
        <f>'BP2'!J21</f>
        <v>0</v>
      </c>
      <c r="AE21" s="565">
        <f>'BP3'!H21</f>
        <v>0</v>
      </c>
      <c r="AF21" s="567">
        <f>'BP3'!I21</f>
        <v>0</v>
      </c>
      <c r="AG21" s="567">
        <f>'BP3'!J21</f>
        <v>0</v>
      </c>
      <c r="AH21" s="565">
        <f>'BP4'!H21</f>
        <v>0</v>
      </c>
      <c r="AI21" s="567">
        <f>'BP4'!I21</f>
        <v>0</v>
      </c>
      <c r="AJ21" s="567">
        <f>'BP4'!J21</f>
        <v>0</v>
      </c>
      <c r="AK21" s="565">
        <f>'BP5'!H21</f>
        <v>0</v>
      </c>
      <c r="AL21" s="567">
        <f>'BP5'!I21</f>
        <v>0</v>
      </c>
      <c r="AM21" s="567">
        <f>'BP5'!J21</f>
        <v>0</v>
      </c>
      <c r="AN21" s="565">
        <f>Y21+AB21+AE21+AH21+AK21</f>
        <v>0</v>
      </c>
      <c r="AO21" s="567">
        <f>Z21+AC21+AF21+AI21+AL21</f>
        <v>0</v>
      </c>
      <c r="AP21" s="567">
        <f>AA21+AD21+AG21+AJ21+AM21</f>
        <v>0</v>
      </c>
      <c r="AR21" s="800"/>
      <c r="AS21" s="800"/>
      <c r="AT21" s="800"/>
      <c r="AU21" s="569">
        <f>'BP1'!M21</f>
        <v>0</v>
      </c>
      <c r="AV21" s="569">
        <f>'BP2'!M21</f>
        <v>0</v>
      </c>
      <c r="AW21" s="569">
        <f>'BP3'!M21</f>
        <v>0</v>
      </c>
      <c r="AX21" s="569">
        <f>'BP4'!M21</f>
        <v>0</v>
      </c>
      <c r="AY21" s="569">
        <f>'BP5'!M21</f>
        <v>0</v>
      </c>
      <c r="AZ21" s="569">
        <f>AU21+AV21+AW21+AX21+AY21</f>
        <v>0</v>
      </c>
    </row>
    <row r="22" spans="1:52" ht="15.75" hidden="1" customHeight="1">
      <c r="A22" s="74" t="str">
        <f>CONCATENATE(V22," Salary")</f>
        <v>Senior Personnel 8 Salary</v>
      </c>
      <c r="B22" s="390">
        <f>'BP1'!$K$22</f>
        <v>0</v>
      </c>
      <c r="C22" s="391">
        <f>'BP1'!$N$22</f>
        <v>0</v>
      </c>
      <c r="D22" s="392"/>
      <c r="E22" s="390">
        <f ca="1">'BP2'!$K$22</f>
        <v>0</v>
      </c>
      <c r="F22" s="391">
        <f ca="1">'BP2'!$N$22</f>
        <v>0</v>
      </c>
      <c r="G22" s="392"/>
      <c r="H22" s="390">
        <f ca="1">'BP3'!$K$22</f>
        <v>0</v>
      </c>
      <c r="I22" s="391">
        <f ca="1">'BP3'!$N$22</f>
        <v>0</v>
      </c>
      <c r="J22" s="392"/>
      <c r="K22" s="390">
        <f ca="1">'BP4'!$K$22</f>
        <v>0</v>
      </c>
      <c r="L22" s="391">
        <f ca="1">'BP4'!$N$22</f>
        <v>0</v>
      </c>
      <c r="M22" s="392"/>
      <c r="N22" s="390">
        <f ca="1">'BP5'!$K$22</f>
        <v>0</v>
      </c>
      <c r="O22" s="391">
        <f ca="1">'BP5'!$N$22</f>
        <v>0</v>
      </c>
      <c r="P22" s="392"/>
      <c r="Q22" s="390">
        <f t="shared" ca="1" si="0"/>
        <v>0</v>
      </c>
      <c r="R22" s="391">
        <f t="shared" ca="1" si="1"/>
        <v>0</v>
      </c>
      <c r="S22" s="65"/>
      <c r="T22" s="115" t="s">
        <v>481</v>
      </c>
      <c r="V22" s="759" t="str">
        <f>IF(ISBLANK('BP1'!$B$22),"Senior Personnel 8",""&amp;'BP1'!$B$22)</f>
        <v>Senior Personnel 8</v>
      </c>
      <c r="W22" s="760"/>
      <c r="X22" s="761"/>
      <c r="Y22" s="564" t="s">
        <v>2</v>
      </c>
      <c r="Z22" s="566" t="s">
        <v>194</v>
      </c>
      <c r="AA22" s="566" t="s">
        <v>195</v>
      </c>
      <c r="AB22" s="564" t="s">
        <v>2</v>
      </c>
      <c r="AC22" s="566" t="s">
        <v>194</v>
      </c>
      <c r="AD22" s="566" t="s">
        <v>195</v>
      </c>
      <c r="AE22" s="564" t="s">
        <v>2</v>
      </c>
      <c r="AF22" s="566" t="s">
        <v>194</v>
      </c>
      <c r="AG22" s="566" t="s">
        <v>195</v>
      </c>
      <c r="AH22" s="564" t="s">
        <v>2</v>
      </c>
      <c r="AI22" s="566" t="s">
        <v>194</v>
      </c>
      <c r="AJ22" s="566" t="s">
        <v>195</v>
      </c>
      <c r="AK22" s="564" t="s">
        <v>2</v>
      </c>
      <c r="AL22" s="566" t="s">
        <v>194</v>
      </c>
      <c r="AM22" s="566" t="s">
        <v>195</v>
      </c>
      <c r="AN22" s="564" t="s">
        <v>2</v>
      </c>
      <c r="AO22" s="566" t="s">
        <v>194</v>
      </c>
      <c r="AP22" s="566" t="s">
        <v>195</v>
      </c>
      <c r="AR22" s="800" t="str">
        <f>IF(ISBLANK('BP1'!$B$22),"Senior Personnel 8",""&amp;'BP1'!$B$22)</f>
        <v>Senior Personnel 8</v>
      </c>
      <c r="AS22" s="800"/>
      <c r="AT22" s="800"/>
      <c r="AU22" s="568" t="s">
        <v>284</v>
      </c>
      <c r="AV22" s="568" t="s">
        <v>284</v>
      </c>
      <c r="AW22" s="568" t="s">
        <v>284</v>
      </c>
      <c r="AX22" s="568" t="s">
        <v>284</v>
      </c>
      <c r="AY22" s="568" t="s">
        <v>284</v>
      </c>
      <c r="AZ22" s="568" t="s">
        <v>284</v>
      </c>
    </row>
    <row r="23" spans="1:52" ht="15.75" hidden="1" customHeight="1">
      <c r="A23" s="74" t="str">
        <f>CONCATENATE(V22," Fringe")</f>
        <v>Senior Personnel 8 Fringe</v>
      </c>
      <c r="B23" s="393">
        <f>'BP1'!$L$22</f>
        <v>0</v>
      </c>
      <c r="C23" s="394">
        <f>'BP1'!$O$22</f>
        <v>0</v>
      </c>
      <c r="D23" s="392"/>
      <c r="E23" s="393">
        <f ca="1">'BP2'!$L$22</f>
        <v>0</v>
      </c>
      <c r="F23" s="394">
        <f ca="1">'BP2'!$O$22</f>
        <v>0</v>
      </c>
      <c r="G23" s="392"/>
      <c r="H23" s="393">
        <f ca="1">'BP3'!$L$22</f>
        <v>0</v>
      </c>
      <c r="I23" s="394">
        <f ca="1">'BP3'!$O$22</f>
        <v>0</v>
      </c>
      <c r="J23" s="392"/>
      <c r="K23" s="393">
        <f ca="1">'BP4'!$L$22</f>
        <v>0</v>
      </c>
      <c r="L23" s="394">
        <f ca="1">'BP4'!$O$22</f>
        <v>0</v>
      </c>
      <c r="M23" s="392"/>
      <c r="N23" s="393">
        <f ca="1">'BP5'!$L$22</f>
        <v>0</v>
      </c>
      <c r="O23" s="394">
        <f ca="1">'BP5'!$O$22</f>
        <v>0</v>
      </c>
      <c r="P23" s="392"/>
      <c r="Q23" s="393">
        <f t="shared" ca="1" si="0"/>
        <v>0</v>
      </c>
      <c r="R23" s="394">
        <f t="shared" ca="1" si="1"/>
        <v>0</v>
      </c>
      <c r="S23" s="65"/>
      <c r="T23" s="115" t="s">
        <v>481</v>
      </c>
      <c r="V23" s="762"/>
      <c r="W23" s="763"/>
      <c r="X23" s="764"/>
      <c r="Y23" s="565">
        <f>'BP1'!H22</f>
        <v>0</v>
      </c>
      <c r="Z23" s="567">
        <f>'BP1'!I22</f>
        <v>0</v>
      </c>
      <c r="AA23" s="567">
        <f>'BP1'!J22</f>
        <v>0</v>
      </c>
      <c r="AB23" s="565">
        <f>'BP2'!H22</f>
        <v>0</v>
      </c>
      <c r="AC23" s="567">
        <f>'BP2'!I22</f>
        <v>0</v>
      </c>
      <c r="AD23" s="567">
        <f>'BP2'!J22</f>
        <v>0</v>
      </c>
      <c r="AE23" s="565">
        <f>'BP3'!H22</f>
        <v>0</v>
      </c>
      <c r="AF23" s="567">
        <f>'BP3'!I22</f>
        <v>0</v>
      </c>
      <c r="AG23" s="567">
        <f>'BP3'!J22</f>
        <v>0</v>
      </c>
      <c r="AH23" s="565">
        <f>'BP4'!H22</f>
        <v>0</v>
      </c>
      <c r="AI23" s="567">
        <f>'BP4'!I22</f>
        <v>0</v>
      </c>
      <c r="AJ23" s="567">
        <f>'BP4'!J22</f>
        <v>0</v>
      </c>
      <c r="AK23" s="565">
        <f>'BP5'!H22</f>
        <v>0</v>
      </c>
      <c r="AL23" s="567">
        <f>'BP5'!I22</f>
        <v>0</v>
      </c>
      <c r="AM23" s="567">
        <f>'BP5'!J22</f>
        <v>0</v>
      </c>
      <c r="AN23" s="565">
        <f>Y23+AB23+AE23+AH23+AK23</f>
        <v>0</v>
      </c>
      <c r="AO23" s="567">
        <f>Z23+AC23+AF23+AI23+AL23</f>
        <v>0</v>
      </c>
      <c r="AP23" s="567">
        <f>AA23+AD23+AG23+AJ23+AM23</f>
        <v>0</v>
      </c>
      <c r="AR23" s="800"/>
      <c r="AS23" s="800"/>
      <c r="AT23" s="800"/>
      <c r="AU23" s="569">
        <f>'BP1'!M22</f>
        <v>0</v>
      </c>
      <c r="AV23" s="569">
        <f>'BP2'!M22</f>
        <v>0</v>
      </c>
      <c r="AW23" s="569">
        <f>'BP3'!M22</f>
        <v>0</v>
      </c>
      <c r="AX23" s="569">
        <f>'BP4'!M22</f>
        <v>0</v>
      </c>
      <c r="AY23" s="569">
        <f>'BP5'!M22</f>
        <v>0</v>
      </c>
      <c r="AZ23" s="569">
        <f>AU23+AV23+AW23+AX23+AY23</f>
        <v>0</v>
      </c>
    </row>
    <row r="24" spans="1:52" ht="15.75" hidden="1" customHeight="1">
      <c r="A24" s="74" t="str">
        <f>CONCATENATE(V24," Salary")</f>
        <v>Senior Personnel 9 Salary</v>
      </c>
      <c r="B24" s="390">
        <f>'BP1'!$K$23</f>
        <v>0</v>
      </c>
      <c r="C24" s="391">
        <f>'BP1'!$N$23</f>
        <v>0</v>
      </c>
      <c r="D24" s="392"/>
      <c r="E24" s="390">
        <f ca="1">'BP2'!$K$23</f>
        <v>0</v>
      </c>
      <c r="F24" s="391">
        <f ca="1">'BP2'!$N$23</f>
        <v>0</v>
      </c>
      <c r="G24" s="392"/>
      <c r="H24" s="390">
        <f ca="1">'BP3'!$K$23</f>
        <v>0</v>
      </c>
      <c r="I24" s="391">
        <f ca="1">'BP3'!$N$23</f>
        <v>0</v>
      </c>
      <c r="J24" s="392"/>
      <c r="K24" s="390">
        <f ca="1">'BP4'!$K$23</f>
        <v>0</v>
      </c>
      <c r="L24" s="391">
        <f ca="1">'BP4'!$N$23</f>
        <v>0</v>
      </c>
      <c r="M24" s="392"/>
      <c r="N24" s="390">
        <f ca="1">'BP5'!$K$23</f>
        <v>0</v>
      </c>
      <c r="O24" s="391">
        <f ca="1">'BP5'!$N$23</f>
        <v>0</v>
      </c>
      <c r="P24" s="392"/>
      <c r="Q24" s="390">
        <f t="shared" ca="1" si="0"/>
        <v>0</v>
      </c>
      <c r="R24" s="391">
        <f t="shared" ca="1" si="1"/>
        <v>0</v>
      </c>
      <c r="S24" s="65"/>
      <c r="T24" s="115" t="s">
        <v>481</v>
      </c>
      <c r="V24" s="759" t="str">
        <f>IF(ISBLANK('BP1'!$B$23),"Senior Personnel 9",""&amp;'BP1'!$B$23)</f>
        <v>Senior Personnel 9</v>
      </c>
      <c r="W24" s="760"/>
      <c r="X24" s="761"/>
      <c r="Y24" s="564" t="s">
        <v>2</v>
      </c>
      <c r="Z24" s="566" t="s">
        <v>194</v>
      </c>
      <c r="AA24" s="566" t="s">
        <v>195</v>
      </c>
      <c r="AB24" s="564" t="s">
        <v>2</v>
      </c>
      <c r="AC24" s="566" t="s">
        <v>194</v>
      </c>
      <c r="AD24" s="566" t="s">
        <v>195</v>
      </c>
      <c r="AE24" s="564" t="s">
        <v>2</v>
      </c>
      <c r="AF24" s="566" t="s">
        <v>194</v>
      </c>
      <c r="AG24" s="566" t="s">
        <v>195</v>
      </c>
      <c r="AH24" s="564" t="s">
        <v>2</v>
      </c>
      <c r="AI24" s="566" t="s">
        <v>194</v>
      </c>
      <c r="AJ24" s="566" t="s">
        <v>195</v>
      </c>
      <c r="AK24" s="564" t="s">
        <v>2</v>
      </c>
      <c r="AL24" s="566" t="s">
        <v>194</v>
      </c>
      <c r="AM24" s="566" t="s">
        <v>195</v>
      </c>
      <c r="AN24" s="564" t="s">
        <v>2</v>
      </c>
      <c r="AO24" s="566" t="s">
        <v>194</v>
      </c>
      <c r="AP24" s="566" t="s">
        <v>195</v>
      </c>
      <c r="AR24" s="800" t="str">
        <f>IF(ISBLANK('BP1'!$B$23),"Senior Personnel 9",""&amp;'BP1'!$B$23)</f>
        <v>Senior Personnel 9</v>
      </c>
      <c r="AS24" s="800"/>
      <c r="AT24" s="800"/>
      <c r="AU24" s="568" t="s">
        <v>284</v>
      </c>
      <c r="AV24" s="568" t="s">
        <v>284</v>
      </c>
      <c r="AW24" s="568" t="s">
        <v>284</v>
      </c>
      <c r="AX24" s="568" t="s">
        <v>284</v>
      </c>
      <c r="AY24" s="568" t="s">
        <v>284</v>
      </c>
      <c r="AZ24" s="568" t="s">
        <v>284</v>
      </c>
    </row>
    <row r="25" spans="1:52" ht="15.75" hidden="1" customHeight="1">
      <c r="A25" s="74" t="str">
        <f>CONCATENATE(V24," Fringe")</f>
        <v>Senior Personnel 9 Fringe</v>
      </c>
      <c r="B25" s="393">
        <f>'BP1'!$L$23</f>
        <v>0</v>
      </c>
      <c r="C25" s="394">
        <f>'BP1'!$O$23</f>
        <v>0</v>
      </c>
      <c r="D25" s="392"/>
      <c r="E25" s="393">
        <f ca="1">'BP2'!$L$23</f>
        <v>0</v>
      </c>
      <c r="F25" s="394">
        <f ca="1">'BP2'!$O$23</f>
        <v>0</v>
      </c>
      <c r="G25" s="392"/>
      <c r="H25" s="393">
        <f ca="1">'BP3'!$L$23</f>
        <v>0</v>
      </c>
      <c r="I25" s="394">
        <f ca="1">'BP3'!$O$23</f>
        <v>0</v>
      </c>
      <c r="J25" s="392"/>
      <c r="K25" s="393">
        <f ca="1">'BP4'!$L$23</f>
        <v>0</v>
      </c>
      <c r="L25" s="394">
        <f ca="1">'BP4'!$O$23</f>
        <v>0</v>
      </c>
      <c r="M25" s="392"/>
      <c r="N25" s="393">
        <f ca="1">'BP5'!$L$23</f>
        <v>0</v>
      </c>
      <c r="O25" s="394">
        <f ca="1">'BP5'!$O$23</f>
        <v>0</v>
      </c>
      <c r="P25" s="392"/>
      <c r="Q25" s="393">
        <f t="shared" ca="1" si="0"/>
        <v>0</v>
      </c>
      <c r="R25" s="394">
        <f t="shared" ca="1" si="1"/>
        <v>0</v>
      </c>
      <c r="S25" s="65"/>
      <c r="T25" s="115" t="s">
        <v>481</v>
      </c>
      <c r="V25" s="762"/>
      <c r="W25" s="763"/>
      <c r="X25" s="764"/>
      <c r="Y25" s="565">
        <f>'BP1'!H23</f>
        <v>0</v>
      </c>
      <c r="Z25" s="567">
        <f>'BP1'!I23</f>
        <v>0</v>
      </c>
      <c r="AA25" s="567">
        <f>'BP1'!J23</f>
        <v>0</v>
      </c>
      <c r="AB25" s="565">
        <f>'BP2'!H23</f>
        <v>0</v>
      </c>
      <c r="AC25" s="567">
        <f>'BP2'!I23</f>
        <v>0</v>
      </c>
      <c r="AD25" s="567">
        <f>'BP2'!J23</f>
        <v>0</v>
      </c>
      <c r="AE25" s="565">
        <f>'BP3'!H23</f>
        <v>0</v>
      </c>
      <c r="AF25" s="567">
        <f>'BP3'!I23</f>
        <v>0</v>
      </c>
      <c r="AG25" s="567">
        <f>'BP3'!J23</f>
        <v>0</v>
      </c>
      <c r="AH25" s="565">
        <f>'BP4'!H23</f>
        <v>0</v>
      </c>
      <c r="AI25" s="567">
        <f>'BP4'!I23</f>
        <v>0</v>
      </c>
      <c r="AJ25" s="567">
        <f>'BP4'!J23</f>
        <v>0</v>
      </c>
      <c r="AK25" s="565">
        <f>'BP5'!H23</f>
        <v>0</v>
      </c>
      <c r="AL25" s="567">
        <f>'BP5'!I23</f>
        <v>0</v>
      </c>
      <c r="AM25" s="567">
        <f>'BP5'!J23</f>
        <v>0</v>
      </c>
      <c r="AN25" s="565">
        <f>Y25+AB25+AE25+AH25+AK25</f>
        <v>0</v>
      </c>
      <c r="AO25" s="567">
        <f>Z25+AC25+AF25+AI25+AL25</f>
        <v>0</v>
      </c>
      <c r="AP25" s="567">
        <f>AA25+AD25+AG25+AJ25+AM25</f>
        <v>0</v>
      </c>
      <c r="AR25" s="800"/>
      <c r="AS25" s="800"/>
      <c r="AT25" s="800"/>
      <c r="AU25" s="569">
        <f>'BP1'!M23</f>
        <v>0</v>
      </c>
      <c r="AV25" s="569">
        <f>'BP2'!M23</f>
        <v>0</v>
      </c>
      <c r="AW25" s="569">
        <f>'BP3'!M23</f>
        <v>0</v>
      </c>
      <c r="AX25" s="569">
        <f>'BP4'!M23</f>
        <v>0</v>
      </c>
      <c r="AY25" s="569">
        <f>'BP5'!M23</f>
        <v>0</v>
      </c>
      <c r="AZ25" s="569">
        <f>AU25+AV25+AW25+AX25+AY25</f>
        <v>0</v>
      </c>
    </row>
    <row r="26" spans="1:52" ht="15.75" hidden="1" customHeight="1">
      <c r="A26" s="74" t="str">
        <f>CONCATENATE(V26," Salary")</f>
        <v>Senior Personnel 10 Salary</v>
      </c>
      <c r="B26" s="390">
        <f>'BP1'!$K$24</f>
        <v>0</v>
      </c>
      <c r="C26" s="391">
        <f>'BP1'!$N$24</f>
        <v>0</v>
      </c>
      <c r="D26" s="392"/>
      <c r="E26" s="390">
        <f ca="1">'BP2'!$K$24</f>
        <v>0</v>
      </c>
      <c r="F26" s="391">
        <f ca="1">'BP2'!$N$24</f>
        <v>0</v>
      </c>
      <c r="G26" s="392"/>
      <c r="H26" s="390">
        <f ca="1">'BP3'!$K$24</f>
        <v>0</v>
      </c>
      <c r="I26" s="391">
        <f ca="1">'BP3'!$N$24</f>
        <v>0</v>
      </c>
      <c r="J26" s="392"/>
      <c r="K26" s="390">
        <f ca="1">'BP4'!$K$24</f>
        <v>0</v>
      </c>
      <c r="L26" s="391">
        <f ca="1">'BP4'!$N$24</f>
        <v>0</v>
      </c>
      <c r="M26" s="392"/>
      <c r="N26" s="390">
        <f ca="1">'BP5'!$K$24</f>
        <v>0</v>
      </c>
      <c r="O26" s="391">
        <f ca="1">'BP5'!$N$24</f>
        <v>0</v>
      </c>
      <c r="P26" s="392"/>
      <c r="Q26" s="390">
        <f t="shared" ca="1" si="0"/>
        <v>0</v>
      </c>
      <c r="R26" s="391">
        <f t="shared" ca="1" si="1"/>
        <v>0</v>
      </c>
      <c r="S26" s="65"/>
      <c r="T26" s="115" t="s">
        <v>481</v>
      </c>
      <c r="V26" s="759" t="str">
        <f>IF(ISBLANK('BP1'!$B$24),"Senior Personnel 10",""&amp;'BP1'!$B$24)</f>
        <v>Senior Personnel 10</v>
      </c>
      <c r="W26" s="760"/>
      <c r="X26" s="761"/>
      <c r="Y26" s="564" t="s">
        <v>2</v>
      </c>
      <c r="Z26" s="566" t="s">
        <v>194</v>
      </c>
      <c r="AA26" s="566" t="s">
        <v>195</v>
      </c>
      <c r="AB26" s="564" t="s">
        <v>2</v>
      </c>
      <c r="AC26" s="566" t="s">
        <v>194</v>
      </c>
      <c r="AD26" s="566" t="s">
        <v>195</v>
      </c>
      <c r="AE26" s="564" t="s">
        <v>2</v>
      </c>
      <c r="AF26" s="566" t="s">
        <v>194</v>
      </c>
      <c r="AG26" s="566" t="s">
        <v>195</v>
      </c>
      <c r="AH26" s="564" t="s">
        <v>2</v>
      </c>
      <c r="AI26" s="566" t="s">
        <v>194</v>
      </c>
      <c r="AJ26" s="566" t="s">
        <v>195</v>
      </c>
      <c r="AK26" s="564" t="s">
        <v>2</v>
      </c>
      <c r="AL26" s="566" t="s">
        <v>194</v>
      </c>
      <c r="AM26" s="566" t="s">
        <v>195</v>
      </c>
      <c r="AN26" s="564" t="s">
        <v>2</v>
      </c>
      <c r="AO26" s="566" t="s">
        <v>194</v>
      </c>
      <c r="AP26" s="566" t="s">
        <v>195</v>
      </c>
      <c r="AR26" s="800" t="str">
        <f>IF(ISBLANK('BP1'!$B$24),"Senior Personnel 10",""&amp;'BP1'!$B$24)</f>
        <v>Senior Personnel 10</v>
      </c>
      <c r="AS26" s="800"/>
      <c r="AT26" s="800"/>
      <c r="AU26" s="568" t="s">
        <v>284</v>
      </c>
      <c r="AV26" s="568" t="s">
        <v>284</v>
      </c>
      <c r="AW26" s="568" t="s">
        <v>284</v>
      </c>
      <c r="AX26" s="568" t="s">
        <v>284</v>
      </c>
      <c r="AY26" s="568" t="s">
        <v>284</v>
      </c>
      <c r="AZ26" s="568" t="s">
        <v>284</v>
      </c>
    </row>
    <row r="27" spans="1:52" ht="15.75" hidden="1" customHeight="1">
      <c r="A27" s="74" t="str">
        <f>CONCATENATE(V26," Fringe")</f>
        <v>Senior Personnel 10 Fringe</v>
      </c>
      <c r="B27" s="393">
        <f>'BP1'!$L$24</f>
        <v>0</v>
      </c>
      <c r="C27" s="394">
        <f>'BP1'!$O$24</f>
        <v>0</v>
      </c>
      <c r="D27" s="392"/>
      <c r="E27" s="393">
        <f ca="1">'BP2'!$L$24</f>
        <v>0</v>
      </c>
      <c r="F27" s="394">
        <f ca="1">'BP2'!$O$24</f>
        <v>0</v>
      </c>
      <c r="G27" s="392"/>
      <c r="H27" s="393">
        <f ca="1">'BP3'!$L$24</f>
        <v>0</v>
      </c>
      <c r="I27" s="394">
        <f ca="1">'BP3'!$O$24</f>
        <v>0</v>
      </c>
      <c r="J27" s="392"/>
      <c r="K27" s="393">
        <f ca="1">'BP4'!$L$24</f>
        <v>0</v>
      </c>
      <c r="L27" s="394">
        <f ca="1">'BP4'!$O$24</f>
        <v>0</v>
      </c>
      <c r="M27" s="392"/>
      <c r="N27" s="393">
        <f ca="1">'BP5'!$L$24</f>
        <v>0</v>
      </c>
      <c r="O27" s="394">
        <f ca="1">'BP5'!$O$24</f>
        <v>0</v>
      </c>
      <c r="P27" s="392"/>
      <c r="Q27" s="393">
        <f t="shared" ca="1" si="0"/>
        <v>0</v>
      </c>
      <c r="R27" s="394">
        <f t="shared" ca="1" si="1"/>
        <v>0</v>
      </c>
      <c r="S27" s="65"/>
      <c r="T27" s="115" t="s">
        <v>481</v>
      </c>
      <c r="V27" s="762"/>
      <c r="W27" s="763"/>
      <c r="X27" s="764"/>
      <c r="Y27" s="565">
        <f>'BP1'!H24</f>
        <v>0</v>
      </c>
      <c r="Z27" s="567">
        <f>'BP1'!I24</f>
        <v>0</v>
      </c>
      <c r="AA27" s="567">
        <f>'BP1'!J24</f>
        <v>0</v>
      </c>
      <c r="AB27" s="565">
        <f>'BP2'!H24</f>
        <v>0</v>
      </c>
      <c r="AC27" s="567">
        <f>'BP2'!I24</f>
        <v>0</v>
      </c>
      <c r="AD27" s="567">
        <f>'BP2'!J24</f>
        <v>0</v>
      </c>
      <c r="AE27" s="565">
        <f>'BP3'!H24</f>
        <v>0</v>
      </c>
      <c r="AF27" s="567">
        <f>'BP3'!I24</f>
        <v>0</v>
      </c>
      <c r="AG27" s="567">
        <f>'BP3'!J24</f>
        <v>0</v>
      </c>
      <c r="AH27" s="565">
        <f>'BP4'!H24</f>
        <v>0</v>
      </c>
      <c r="AI27" s="567">
        <f>'BP4'!I24</f>
        <v>0</v>
      </c>
      <c r="AJ27" s="567">
        <f>'BP4'!J24</f>
        <v>0</v>
      </c>
      <c r="AK27" s="565">
        <f>'BP5'!H24</f>
        <v>0</v>
      </c>
      <c r="AL27" s="567">
        <f>'BP5'!I24</f>
        <v>0</v>
      </c>
      <c r="AM27" s="567">
        <f>'BP5'!J24</f>
        <v>0</v>
      </c>
      <c r="AN27" s="565">
        <f>Y27+AB27+AE27+AH27+AK27</f>
        <v>0</v>
      </c>
      <c r="AO27" s="567">
        <f>Z27+AC27+AF27+AI27+AL27</f>
        <v>0</v>
      </c>
      <c r="AP27" s="567">
        <f>AA27+AD27+AG27+AJ27+AM27</f>
        <v>0</v>
      </c>
      <c r="AR27" s="800"/>
      <c r="AS27" s="800"/>
      <c r="AT27" s="800"/>
      <c r="AU27" s="569">
        <f>'BP1'!M24</f>
        <v>0</v>
      </c>
      <c r="AV27" s="569">
        <f>'BP2'!M24</f>
        <v>0</v>
      </c>
      <c r="AW27" s="569">
        <f>'BP3'!M24</f>
        <v>0</v>
      </c>
      <c r="AX27" s="569">
        <f>'BP4'!M24</f>
        <v>0</v>
      </c>
      <c r="AY27" s="569">
        <f>'BP5'!M24</f>
        <v>0</v>
      </c>
      <c r="AZ27" s="569">
        <f>AU27+AV27+AW27+AX27+AY27</f>
        <v>0</v>
      </c>
    </row>
    <row r="28" spans="1:52" ht="15.75" hidden="1" customHeight="1">
      <c r="A28" s="74" t="str">
        <f>CONCATENATE(V28," Salary")</f>
        <v>Senior Personnel 11 Salary</v>
      </c>
      <c r="B28" s="390">
        <f>'BP1'!$K$25</f>
        <v>0</v>
      </c>
      <c r="C28" s="391">
        <f>'BP1'!$N$25</f>
        <v>0</v>
      </c>
      <c r="D28" s="392"/>
      <c r="E28" s="390">
        <f ca="1">'BP2'!$K$25</f>
        <v>0</v>
      </c>
      <c r="F28" s="391">
        <f ca="1">'BP2'!$N$25</f>
        <v>0</v>
      </c>
      <c r="G28" s="392"/>
      <c r="H28" s="390">
        <f ca="1">'BP3'!$K$25</f>
        <v>0</v>
      </c>
      <c r="I28" s="391">
        <f ca="1">'BP3'!$N$25</f>
        <v>0</v>
      </c>
      <c r="J28" s="392"/>
      <c r="K28" s="390">
        <f ca="1">'BP4'!$K$25</f>
        <v>0</v>
      </c>
      <c r="L28" s="391">
        <f ca="1">'BP4'!$N$25</f>
        <v>0</v>
      </c>
      <c r="M28" s="392"/>
      <c r="N28" s="390">
        <f ca="1">'BP5'!$K$25</f>
        <v>0</v>
      </c>
      <c r="O28" s="391">
        <f ca="1">'BP5'!$N$25</f>
        <v>0</v>
      </c>
      <c r="P28" s="392"/>
      <c r="Q28" s="390">
        <f t="shared" ca="1" si="0"/>
        <v>0</v>
      </c>
      <c r="R28" s="391">
        <f t="shared" ca="1" si="1"/>
        <v>0</v>
      </c>
      <c r="S28" s="65"/>
      <c r="T28" s="115" t="s">
        <v>482</v>
      </c>
      <c r="V28" s="759" t="str">
        <f>IF(ISBLANK('BP1'!$B$25),"Senior Personnel 11",""&amp;'BP1'!$B$25)</f>
        <v>Senior Personnel 11</v>
      </c>
      <c r="W28" s="760"/>
      <c r="X28" s="761"/>
      <c r="Y28" s="564" t="s">
        <v>2</v>
      </c>
      <c r="Z28" s="566" t="s">
        <v>194</v>
      </c>
      <c r="AA28" s="566" t="s">
        <v>195</v>
      </c>
      <c r="AB28" s="564" t="s">
        <v>2</v>
      </c>
      <c r="AC28" s="566" t="s">
        <v>194</v>
      </c>
      <c r="AD28" s="566" t="s">
        <v>195</v>
      </c>
      <c r="AE28" s="564" t="s">
        <v>2</v>
      </c>
      <c r="AF28" s="566" t="s">
        <v>194</v>
      </c>
      <c r="AG28" s="566" t="s">
        <v>195</v>
      </c>
      <c r="AH28" s="564" t="s">
        <v>2</v>
      </c>
      <c r="AI28" s="566" t="s">
        <v>194</v>
      </c>
      <c r="AJ28" s="566" t="s">
        <v>195</v>
      </c>
      <c r="AK28" s="564" t="s">
        <v>2</v>
      </c>
      <c r="AL28" s="566" t="s">
        <v>194</v>
      </c>
      <c r="AM28" s="566" t="s">
        <v>195</v>
      </c>
      <c r="AN28" s="564" t="s">
        <v>2</v>
      </c>
      <c r="AO28" s="566" t="s">
        <v>194</v>
      </c>
      <c r="AP28" s="566" t="s">
        <v>195</v>
      </c>
      <c r="AR28" s="800" t="str">
        <f>IF(ISBLANK('BP1'!$B$25),"Senior Personnel 11",""&amp;'BP1'!$B$25)</f>
        <v>Senior Personnel 11</v>
      </c>
      <c r="AS28" s="800"/>
      <c r="AT28" s="800"/>
      <c r="AU28" s="568" t="s">
        <v>284</v>
      </c>
      <c r="AV28" s="568" t="s">
        <v>284</v>
      </c>
      <c r="AW28" s="568" t="s">
        <v>284</v>
      </c>
      <c r="AX28" s="568" t="s">
        <v>284</v>
      </c>
      <c r="AY28" s="568" t="s">
        <v>284</v>
      </c>
      <c r="AZ28" s="568" t="s">
        <v>284</v>
      </c>
    </row>
    <row r="29" spans="1:52" ht="15.75" hidden="1" customHeight="1">
      <c r="A29" s="74" t="str">
        <f>CONCATENATE(V28," Fringe")</f>
        <v>Senior Personnel 11 Fringe</v>
      </c>
      <c r="B29" s="393">
        <f>'BP1'!$L$25</f>
        <v>0</v>
      </c>
      <c r="C29" s="394">
        <f>'BP1'!$O$25</f>
        <v>0</v>
      </c>
      <c r="D29" s="392"/>
      <c r="E29" s="393">
        <f ca="1">'BP2'!$L$25</f>
        <v>0</v>
      </c>
      <c r="F29" s="394">
        <f ca="1">'BP2'!$O$25</f>
        <v>0</v>
      </c>
      <c r="G29" s="392"/>
      <c r="H29" s="393">
        <f ca="1">'BP3'!$L$25</f>
        <v>0</v>
      </c>
      <c r="I29" s="394">
        <f ca="1">'BP3'!$O$25</f>
        <v>0</v>
      </c>
      <c r="J29" s="392"/>
      <c r="K29" s="393">
        <f ca="1">'BP4'!$L$25</f>
        <v>0</v>
      </c>
      <c r="L29" s="394">
        <f ca="1">'BP4'!$O$25</f>
        <v>0</v>
      </c>
      <c r="M29" s="392"/>
      <c r="N29" s="393">
        <f ca="1">'BP5'!$L$25</f>
        <v>0</v>
      </c>
      <c r="O29" s="394">
        <f ca="1">'BP5'!$O$25</f>
        <v>0</v>
      </c>
      <c r="P29" s="392"/>
      <c r="Q29" s="393">
        <f t="shared" ca="1" si="0"/>
        <v>0</v>
      </c>
      <c r="R29" s="394">
        <f t="shared" ca="1" si="1"/>
        <v>0</v>
      </c>
      <c r="S29" s="65"/>
      <c r="T29" s="115" t="s">
        <v>482</v>
      </c>
      <c r="V29" s="762"/>
      <c r="W29" s="763"/>
      <c r="X29" s="764"/>
      <c r="Y29" s="565">
        <f>'BP1'!H25</f>
        <v>0</v>
      </c>
      <c r="Z29" s="567">
        <f>'BP1'!I25</f>
        <v>0</v>
      </c>
      <c r="AA29" s="567">
        <f>'BP1'!J25</f>
        <v>0</v>
      </c>
      <c r="AB29" s="565">
        <f>'BP2'!H25</f>
        <v>0</v>
      </c>
      <c r="AC29" s="567">
        <f>'BP2'!I25</f>
        <v>0</v>
      </c>
      <c r="AD29" s="567">
        <f>'BP2'!J25</f>
        <v>0</v>
      </c>
      <c r="AE29" s="565">
        <f>'BP3'!H25</f>
        <v>0</v>
      </c>
      <c r="AF29" s="567">
        <f>'BP3'!I25</f>
        <v>0</v>
      </c>
      <c r="AG29" s="567">
        <f>'BP3'!J25</f>
        <v>0</v>
      </c>
      <c r="AH29" s="565">
        <f>'BP4'!H25</f>
        <v>0</v>
      </c>
      <c r="AI29" s="567">
        <f>'BP4'!I25</f>
        <v>0</v>
      </c>
      <c r="AJ29" s="567">
        <f>'BP4'!J25</f>
        <v>0</v>
      </c>
      <c r="AK29" s="565">
        <f>'BP5'!H25</f>
        <v>0</v>
      </c>
      <c r="AL29" s="567">
        <f>'BP5'!I25</f>
        <v>0</v>
      </c>
      <c r="AM29" s="567">
        <f>'BP5'!J25</f>
        <v>0</v>
      </c>
      <c r="AN29" s="565">
        <f>Y29+AB29+AE29+AH29+AK29</f>
        <v>0</v>
      </c>
      <c r="AO29" s="567">
        <f>Z29+AC29+AF29+AI29+AL29</f>
        <v>0</v>
      </c>
      <c r="AP29" s="567">
        <f>AA29+AD29+AG29+AJ29+AM29</f>
        <v>0</v>
      </c>
      <c r="AR29" s="800"/>
      <c r="AS29" s="800"/>
      <c r="AT29" s="800"/>
      <c r="AU29" s="569">
        <f>'BP1'!M25</f>
        <v>0</v>
      </c>
      <c r="AV29" s="569">
        <f>'BP2'!M25</f>
        <v>0</v>
      </c>
      <c r="AW29" s="569">
        <f>'BP3'!M25</f>
        <v>0</v>
      </c>
      <c r="AX29" s="569">
        <f>'BP4'!M25</f>
        <v>0</v>
      </c>
      <c r="AY29" s="569">
        <f>'BP5'!M25</f>
        <v>0</v>
      </c>
      <c r="AZ29" s="569">
        <f>AU29+AV29+AW29+AX29+AY29</f>
        <v>0</v>
      </c>
    </row>
    <row r="30" spans="1:52" ht="15.75" hidden="1" customHeight="1">
      <c r="A30" s="74" t="str">
        <f>CONCATENATE(V30," Salary")</f>
        <v>Senior Personnel 12 Salary</v>
      </c>
      <c r="B30" s="390">
        <f>'BP1'!$K$26</f>
        <v>0</v>
      </c>
      <c r="C30" s="391">
        <f>'BP1'!$N$26</f>
        <v>0</v>
      </c>
      <c r="D30" s="392"/>
      <c r="E30" s="390">
        <f ca="1">'BP2'!$K$26</f>
        <v>0</v>
      </c>
      <c r="F30" s="391">
        <f ca="1">'BP2'!$N$26</f>
        <v>0</v>
      </c>
      <c r="G30" s="392"/>
      <c r="H30" s="390">
        <f ca="1">'BP3'!$K$26</f>
        <v>0</v>
      </c>
      <c r="I30" s="391">
        <f ca="1">'BP3'!$N$26</f>
        <v>0</v>
      </c>
      <c r="J30" s="392"/>
      <c r="K30" s="390">
        <f ca="1">'BP4'!$K$26</f>
        <v>0</v>
      </c>
      <c r="L30" s="391">
        <f ca="1">'BP4'!$N$26</f>
        <v>0</v>
      </c>
      <c r="M30" s="392"/>
      <c r="N30" s="390">
        <f ca="1">'BP5'!$K$26</f>
        <v>0</v>
      </c>
      <c r="O30" s="391">
        <f ca="1">'BP5'!$N$26</f>
        <v>0</v>
      </c>
      <c r="P30" s="392"/>
      <c r="Q30" s="390">
        <f t="shared" ca="1" si="0"/>
        <v>0</v>
      </c>
      <c r="R30" s="391">
        <f t="shared" ca="1" si="1"/>
        <v>0</v>
      </c>
      <c r="S30" s="65"/>
      <c r="T30" s="115" t="s">
        <v>482</v>
      </c>
      <c r="V30" s="759" t="str">
        <f>IF(ISBLANK('BP1'!$B$26),"Senior Personnel 12",""&amp;'BP1'!$B$26)</f>
        <v>Senior Personnel 12</v>
      </c>
      <c r="W30" s="760"/>
      <c r="X30" s="761"/>
      <c r="Y30" s="564" t="s">
        <v>2</v>
      </c>
      <c r="Z30" s="566" t="s">
        <v>194</v>
      </c>
      <c r="AA30" s="566" t="s">
        <v>195</v>
      </c>
      <c r="AB30" s="564" t="s">
        <v>2</v>
      </c>
      <c r="AC30" s="566" t="s">
        <v>194</v>
      </c>
      <c r="AD30" s="566" t="s">
        <v>195</v>
      </c>
      <c r="AE30" s="564" t="s">
        <v>2</v>
      </c>
      <c r="AF30" s="566" t="s">
        <v>194</v>
      </c>
      <c r="AG30" s="566" t="s">
        <v>195</v>
      </c>
      <c r="AH30" s="564" t="s">
        <v>2</v>
      </c>
      <c r="AI30" s="566" t="s">
        <v>194</v>
      </c>
      <c r="AJ30" s="566" t="s">
        <v>195</v>
      </c>
      <c r="AK30" s="564" t="s">
        <v>2</v>
      </c>
      <c r="AL30" s="566" t="s">
        <v>194</v>
      </c>
      <c r="AM30" s="566" t="s">
        <v>195</v>
      </c>
      <c r="AN30" s="564" t="s">
        <v>2</v>
      </c>
      <c r="AO30" s="566" t="s">
        <v>194</v>
      </c>
      <c r="AP30" s="566" t="s">
        <v>195</v>
      </c>
      <c r="AR30" s="800" t="str">
        <f>IF(ISBLANK('BP1'!$B$26),"Senior Personnel 12",""&amp;'BP1'!$B$26)</f>
        <v>Senior Personnel 12</v>
      </c>
      <c r="AS30" s="800"/>
      <c r="AT30" s="800"/>
      <c r="AU30" s="568" t="s">
        <v>284</v>
      </c>
      <c r="AV30" s="568" t="s">
        <v>284</v>
      </c>
      <c r="AW30" s="568" t="s">
        <v>284</v>
      </c>
      <c r="AX30" s="568" t="s">
        <v>284</v>
      </c>
      <c r="AY30" s="568" t="s">
        <v>284</v>
      </c>
      <c r="AZ30" s="568" t="s">
        <v>284</v>
      </c>
    </row>
    <row r="31" spans="1:52" ht="15.75" hidden="1" customHeight="1">
      <c r="A31" s="74" t="str">
        <f>CONCATENATE(V30," Fringe")</f>
        <v>Senior Personnel 12 Fringe</v>
      </c>
      <c r="B31" s="393">
        <f>'BP1'!$L$26</f>
        <v>0</v>
      </c>
      <c r="C31" s="394">
        <f>'BP1'!$O$26</f>
        <v>0</v>
      </c>
      <c r="D31" s="392"/>
      <c r="E31" s="393">
        <f ca="1">'BP2'!$L$26</f>
        <v>0</v>
      </c>
      <c r="F31" s="394">
        <f ca="1">'BP2'!$O$26</f>
        <v>0</v>
      </c>
      <c r="G31" s="392"/>
      <c r="H31" s="393">
        <f ca="1">'BP3'!$L$26</f>
        <v>0</v>
      </c>
      <c r="I31" s="394">
        <f ca="1">'BP3'!$O$26</f>
        <v>0</v>
      </c>
      <c r="J31" s="392"/>
      <c r="K31" s="393">
        <f ca="1">'BP4'!$L$26</f>
        <v>0</v>
      </c>
      <c r="L31" s="394">
        <f ca="1">'BP4'!$O$26</f>
        <v>0</v>
      </c>
      <c r="M31" s="392"/>
      <c r="N31" s="393">
        <f ca="1">'BP5'!$L$26</f>
        <v>0</v>
      </c>
      <c r="O31" s="394">
        <f ca="1">'BP5'!$O$26</f>
        <v>0</v>
      </c>
      <c r="P31" s="392"/>
      <c r="Q31" s="393">
        <f t="shared" ca="1" si="0"/>
        <v>0</v>
      </c>
      <c r="R31" s="394">
        <f t="shared" ca="1" si="1"/>
        <v>0</v>
      </c>
      <c r="S31" s="65"/>
      <c r="T31" s="115" t="s">
        <v>482</v>
      </c>
      <c r="V31" s="762"/>
      <c r="W31" s="763"/>
      <c r="X31" s="764"/>
      <c r="Y31" s="565">
        <f>'BP1'!H26</f>
        <v>0</v>
      </c>
      <c r="Z31" s="567">
        <f>'BP1'!I26</f>
        <v>0</v>
      </c>
      <c r="AA31" s="567">
        <f>'BP1'!J26</f>
        <v>0</v>
      </c>
      <c r="AB31" s="565">
        <f>'BP2'!H26</f>
        <v>0</v>
      </c>
      <c r="AC31" s="567">
        <f>'BP2'!I26</f>
        <v>0</v>
      </c>
      <c r="AD31" s="567">
        <f>'BP2'!J26</f>
        <v>0</v>
      </c>
      <c r="AE31" s="565">
        <f>'BP3'!H26</f>
        <v>0</v>
      </c>
      <c r="AF31" s="567">
        <f>'BP3'!I26</f>
        <v>0</v>
      </c>
      <c r="AG31" s="567">
        <f>'BP3'!J26</f>
        <v>0</v>
      </c>
      <c r="AH31" s="565">
        <f>'BP4'!H26</f>
        <v>0</v>
      </c>
      <c r="AI31" s="567">
        <f>'BP4'!I26</f>
        <v>0</v>
      </c>
      <c r="AJ31" s="567">
        <f>'BP4'!J26</f>
        <v>0</v>
      </c>
      <c r="AK31" s="565">
        <f>'BP5'!H26</f>
        <v>0</v>
      </c>
      <c r="AL31" s="567">
        <f>'BP5'!I26</f>
        <v>0</v>
      </c>
      <c r="AM31" s="567">
        <f>'BP5'!J26</f>
        <v>0</v>
      </c>
      <c r="AN31" s="565">
        <f>Y31+AB31+AE31+AH31+AK31</f>
        <v>0</v>
      </c>
      <c r="AO31" s="567">
        <f>Z31+AC31+AF31+AI31+AL31</f>
        <v>0</v>
      </c>
      <c r="AP31" s="567">
        <f>AA31+AD31+AG31+AJ31+AM31</f>
        <v>0</v>
      </c>
      <c r="AR31" s="800"/>
      <c r="AS31" s="800"/>
      <c r="AT31" s="800"/>
      <c r="AU31" s="569">
        <f>'BP1'!M26</f>
        <v>0</v>
      </c>
      <c r="AV31" s="569">
        <f>'BP2'!M26</f>
        <v>0</v>
      </c>
      <c r="AW31" s="569">
        <f>'BP3'!M26</f>
        <v>0</v>
      </c>
      <c r="AX31" s="569">
        <f>'BP4'!M26</f>
        <v>0</v>
      </c>
      <c r="AY31" s="569">
        <f>'BP5'!M26</f>
        <v>0</v>
      </c>
      <c r="AZ31" s="569">
        <f>AU31+AV31+AW31+AX31+AY31</f>
        <v>0</v>
      </c>
    </row>
    <row r="32" spans="1:52" ht="15.75" hidden="1" customHeight="1">
      <c r="A32" s="74" t="str">
        <f>CONCATENATE(V32," Salary")</f>
        <v>Senior Personnel 13 Salary</v>
      </c>
      <c r="B32" s="390">
        <f>'BP1'!$K$27</f>
        <v>0</v>
      </c>
      <c r="C32" s="391">
        <f>'BP1'!$N$27</f>
        <v>0</v>
      </c>
      <c r="D32" s="392"/>
      <c r="E32" s="390">
        <f ca="1">'BP2'!$K$27</f>
        <v>0</v>
      </c>
      <c r="F32" s="391">
        <f ca="1">'BP2'!$N$27</f>
        <v>0</v>
      </c>
      <c r="G32" s="392"/>
      <c r="H32" s="390">
        <f ca="1">'BP3'!$K$27</f>
        <v>0</v>
      </c>
      <c r="I32" s="391">
        <f ca="1">'BP3'!$N$27</f>
        <v>0</v>
      </c>
      <c r="J32" s="392"/>
      <c r="K32" s="390">
        <f ca="1">'BP4'!$K$27</f>
        <v>0</v>
      </c>
      <c r="L32" s="391">
        <f ca="1">'BP4'!$N$27</f>
        <v>0</v>
      </c>
      <c r="M32" s="392"/>
      <c r="N32" s="390">
        <f ca="1">'BP5'!$K$27</f>
        <v>0</v>
      </c>
      <c r="O32" s="391">
        <f ca="1">'BP5'!$N$27</f>
        <v>0</v>
      </c>
      <c r="P32" s="392"/>
      <c r="Q32" s="390">
        <f t="shared" ca="1" si="0"/>
        <v>0</v>
      </c>
      <c r="R32" s="391">
        <f t="shared" ca="1" si="1"/>
        <v>0</v>
      </c>
      <c r="S32" s="65"/>
      <c r="T32" s="115" t="s">
        <v>482</v>
      </c>
      <c r="V32" s="759" t="str">
        <f>IF(ISBLANK('BP1'!$B$27),"Senior Personnel 13",""&amp;'BP1'!$B$27)</f>
        <v>Senior Personnel 13</v>
      </c>
      <c r="W32" s="760"/>
      <c r="X32" s="761"/>
      <c r="Y32" s="564" t="s">
        <v>2</v>
      </c>
      <c r="Z32" s="566" t="s">
        <v>194</v>
      </c>
      <c r="AA32" s="566" t="s">
        <v>195</v>
      </c>
      <c r="AB32" s="564" t="s">
        <v>2</v>
      </c>
      <c r="AC32" s="566" t="s">
        <v>194</v>
      </c>
      <c r="AD32" s="566" t="s">
        <v>195</v>
      </c>
      <c r="AE32" s="564" t="s">
        <v>2</v>
      </c>
      <c r="AF32" s="566" t="s">
        <v>194</v>
      </c>
      <c r="AG32" s="566" t="s">
        <v>195</v>
      </c>
      <c r="AH32" s="564" t="s">
        <v>2</v>
      </c>
      <c r="AI32" s="566" t="s">
        <v>194</v>
      </c>
      <c r="AJ32" s="566" t="s">
        <v>195</v>
      </c>
      <c r="AK32" s="564" t="s">
        <v>2</v>
      </c>
      <c r="AL32" s="566" t="s">
        <v>194</v>
      </c>
      <c r="AM32" s="566" t="s">
        <v>195</v>
      </c>
      <c r="AN32" s="564" t="s">
        <v>2</v>
      </c>
      <c r="AO32" s="566" t="s">
        <v>194</v>
      </c>
      <c r="AP32" s="566" t="s">
        <v>195</v>
      </c>
      <c r="AR32" s="800" t="str">
        <f>IF(ISBLANK('BP1'!$B$27),"Senior Personnel 13",""&amp;'BP1'!$B$27)</f>
        <v>Senior Personnel 13</v>
      </c>
      <c r="AS32" s="800"/>
      <c r="AT32" s="800"/>
      <c r="AU32" s="568" t="s">
        <v>284</v>
      </c>
      <c r="AV32" s="568" t="s">
        <v>284</v>
      </c>
      <c r="AW32" s="568" t="s">
        <v>284</v>
      </c>
      <c r="AX32" s="568" t="s">
        <v>284</v>
      </c>
      <c r="AY32" s="568" t="s">
        <v>284</v>
      </c>
      <c r="AZ32" s="568" t="s">
        <v>284</v>
      </c>
    </row>
    <row r="33" spans="1:52" ht="15.75" hidden="1" customHeight="1">
      <c r="A33" s="74" t="str">
        <f>CONCATENATE(V32," Fringe")</f>
        <v>Senior Personnel 13 Fringe</v>
      </c>
      <c r="B33" s="393">
        <f>'BP1'!$L$27</f>
        <v>0</v>
      </c>
      <c r="C33" s="394">
        <f>'BP1'!$O$27</f>
        <v>0</v>
      </c>
      <c r="D33" s="392"/>
      <c r="E33" s="393">
        <f ca="1">'BP2'!$L$27</f>
        <v>0</v>
      </c>
      <c r="F33" s="394">
        <f ca="1">'BP2'!$O$27</f>
        <v>0</v>
      </c>
      <c r="G33" s="392"/>
      <c r="H33" s="393">
        <f ca="1">'BP3'!$L$27</f>
        <v>0</v>
      </c>
      <c r="I33" s="394">
        <f ca="1">'BP3'!$O$27</f>
        <v>0</v>
      </c>
      <c r="J33" s="392"/>
      <c r="K33" s="393">
        <f ca="1">'BP4'!$L$27</f>
        <v>0</v>
      </c>
      <c r="L33" s="394">
        <f ca="1">'BP4'!$O$27</f>
        <v>0</v>
      </c>
      <c r="M33" s="392"/>
      <c r="N33" s="393">
        <f ca="1">'BP5'!$L$27</f>
        <v>0</v>
      </c>
      <c r="O33" s="394">
        <f ca="1">'BP5'!$O$27</f>
        <v>0</v>
      </c>
      <c r="P33" s="392"/>
      <c r="Q33" s="393">
        <f t="shared" ca="1" si="0"/>
        <v>0</v>
      </c>
      <c r="R33" s="394">
        <f t="shared" ca="1" si="1"/>
        <v>0</v>
      </c>
      <c r="S33" s="65"/>
      <c r="T33" s="115" t="s">
        <v>482</v>
      </c>
      <c r="V33" s="762"/>
      <c r="W33" s="763"/>
      <c r="X33" s="764"/>
      <c r="Y33" s="565">
        <f>'BP1'!H27</f>
        <v>0</v>
      </c>
      <c r="Z33" s="567">
        <f>'BP1'!I27</f>
        <v>0</v>
      </c>
      <c r="AA33" s="567">
        <f>'BP1'!J27</f>
        <v>0</v>
      </c>
      <c r="AB33" s="565">
        <f>'BP2'!H27</f>
        <v>0</v>
      </c>
      <c r="AC33" s="567">
        <f>'BP2'!I27</f>
        <v>0</v>
      </c>
      <c r="AD33" s="567">
        <f>'BP2'!J27</f>
        <v>0</v>
      </c>
      <c r="AE33" s="565">
        <f>'BP3'!H27</f>
        <v>0</v>
      </c>
      <c r="AF33" s="567">
        <f>'BP3'!I27</f>
        <v>0</v>
      </c>
      <c r="AG33" s="567">
        <f>'BP3'!J27</f>
        <v>0</v>
      </c>
      <c r="AH33" s="565">
        <f>'BP4'!H27</f>
        <v>0</v>
      </c>
      <c r="AI33" s="567">
        <f>'BP4'!I27</f>
        <v>0</v>
      </c>
      <c r="AJ33" s="567">
        <f>'BP4'!J27</f>
        <v>0</v>
      </c>
      <c r="AK33" s="565">
        <f>'BP5'!H27</f>
        <v>0</v>
      </c>
      <c r="AL33" s="567">
        <f>'BP5'!I27</f>
        <v>0</v>
      </c>
      <c r="AM33" s="567">
        <f>'BP5'!J27</f>
        <v>0</v>
      </c>
      <c r="AN33" s="565">
        <f>Y33+AB33+AE33+AH33+AK33</f>
        <v>0</v>
      </c>
      <c r="AO33" s="567">
        <f>Z33+AC33+AF33+AI33+AL33</f>
        <v>0</v>
      </c>
      <c r="AP33" s="567">
        <f>AA33+AD33+AG33+AJ33+AM33</f>
        <v>0</v>
      </c>
      <c r="AR33" s="800"/>
      <c r="AS33" s="800"/>
      <c r="AT33" s="800"/>
      <c r="AU33" s="569">
        <f>'BP1'!M27</f>
        <v>0</v>
      </c>
      <c r="AV33" s="569">
        <f>'BP2'!M27</f>
        <v>0</v>
      </c>
      <c r="AW33" s="569">
        <f>'BP3'!M27</f>
        <v>0</v>
      </c>
      <c r="AX33" s="569">
        <f>'BP4'!M27</f>
        <v>0</v>
      </c>
      <c r="AY33" s="569">
        <f>'BP5'!M27</f>
        <v>0</v>
      </c>
      <c r="AZ33" s="569">
        <f>AU33+AV33+AW33+AX33+AY33</f>
        <v>0</v>
      </c>
    </row>
    <row r="34" spans="1:52" ht="15.75" hidden="1" customHeight="1">
      <c r="A34" s="74" t="str">
        <f>CONCATENATE(V34," Salary")</f>
        <v>Senior Personnel 14 Salary</v>
      </c>
      <c r="B34" s="390">
        <f>'BP1'!$K$28</f>
        <v>0</v>
      </c>
      <c r="C34" s="391">
        <f>'BP1'!$N$28</f>
        <v>0</v>
      </c>
      <c r="D34" s="392"/>
      <c r="E34" s="390">
        <f ca="1">'BP2'!$K$28</f>
        <v>0</v>
      </c>
      <c r="F34" s="391">
        <f ca="1">'BP2'!$N$28</f>
        <v>0</v>
      </c>
      <c r="G34" s="392"/>
      <c r="H34" s="390">
        <f ca="1">'BP3'!$K$28</f>
        <v>0</v>
      </c>
      <c r="I34" s="391">
        <f ca="1">'BP3'!$N$28</f>
        <v>0</v>
      </c>
      <c r="J34" s="392"/>
      <c r="K34" s="390">
        <f ca="1">'BP4'!$K$28</f>
        <v>0</v>
      </c>
      <c r="L34" s="391">
        <f ca="1">'BP4'!$N$28</f>
        <v>0</v>
      </c>
      <c r="M34" s="392"/>
      <c r="N34" s="390">
        <f ca="1">'BP5'!$K$28</f>
        <v>0</v>
      </c>
      <c r="O34" s="391">
        <f ca="1">'BP5'!$N$28</f>
        <v>0</v>
      </c>
      <c r="P34" s="392"/>
      <c r="Q34" s="390">
        <f t="shared" ca="1" si="0"/>
        <v>0</v>
      </c>
      <c r="R34" s="391">
        <f t="shared" ca="1" si="1"/>
        <v>0</v>
      </c>
      <c r="S34" s="65"/>
      <c r="T34" s="115" t="s">
        <v>482</v>
      </c>
      <c r="V34" s="759" t="str">
        <f>IF(ISBLANK('BP1'!$B$28),"Senior Personnel 14",""&amp;'BP1'!$B$28)</f>
        <v>Senior Personnel 14</v>
      </c>
      <c r="W34" s="760"/>
      <c r="X34" s="761"/>
      <c r="Y34" s="564" t="s">
        <v>2</v>
      </c>
      <c r="Z34" s="566" t="s">
        <v>194</v>
      </c>
      <c r="AA34" s="566" t="s">
        <v>195</v>
      </c>
      <c r="AB34" s="564" t="s">
        <v>2</v>
      </c>
      <c r="AC34" s="566" t="s">
        <v>194</v>
      </c>
      <c r="AD34" s="566" t="s">
        <v>195</v>
      </c>
      <c r="AE34" s="564" t="s">
        <v>2</v>
      </c>
      <c r="AF34" s="566" t="s">
        <v>194</v>
      </c>
      <c r="AG34" s="566" t="s">
        <v>195</v>
      </c>
      <c r="AH34" s="564" t="s">
        <v>2</v>
      </c>
      <c r="AI34" s="566" t="s">
        <v>194</v>
      </c>
      <c r="AJ34" s="566" t="s">
        <v>195</v>
      </c>
      <c r="AK34" s="564" t="s">
        <v>2</v>
      </c>
      <c r="AL34" s="566" t="s">
        <v>194</v>
      </c>
      <c r="AM34" s="566" t="s">
        <v>195</v>
      </c>
      <c r="AN34" s="564" t="s">
        <v>2</v>
      </c>
      <c r="AO34" s="566" t="s">
        <v>194</v>
      </c>
      <c r="AP34" s="566" t="s">
        <v>195</v>
      </c>
      <c r="AR34" s="800" t="str">
        <f>IF(ISBLANK('BP1'!$B$28),"Senior Personnel 14",""&amp;'BP1'!$B$28)</f>
        <v>Senior Personnel 14</v>
      </c>
      <c r="AS34" s="800"/>
      <c r="AT34" s="800"/>
      <c r="AU34" s="568" t="s">
        <v>284</v>
      </c>
      <c r="AV34" s="568" t="s">
        <v>284</v>
      </c>
      <c r="AW34" s="568" t="s">
        <v>284</v>
      </c>
      <c r="AX34" s="568" t="s">
        <v>284</v>
      </c>
      <c r="AY34" s="568" t="s">
        <v>284</v>
      </c>
      <c r="AZ34" s="568" t="s">
        <v>284</v>
      </c>
    </row>
    <row r="35" spans="1:52" ht="15.75" hidden="1" customHeight="1">
      <c r="A35" s="74" t="str">
        <f>CONCATENATE(V34," Fringe")</f>
        <v>Senior Personnel 14 Fringe</v>
      </c>
      <c r="B35" s="393">
        <f>'BP1'!$L$28</f>
        <v>0</v>
      </c>
      <c r="C35" s="394">
        <f>'BP1'!$O$28</f>
        <v>0</v>
      </c>
      <c r="D35" s="392"/>
      <c r="E35" s="393">
        <f ca="1">'BP2'!$L$28</f>
        <v>0</v>
      </c>
      <c r="F35" s="394">
        <f ca="1">'BP2'!$O$28</f>
        <v>0</v>
      </c>
      <c r="G35" s="392"/>
      <c r="H35" s="393">
        <f ca="1">'BP3'!$L$28</f>
        <v>0</v>
      </c>
      <c r="I35" s="394">
        <f ca="1">'BP3'!$O$28</f>
        <v>0</v>
      </c>
      <c r="J35" s="392"/>
      <c r="K35" s="393">
        <f ca="1">'BP4'!$L$28</f>
        <v>0</v>
      </c>
      <c r="L35" s="394">
        <f ca="1">'BP4'!$O$28</f>
        <v>0</v>
      </c>
      <c r="M35" s="392"/>
      <c r="N35" s="393">
        <f ca="1">'BP5'!$L$28</f>
        <v>0</v>
      </c>
      <c r="O35" s="394">
        <f ca="1">'BP5'!$O$28</f>
        <v>0</v>
      </c>
      <c r="P35" s="392"/>
      <c r="Q35" s="393">
        <f t="shared" ca="1" si="0"/>
        <v>0</v>
      </c>
      <c r="R35" s="394">
        <f t="shared" ca="1" si="1"/>
        <v>0</v>
      </c>
      <c r="S35" s="65"/>
      <c r="T35" s="115" t="s">
        <v>482</v>
      </c>
      <c r="V35" s="762"/>
      <c r="W35" s="763"/>
      <c r="X35" s="764"/>
      <c r="Y35" s="565">
        <f>'BP1'!H28</f>
        <v>0</v>
      </c>
      <c r="Z35" s="567">
        <f>'BP1'!I28</f>
        <v>0</v>
      </c>
      <c r="AA35" s="567">
        <f>'BP1'!J28</f>
        <v>0</v>
      </c>
      <c r="AB35" s="565">
        <f>'BP2'!H28</f>
        <v>0</v>
      </c>
      <c r="AC35" s="567">
        <f>'BP2'!I28</f>
        <v>0</v>
      </c>
      <c r="AD35" s="567">
        <f>'BP2'!J28</f>
        <v>0</v>
      </c>
      <c r="AE35" s="565">
        <f>'BP3'!H28</f>
        <v>0</v>
      </c>
      <c r="AF35" s="567">
        <f>'BP3'!I28</f>
        <v>0</v>
      </c>
      <c r="AG35" s="567">
        <f>'BP3'!J28</f>
        <v>0</v>
      </c>
      <c r="AH35" s="565">
        <f>'BP4'!H28</f>
        <v>0</v>
      </c>
      <c r="AI35" s="567">
        <f>'BP4'!I28</f>
        <v>0</v>
      </c>
      <c r="AJ35" s="567">
        <f>'BP4'!J28</f>
        <v>0</v>
      </c>
      <c r="AK35" s="565">
        <f>'BP5'!H28</f>
        <v>0</v>
      </c>
      <c r="AL35" s="567">
        <f>'BP5'!I28</f>
        <v>0</v>
      </c>
      <c r="AM35" s="567">
        <f>'BP5'!J28</f>
        <v>0</v>
      </c>
      <c r="AN35" s="565">
        <f>Y35+AB35+AE35+AH35+AK35</f>
        <v>0</v>
      </c>
      <c r="AO35" s="567">
        <f>Z35+AC35+AF35+AI35+AL35</f>
        <v>0</v>
      </c>
      <c r="AP35" s="567">
        <f>AA35+AD35+AG35+AJ35+AM35</f>
        <v>0</v>
      </c>
      <c r="AR35" s="800"/>
      <c r="AS35" s="800"/>
      <c r="AT35" s="800"/>
      <c r="AU35" s="569">
        <f>'BP1'!M28</f>
        <v>0</v>
      </c>
      <c r="AV35" s="569">
        <f>'BP2'!M28</f>
        <v>0</v>
      </c>
      <c r="AW35" s="569">
        <f>'BP3'!M28</f>
        <v>0</v>
      </c>
      <c r="AX35" s="569">
        <f>'BP4'!M28</f>
        <v>0</v>
      </c>
      <c r="AY35" s="569">
        <f>'BP5'!M28</f>
        <v>0</v>
      </c>
      <c r="AZ35" s="569">
        <f>AU35+AV35+AW35+AX35+AY35</f>
        <v>0</v>
      </c>
    </row>
    <row r="36" spans="1:52" ht="15.75" hidden="1" customHeight="1">
      <c r="A36" s="74" t="str">
        <f>CONCATENATE(V36," Salary")</f>
        <v>Senior Personnel 15 Salary</v>
      </c>
      <c r="B36" s="390">
        <f>'BP1'!$K$29</f>
        <v>0</v>
      </c>
      <c r="C36" s="391">
        <f>'BP1'!$N$29</f>
        <v>0</v>
      </c>
      <c r="D36" s="392"/>
      <c r="E36" s="390">
        <f ca="1">'BP2'!$K$29</f>
        <v>0</v>
      </c>
      <c r="F36" s="391">
        <f ca="1">'BP2'!$N$29</f>
        <v>0</v>
      </c>
      <c r="G36" s="392"/>
      <c r="H36" s="390">
        <f ca="1">'BP3'!$K$29</f>
        <v>0</v>
      </c>
      <c r="I36" s="391">
        <f ca="1">'BP3'!$N$29</f>
        <v>0</v>
      </c>
      <c r="J36" s="392"/>
      <c r="K36" s="390">
        <f ca="1">'BP4'!$K$29</f>
        <v>0</v>
      </c>
      <c r="L36" s="391">
        <f ca="1">'BP4'!$N$29</f>
        <v>0</v>
      </c>
      <c r="M36" s="392"/>
      <c r="N36" s="390">
        <f ca="1">'BP5'!$K$29</f>
        <v>0</v>
      </c>
      <c r="O36" s="391">
        <f ca="1">'BP5'!$N$29</f>
        <v>0</v>
      </c>
      <c r="P36" s="392"/>
      <c r="Q36" s="390">
        <f t="shared" ca="1" si="0"/>
        <v>0</v>
      </c>
      <c r="R36" s="391">
        <f t="shared" ca="1" si="1"/>
        <v>0</v>
      </c>
      <c r="S36" s="65"/>
      <c r="T36" s="115" t="s">
        <v>482</v>
      </c>
      <c r="V36" s="759" t="str">
        <f>IF(ISBLANK('BP1'!$B$29),"Senior Personnel 15",""&amp;'BP1'!$B$29)</f>
        <v>Senior Personnel 15</v>
      </c>
      <c r="W36" s="760"/>
      <c r="X36" s="761"/>
      <c r="Y36" s="564" t="s">
        <v>2</v>
      </c>
      <c r="Z36" s="566" t="s">
        <v>194</v>
      </c>
      <c r="AA36" s="566" t="s">
        <v>195</v>
      </c>
      <c r="AB36" s="564" t="s">
        <v>2</v>
      </c>
      <c r="AC36" s="566" t="s">
        <v>194</v>
      </c>
      <c r="AD36" s="566" t="s">
        <v>195</v>
      </c>
      <c r="AE36" s="564" t="s">
        <v>2</v>
      </c>
      <c r="AF36" s="566" t="s">
        <v>194</v>
      </c>
      <c r="AG36" s="566" t="s">
        <v>195</v>
      </c>
      <c r="AH36" s="564" t="s">
        <v>2</v>
      </c>
      <c r="AI36" s="566" t="s">
        <v>194</v>
      </c>
      <c r="AJ36" s="566" t="s">
        <v>195</v>
      </c>
      <c r="AK36" s="564" t="s">
        <v>2</v>
      </c>
      <c r="AL36" s="566" t="s">
        <v>194</v>
      </c>
      <c r="AM36" s="566" t="s">
        <v>195</v>
      </c>
      <c r="AN36" s="564" t="s">
        <v>2</v>
      </c>
      <c r="AO36" s="566" t="s">
        <v>194</v>
      </c>
      <c r="AP36" s="566" t="s">
        <v>195</v>
      </c>
      <c r="AR36" s="800" t="str">
        <f>IF(ISBLANK('BP1'!$B$29),"Senior Personnel 15",""&amp;'BP1'!$B$29)</f>
        <v>Senior Personnel 15</v>
      </c>
      <c r="AS36" s="800"/>
      <c r="AT36" s="800"/>
      <c r="AU36" s="568" t="s">
        <v>284</v>
      </c>
      <c r="AV36" s="568" t="s">
        <v>284</v>
      </c>
      <c r="AW36" s="568" t="s">
        <v>284</v>
      </c>
      <c r="AX36" s="568" t="s">
        <v>284</v>
      </c>
      <c r="AY36" s="568" t="s">
        <v>284</v>
      </c>
      <c r="AZ36" s="568" t="s">
        <v>284</v>
      </c>
    </row>
    <row r="37" spans="1:52" ht="15.75" hidden="1" customHeight="1">
      <c r="A37" s="74" t="str">
        <f>CONCATENATE(V36," Fringe")</f>
        <v>Senior Personnel 15 Fringe</v>
      </c>
      <c r="B37" s="393">
        <f>'BP1'!$L$29</f>
        <v>0</v>
      </c>
      <c r="C37" s="394">
        <f>'BP1'!$O$29</f>
        <v>0</v>
      </c>
      <c r="D37" s="392"/>
      <c r="E37" s="393">
        <f ca="1">'BP2'!$L$29</f>
        <v>0</v>
      </c>
      <c r="F37" s="394">
        <f ca="1">'BP2'!$O$29</f>
        <v>0</v>
      </c>
      <c r="G37" s="392"/>
      <c r="H37" s="393">
        <f ca="1">'BP3'!$L$29</f>
        <v>0</v>
      </c>
      <c r="I37" s="394">
        <f ca="1">'BP3'!$O$29</f>
        <v>0</v>
      </c>
      <c r="J37" s="392"/>
      <c r="K37" s="393">
        <f ca="1">'BP4'!$L$29</f>
        <v>0</v>
      </c>
      <c r="L37" s="394">
        <f ca="1">'BP4'!$O$29</f>
        <v>0</v>
      </c>
      <c r="M37" s="392"/>
      <c r="N37" s="393">
        <f ca="1">'BP5'!$L$29</f>
        <v>0</v>
      </c>
      <c r="O37" s="394">
        <f ca="1">'BP5'!$O$29</f>
        <v>0</v>
      </c>
      <c r="P37" s="392"/>
      <c r="Q37" s="393">
        <f t="shared" ca="1" si="0"/>
        <v>0</v>
      </c>
      <c r="R37" s="394">
        <f t="shared" ca="1" si="1"/>
        <v>0</v>
      </c>
      <c r="S37" s="65"/>
      <c r="T37" s="115" t="s">
        <v>482</v>
      </c>
      <c r="V37" s="762"/>
      <c r="W37" s="763"/>
      <c r="X37" s="764"/>
      <c r="Y37" s="565">
        <f>'BP1'!H29</f>
        <v>0</v>
      </c>
      <c r="Z37" s="567">
        <f>'BP1'!I29</f>
        <v>0</v>
      </c>
      <c r="AA37" s="567">
        <f>'BP1'!J29</f>
        <v>0</v>
      </c>
      <c r="AB37" s="565">
        <f>'BP2'!H29</f>
        <v>0</v>
      </c>
      <c r="AC37" s="567">
        <f>'BP2'!I29</f>
        <v>0</v>
      </c>
      <c r="AD37" s="567">
        <f>'BP2'!J29</f>
        <v>0</v>
      </c>
      <c r="AE37" s="565">
        <f>'BP3'!H29</f>
        <v>0</v>
      </c>
      <c r="AF37" s="567">
        <f>'BP3'!I29</f>
        <v>0</v>
      </c>
      <c r="AG37" s="567">
        <f>'BP3'!J29</f>
        <v>0</v>
      </c>
      <c r="AH37" s="565">
        <f>'BP4'!H29</f>
        <v>0</v>
      </c>
      <c r="AI37" s="567">
        <f>'BP4'!I29</f>
        <v>0</v>
      </c>
      <c r="AJ37" s="567">
        <f>'BP4'!J29</f>
        <v>0</v>
      </c>
      <c r="AK37" s="565">
        <f>'BP5'!H29</f>
        <v>0</v>
      </c>
      <c r="AL37" s="567">
        <f>'BP5'!I29</f>
        <v>0</v>
      </c>
      <c r="AM37" s="567">
        <f>'BP5'!J29</f>
        <v>0</v>
      </c>
      <c r="AN37" s="565">
        <f>Y37+AB37+AE37+AH37+AK37</f>
        <v>0</v>
      </c>
      <c r="AO37" s="567">
        <f>Z37+AC37+AF37+AI37+AL37</f>
        <v>0</v>
      </c>
      <c r="AP37" s="567">
        <f>AA37+AD37+AG37+AJ37+AM37</f>
        <v>0</v>
      </c>
      <c r="AR37" s="800"/>
      <c r="AS37" s="800"/>
      <c r="AT37" s="800"/>
      <c r="AU37" s="569">
        <f>'BP1'!M29</f>
        <v>0</v>
      </c>
      <c r="AV37" s="569">
        <f>'BP2'!M29</f>
        <v>0</v>
      </c>
      <c r="AW37" s="569">
        <f>'BP3'!M29</f>
        <v>0</v>
      </c>
      <c r="AX37" s="569">
        <f>'BP4'!M29</f>
        <v>0</v>
      </c>
      <c r="AY37" s="569">
        <f>'BP5'!M29</f>
        <v>0</v>
      </c>
      <c r="AZ37" s="569">
        <f>AU37+AV37+AW37+AX37+AY37</f>
        <v>0</v>
      </c>
    </row>
    <row r="38" spans="1:52" ht="16.2" thickBot="1">
      <c r="A38" s="246" t="s">
        <v>84</v>
      </c>
      <c r="B38" s="395">
        <f>'BP1'!$K$30</f>
        <v>0</v>
      </c>
      <c r="C38" s="396">
        <f>'BP1'!$N$30</f>
        <v>0</v>
      </c>
      <c r="D38" s="392"/>
      <c r="E38" s="395">
        <f ca="1">'BP2'!$K$30</f>
        <v>0</v>
      </c>
      <c r="F38" s="396">
        <f ca="1">'BP2'!$N$30</f>
        <v>0</v>
      </c>
      <c r="G38" s="392"/>
      <c r="H38" s="395">
        <f ca="1">'BP3'!$K$30</f>
        <v>0</v>
      </c>
      <c r="I38" s="396">
        <f ca="1">'BP3'!$N$30</f>
        <v>0</v>
      </c>
      <c r="J38" s="392"/>
      <c r="K38" s="395">
        <f ca="1">'BP4'!$K$30</f>
        <v>0</v>
      </c>
      <c r="L38" s="396">
        <f ca="1">'BP4'!$N$30</f>
        <v>0</v>
      </c>
      <c r="M38" s="392"/>
      <c r="N38" s="395">
        <f ca="1">'BP5'!$K$30</f>
        <v>0</v>
      </c>
      <c r="O38" s="396">
        <f ca="1">'BP5'!$N$30</f>
        <v>0</v>
      </c>
      <c r="P38" s="392"/>
      <c r="Q38" s="395">
        <f t="shared" ca="1" si="0"/>
        <v>0</v>
      </c>
      <c r="R38" s="396">
        <f t="shared" ca="1" si="1"/>
        <v>0</v>
      </c>
      <c r="S38" s="64"/>
      <c r="T38" s="115" t="s">
        <v>215</v>
      </c>
    </row>
    <row r="39" spans="1:52" ht="16.2" thickBot="1">
      <c r="A39" s="247" t="s">
        <v>85</v>
      </c>
      <c r="B39" s="397">
        <f>'BP1'!$L$30</f>
        <v>0</v>
      </c>
      <c r="C39" s="398">
        <f>'BP1'!$O$30</f>
        <v>0</v>
      </c>
      <c r="D39" s="392"/>
      <c r="E39" s="397">
        <f ca="1">'BP2'!$L$30</f>
        <v>0</v>
      </c>
      <c r="F39" s="398">
        <f ca="1">'BP2'!$O$30</f>
        <v>0</v>
      </c>
      <c r="G39" s="392"/>
      <c r="H39" s="397">
        <f ca="1">'BP3'!$L$30</f>
        <v>0</v>
      </c>
      <c r="I39" s="398">
        <f ca="1">'BP3'!$O$30</f>
        <v>0</v>
      </c>
      <c r="J39" s="392"/>
      <c r="K39" s="397">
        <f ca="1">'BP4'!$L$30</f>
        <v>0</v>
      </c>
      <c r="L39" s="398">
        <f ca="1">'BP4'!$O$30</f>
        <v>0</v>
      </c>
      <c r="M39" s="392"/>
      <c r="N39" s="397">
        <f ca="1">'BP5'!$L$30</f>
        <v>0</v>
      </c>
      <c r="O39" s="398">
        <f ca="1">'BP5'!$O$30</f>
        <v>0</v>
      </c>
      <c r="P39" s="392"/>
      <c r="Q39" s="397">
        <f t="shared" ca="1" si="0"/>
        <v>0</v>
      </c>
      <c r="R39" s="398">
        <f t="shared" ca="1" si="1"/>
        <v>0</v>
      </c>
      <c r="S39" s="64"/>
      <c r="T39" s="115" t="s">
        <v>215</v>
      </c>
      <c r="V39" s="808" t="s">
        <v>197</v>
      </c>
      <c r="W39" s="809"/>
      <c r="X39" s="809"/>
      <c r="Y39" s="809"/>
      <c r="Z39" s="809"/>
      <c r="AA39" s="809"/>
      <c r="AB39" s="809"/>
      <c r="AC39" s="809"/>
      <c r="AD39" s="809"/>
      <c r="AE39" s="809"/>
      <c r="AF39" s="809"/>
      <c r="AG39" s="809"/>
      <c r="AH39" s="809"/>
      <c r="AI39" s="809"/>
      <c r="AJ39" s="809"/>
      <c r="AK39" s="809"/>
      <c r="AL39" s="809"/>
      <c r="AM39" s="809"/>
      <c r="AN39" s="809"/>
      <c r="AO39" s="809"/>
      <c r="AP39" s="810"/>
      <c r="AR39" s="802" t="s">
        <v>505</v>
      </c>
      <c r="AS39" s="803"/>
      <c r="AT39" s="803"/>
      <c r="AU39" s="803"/>
      <c r="AV39" s="803"/>
      <c r="AW39" s="803"/>
      <c r="AX39" s="803"/>
      <c r="AY39" s="803"/>
      <c r="AZ39" s="804"/>
    </row>
    <row r="40" spans="1:52" ht="16.5" customHeight="1" thickBot="1">
      <c r="A40" s="60"/>
      <c r="B40" s="392"/>
      <c r="C40" s="392"/>
      <c r="D40" s="392"/>
      <c r="E40" s="392"/>
      <c r="F40" s="392"/>
      <c r="G40" s="392"/>
      <c r="H40" s="392"/>
      <c r="I40" s="392"/>
      <c r="J40" s="392"/>
      <c r="K40" s="392"/>
      <c r="L40" s="392"/>
      <c r="M40" s="392"/>
      <c r="N40" s="392"/>
      <c r="O40" s="392"/>
      <c r="P40" s="392"/>
      <c r="Q40" s="392"/>
      <c r="R40" s="392"/>
      <c r="S40" s="64"/>
      <c r="T40" s="115" t="s">
        <v>215</v>
      </c>
      <c r="V40" s="772" t="s">
        <v>223</v>
      </c>
      <c r="W40" s="772"/>
      <c r="X40" s="772"/>
      <c r="Y40" s="783" t="s">
        <v>420</v>
      </c>
      <c r="Z40" s="784"/>
      <c r="AA40" s="785"/>
      <c r="AB40" s="783" t="s">
        <v>421</v>
      </c>
      <c r="AC40" s="784"/>
      <c r="AD40" s="785"/>
      <c r="AE40" s="783" t="s">
        <v>422</v>
      </c>
      <c r="AF40" s="784"/>
      <c r="AG40" s="785"/>
      <c r="AH40" s="786" t="s">
        <v>423</v>
      </c>
      <c r="AI40" s="786"/>
      <c r="AJ40" s="786"/>
      <c r="AK40" s="783" t="s">
        <v>424</v>
      </c>
      <c r="AL40" s="784"/>
      <c r="AM40" s="785"/>
      <c r="AN40" s="783" t="s">
        <v>93</v>
      </c>
      <c r="AO40" s="784"/>
      <c r="AP40" s="785"/>
      <c r="AR40" s="805" t="s">
        <v>223</v>
      </c>
      <c r="AS40" s="805"/>
      <c r="AT40" s="805"/>
      <c r="AU40" s="362" t="s">
        <v>447</v>
      </c>
      <c r="AV40" s="362" t="s">
        <v>448</v>
      </c>
      <c r="AW40" s="362" t="s">
        <v>449</v>
      </c>
      <c r="AX40" s="362" t="s">
        <v>450</v>
      </c>
      <c r="AY40" s="363" t="s">
        <v>451</v>
      </c>
      <c r="AZ40" s="362" t="s">
        <v>93</v>
      </c>
    </row>
    <row r="41" spans="1:52" ht="15.75" customHeight="1">
      <c r="A41" s="74" t="str">
        <f>CONCATENATE('BP1'!$D$32," Salary")</f>
        <v>Postdoctoral Scholar Salary</v>
      </c>
      <c r="B41" s="399">
        <f>'BP1'!$K$32</f>
        <v>0</v>
      </c>
      <c r="C41" s="400">
        <f>'BP1'!$N$32</f>
        <v>0</v>
      </c>
      <c r="D41" s="392"/>
      <c r="E41" s="399">
        <f ca="1">'BP2'!$K$32</f>
        <v>0</v>
      </c>
      <c r="F41" s="400">
        <f ca="1">'BP2'!$N$32</f>
        <v>0</v>
      </c>
      <c r="G41" s="392"/>
      <c r="H41" s="399">
        <f ca="1">'BP3'!$K$32</f>
        <v>0</v>
      </c>
      <c r="I41" s="400">
        <f ca="1">'BP3'!$N$32</f>
        <v>0</v>
      </c>
      <c r="J41" s="392"/>
      <c r="K41" s="399">
        <f ca="1">'BP4'!$K$32</f>
        <v>0</v>
      </c>
      <c r="L41" s="400">
        <f ca="1">'BP4'!$N$32</f>
        <v>0</v>
      </c>
      <c r="M41" s="392"/>
      <c r="N41" s="399">
        <f ca="1">'BP5'!$K$32</f>
        <v>0</v>
      </c>
      <c r="O41" s="400">
        <f ca="1">'BP5'!$N$32</f>
        <v>0</v>
      </c>
      <c r="P41" s="392"/>
      <c r="Q41" s="399">
        <f t="shared" ca="1" si="0"/>
        <v>0</v>
      </c>
      <c r="R41" s="400">
        <f t="shared" ca="1" si="1"/>
        <v>0</v>
      </c>
      <c r="S41" s="65"/>
      <c r="T41" s="115" t="s">
        <v>215</v>
      </c>
      <c r="V41" s="758" t="str">
        <f>'BP1'!$D$32</f>
        <v>Postdoctoral Scholar</v>
      </c>
      <c r="W41" s="758"/>
      <c r="X41" s="758"/>
      <c r="Y41" s="564" t="s">
        <v>2</v>
      </c>
      <c r="Z41" s="566" t="s">
        <v>194</v>
      </c>
      <c r="AA41" s="566" t="s">
        <v>195</v>
      </c>
      <c r="AB41" s="564" t="s">
        <v>2</v>
      </c>
      <c r="AC41" s="566" t="s">
        <v>194</v>
      </c>
      <c r="AD41" s="566" t="s">
        <v>195</v>
      </c>
      <c r="AE41" s="564" t="s">
        <v>2</v>
      </c>
      <c r="AF41" s="566" t="s">
        <v>194</v>
      </c>
      <c r="AG41" s="566" t="s">
        <v>195</v>
      </c>
      <c r="AH41" s="564" t="s">
        <v>2</v>
      </c>
      <c r="AI41" s="566" t="s">
        <v>194</v>
      </c>
      <c r="AJ41" s="566" t="s">
        <v>195</v>
      </c>
      <c r="AK41" s="564" t="s">
        <v>2</v>
      </c>
      <c r="AL41" s="566" t="s">
        <v>194</v>
      </c>
      <c r="AM41" s="566" t="s">
        <v>195</v>
      </c>
      <c r="AN41" s="564" t="s">
        <v>2</v>
      </c>
      <c r="AO41" s="566" t="s">
        <v>194</v>
      </c>
      <c r="AP41" s="566" t="s">
        <v>195</v>
      </c>
      <c r="AR41" s="794" t="str">
        <f>'BP1'!$D$32</f>
        <v>Postdoctoral Scholar</v>
      </c>
      <c r="AS41" s="795"/>
      <c r="AT41" s="796"/>
      <c r="AU41" s="568" t="s">
        <v>284</v>
      </c>
      <c r="AV41" s="568" t="s">
        <v>284</v>
      </c>
      <c r="AW41" s="568" t="s">
        <v>284</v>
      </c>
      <c r="AX41" s="568" t="s">
        <v>284</v>
      </c>
      <c r="AY41" s="568" t="s">
        <v>284</v>
      </c>
      <c r="AZ41" s="568" t="s">
        <v>284</v>
      </c>
    </row>
    <row r="42" spans="1:52" ht="15.75" customHeight="1">
      <c r="A42" s="74" t="str">
        <f>CONCATENATE('BP1'!$D$32," Fringe")</f>
        <v>Postdoctoral Scholar Fringe</v>
      </c>
      <c r="B42" s="393">
        <f>'BP1'!$L$32</f>
        <v>0</v>
      </c>
      <c r="C42" s="394">
        <f>'BP1'!$O$32</f>
        <v>0</v>
      </c>
      <c r="D42" s="392"/>
      <c r="E42" s="393">
        <f>'BP2'!$L$32</f>
        <v>0</v>
      </c>
      <c r="F42" s="394">
        <f ca="1">'BP2'!$O$32</f>
        <v>0</v>
      </c>
      <c r="G42" s="392"/>
      <c r="H42" s="393">
        <f>'BP3'!$L$32</f>
        <v>0</v>
      </c>
      <c r="I42" s="394">
        <f ca="1">'BP3'!$O$32</f>
        <v>0</v>
      </c>
      <c r="J42" s="392"/>
      <c r="K42" s="393">
        <f>'BP4'!$L$32</f>
        <v>0</v>
      </c>
      <c r="L42" s="394">
        <f ca="1">'BP4'!$O$32</f>
        <v>0</v>
      </c>
      <c r="M42" s="392"/>
      <c r="N42" s="393">
        <f>'BP5'!$L$32</f>
        <v>0</v>
      </c>
      <c r="O42" s="394">
        <f ca="1">'BP5'!$O$32</f>
        <v>0</v>
      </c>
      <c r="P42" s="392"/>
      <c r="Q42" s="393">
        <f t="shared" si="0"/>
        <v>0</v>
      </c>
      <c r="R42" s="394">
        <f t="shared" ca="1" si="1"/>
        <v>0</v>
      </c>
      <c r="S42" s="65"/>
      <c r="T42" s="115" t="s">
        <v>215</v>
      </c>
      <c r="V42" s="758"/>
      <c r="W42" s="758"/>
      <c r="X42" s="758"/>
      <c r="Y42" s="565">
        <f>'BP1'!H32</f>
        <v>0</v>
      </c>
      <c r="Z42" s="567">
        <f>'BP1'!I32</f>
        <v>0</v>
      </c>
      <c r="AA42" s="567">
        <f>'BP1'!J32</f>
        <v>0</v>
      </c>
      <c r="AB42" s="565">
        <f>'BP2'!H32</f>
        <v>0</v>
      </c>
      <c r="AC42" s="567">
        <f>'BP2'!I32</f>
        <v>0</v>
      </c>
      <c r="AD42" s="567">
        <f>'BP2'!J32</f>
        <v>0</v>
      </c>
      <c r="AE42" s="565">
        <f>'BP3'!H32</f>
        <v>0</v>
      </c>
      <c r="AF42" s="567">
        <f>'BP3'!I32</f>
        <v>0</v>
      </c>
      <c r="AG42" s="567">
        <f>'BP3'!J32</f>
        <v>0</v>
      </c>
      <c r="AH42" s="565">
        <f>'BP4'!H32</f>
        <v>0</v>
      </c>
      <c r="AI42" s="567">
        <f>'BP4'!I32</f>
        <v>0</v>
      </c>
      <c r="AJ42" s="567">
        <f>'BP4'!J32</f>
        <v>0</v>
      </c>
      <c r="AK42" s="565">
        <f>'BP5'!H32</f>
        <v>0</v>
      </c>
      <c r="AL42" s="567">
        <f>'BP5'!I32</f>
        <v>0</v>
      </c>
      <c r="AM42" s="567">
        <f>'BP5'!J32</f>
        <v>0</v>
      </c>
      <c r="AN42" s="565">
        <f>Y42+AB42+AE42+AH42+AK42</f>
        <v>0</v>
      </c>
      <c r="AO42" s="567">
        <f>Z42+AC42+AF42+AI42+AL42</f>
        <v>0</v>
      </c>
      <c r="AP42" s="567">
        <f>AA42+AD42+AG42+AJ42+AM42</f>
        <v>0</v>
      </c>
      <c r="AR42" s="797"/>
      <c r="AS42" s="798"/>
      <c r="AT42" s="799"/>
      <c r="AU42" s="569">
        <f>'BP1'!M32</f>
        <v>0</v>
      </c>
      <c r="AV42" s="569">
        <f>'BP2'!M32</f>
        <v>0</v>
      </c>
      <c r="AW42" s="569">
        <f>'BP3'!M32</f>
        <v>0</v>
      </c>
      <c r="AX42" s="569">
        <f>'BP4'!M32</f>
        <v>0</v>
      </c>
      <c r="AY42" s="569">
        <f>'BP5'!M32</f>
        <v>0</v>
      </c>
      <c r="AZ42" s="569">
        <f>AU42+AV42+AW42+AX42+AY42</f>
        <v>0</v>
      </c>
    </row>
    <row r="43" spans="1:52" ht="15.75" customHeight="1">
      <c r="A43" s="74" t="str">
        <f>CONCATENATE('BP1'!$D$33," Salary")</f>
        <v>Other Professional Salary</v>
      </c>
      <c r="B43" s="393">
        <f>'BP1'!$K$33</f>
        <v>0</v>
      </c>
      <c r="C43" s="394">
        <f>'BP1'!$N$33</f>
        <v>0</v>
      </c>
      <c r="D43" s="392"/>
      <c r="E43" s="393">
        <f ca="1">'BP2'!$K$33</f>
        <v>0</v>
      </c>
      <c r="F43" s="394">
        <f ca="1">'BP2'!$N$33</f>
        <v>0</v>
      </c>
      <c r="G43" s="392"/>
      <c r="H43" s="393">
        <f ca="1">'BP3'!$K$33</f>
        <v>0</v>
      </c>
      <c r="I43" s="394">
        <f ca="1">'BP3'!$N$33</f>
        <v>0</v>
      </c>
      <c r="J43" s="392"/>
      <c r="K43" s="393">
        <f ca="1">'BP4'!$K$33</f>
        <v>0</v>
      </c>
      <c r="L43" s="394">
        <f ca="1">'BP4'!$N$33</f>
        <v>0</v>
      </c>
      <c r="M43" s="392"/>
      <c r="N43" s="393">
        <f ca="1">'BP5'!$K$33</f>
        <v>0</v>
      </c>
      <c r="O43" s="394">
        <f ca="1">'BP5'!$N$33</f>
        <v>0</v>
      </c>
      <c r="P43" s="392"/>
      <c r="Q43" s="393">
        <f t="shared" ca="1" si="0"/>
        <v>0</v>
      </c>
      <c r="R43" s="394">
        <f t="shared" ca="1" si="1"/>
        <v>0</v>
      </c>
      <c r="S43" s="65"/>
      <c r="T43" s="115" t="s">
        <v>215</v>
      </c>
      <c r="V43" s="758" t="str">
        <f>'BP1'!$D$33</f>
        <v>Other Professional</v>
      </c>
      <c r="W43" s="758"/>
      <c r="X43" s="758"/>
      <c r="Y43" s="564" t="s">
        <v>2</v>
      </c>
      <c r="Z43" s="566" t="s">
        <v>194</v>
      </c>
      <c r="AA43" s="566" t="s">
        <v>195</v>
      </c>
      <c r="AB43" s="564" t="s">
        <v>2</v>
      </c>
      <c r="AC43" s="566" t="s">
        <v>194</v>
      </c>
      <c r="AD43" s="566" t="s">
        <v>195</v>
      </c>
      <c r="AE43" s="564" t="s">
        <v>2</v>
      </c>
      <c r="AF43" s="566" t="s">
        <v>194</v>
      </c>
      <c r="AG43" s="566" t="s">
        <v>195</v>
      </c>
      <c r="AH43" s="564" t="s">
        <v>2</v>
      </c>
      <c r="AI43" s="566" t="s">
        <v>194</v>
      </c>
      <c r="AJ43" s="566" t="s">
        <v>195</v>
      </c>
      <c r="AK43" s="564" t="s">
        <v>2</v>
      </c>
      <c r="AL43" s="566" t="s">
        <v>194</v>
      </c>
      <c r="AM43" s="566" t="s">
        <v>195</v>
      </c>
      <c r="AN43" s="564" t="s">
        <v>2</v>
      </c>
      <c r="AO43" s="566" t="s">
        <v>194</v>
      </c>
      <c r="AP43" s="566" t="s">
        <v>195</v>
      </c>
      <c r="AR43" s="794" t="str">
        <f>'BP1'!$D$33</f>
        <v>Other Professional</v>
      </c>
      <c r="AS43" s="795"/>
      <c r="AT43" s="796"/>
      <c r="AU43" s="568" t="s">
        <v>284</v>
      </c>
      <c r="AV43" s="568" t="s">
        <v>284</v>
      </c>
      <c r="AW43" s="568" t="s">
        <v>284</v>
      </c>
      <c r="AX43" s="568" t="s">
        <v>284</v>
      </c>
      <c r="AY43" s="568" t="s">
        <v>284</v>
      </c>
      <c r="AZ43" s="568" t="s">
        <v>284</v>
      </c>
    </row>
    <row r="44" spans="1:52" ht="15.75" customHeight="1">
      <c r="A44" s="74" t="str">
        <f>CONCATENATE('BP1'!$D$33," Fringe")</f>
        <v>Other Professional Fringe</v>
      </c>
      <c r="B44" s="393">
        <f>'BP1'!$L$33</f>
        <v>0</v>
      </c>
      <c r="C44" s="394">
        <f>'BP1'!$O$33</f>
        <v>0</v>
      </c>
      <c r="D44" s="392"/>
      <c r="E44" s="393">
        <f>'BP2'!$L$33</f>
        <v>0</v>
      </c>
      <c r="F44" s="394">
        <f ca="1">'BP2'!$O$33</f>
        <v>0</v>
      </c>
      <c r="G44" s="392"/>
      <c r="H44" s="393">
        <f>'BP3'!$L$33</f>
        <v>0</v>
      </c>
      <c r="I44" s="394">
        <f ca="1">'BP3'!$O$33</f>
        <v>0</v>
      </c>
      <c r="J44" s="392"/>
      <c r="K44" s="393">
        <f>'BP4'!$L$33</f>
        <v>0</v>
      </c>
      <c r="L44" s="394">
        <f ca="1">'BP4'!$O$33</f>
        <v>0</v>
      </c>
      <c r="M44" s="392"/>
      <c r="N44" s="393">
        <f>'BP5'!$L$33</f>
        <v>0</v>
      </c>
      <c r="O44" s="394">
        <f ca="1">'BP5'!$O$33</f>
        <v>0</v>
      </c>
      <c r="P44" s="392"/>
      <c r="Q44" s="393">
        <f t="shared" si="0"/>
        <v>0</v>
      </c>
      <c r="R44" s="394">
        <f t="shared" ca="1" si="1"/>
        <v>0</v>
      </c>
      <c r="S44" s="65"/>
      <c r="T44" s="115" t="s">
        <v>215</v>
      </c>
      <c r="V44" s="758"/>
      <c r="W44" s="758"/>
      <c r="X44" s="758"/>
      <c r="Y44" s="565">
        <f>'BP1'!H33</f>
        <v>0</v>
      </c>
      <c r="Z44" s="567">
        <f>'BP1'!I33</f>
        <v>0</v>
      </c>
      <c r="AA44" s="567">
        <f>'BP1'!J33</f>
        <v>0</v>
      </c>
      <c r="AB44" s="565">
        <f>'BP2'!H33</f>
        <v>0</v>
      </c>
      <c r="AC44" s="567">
        <f>'BP2'!I33</f>
        <v>0</v>
      </c>
      <c r="AD44" s="567">
        <f>'BP2'!J33</f>
        <v>0</v>
      </c>
      <c r="AE44" s="565">
        <f>'BP3'!H33</f>
        <v>0</v>
      </c>
      <c r="AF44" s="567">
        <f>'BP3'!I33</f>
        <v>0</v>
      </c>
      <c r="AG44" s="567">
        <f>'BP3'!J33</f>
        <v>0</v>
      </c>
      <c r="AH44" s="565">
        <f>'BP4'!H33</f>
        <v>0</v>
      </c>
      <c r="AI44" s="567">
        <f>'BP4'!I33</f>
        <v>0</v>
      </c>
      <c r="AJ44" s="567">
        <f>'BP4'!J33</f>
        <v>0</v>
      </c>
      <c r="AK44" s="565">
        <f>'BP5'!H33</f>
        <v>0</v>
      </c>
      <c r="AL44" s="567">
        <f>'BP5'!I33</f>
        <v>0</v>
      </c>
      <c r="AM44" s="567">
        <f>'BP5'!J33</f>
        <v>0</v>
      </c>
      <c r="AN44" s="565">
        <f>Y44+AB44+AE44+AH44+AK44</f>
        <v>0</v>
      </c>
      <c r="AO44" s="567">
        <f>Z44+AC44+AF44+AI44+AL44</f>
        <v>0</v>
      </c>
      <c r="AP44" s="567">
        <f>AA44+AD44+AG44+AJ44+AM44</f>
        <v>0</v>
      </c>
      <c r="AR44" s="797"/>
      <c r="AS44" s="798"/>
      <c r="AT44" s="799"/>
      <c r="AU44" s="569">
        <f>'BP1'!M33</f>
        <v>0</v>
      </c>
      <c r="AV44" s="569">
        <f>'BP2'!M33</f>
        <v>0</v>
      </c>
      <c r="AW44" s="569">
        <f>'BP3'!M33</f>
        <v>0</v>
      </c>
      <c r="AX44" s="569">
        <f>'BP4'!M33</f>
        <v>0</v>
      </c>
      <c r="AY44" s="569">
        <f>'BP5'!M33</f>
        <v>0</v>
      </c>
      <c r="AZ44" s="569">
        <f>AU44+AV44+AW44+AX44+AY44</f>
        <v>0</v>
      </c>
    </row>
    <row r="45" spans="1:52" ht="15.75" hidden="1" customHeight="1">
      <c r="A45" s="74" t="str">
        <f>CONCATENATE('BP1'!$D$34," Salary")</f>
        <v>Other Professional Salary</v>
      </c>
      <c r="B45" s="393">
        <f>'BP1'!$K$34</f>
        <v>0</v>
      </c>
      <c r="C45" s="394">
        <f>'BP1'!$N$34</f>
        <v>0</v>
      </c>
      <c r="D45" s="392"/>
      <c r="E45" s="393">
        <f ca="1">'BP2'!$K$34</f>
        <v>0</v>
      </c>
      <c r="F45" s="394">
        <f ca="1">'BP2'!$N$34</f>
        <v>0</v>
      </c>
      <c r="G45" s="392"/>
      <c r="H45" s="393">
        <f ca="1">'BP3'!$K$34</f>
        <v>0</v>
      </c>
      <c r="I45" s="394">
        <f ca="1">'BP3'!$N$34</f>
        <v>0</v>
      </c>
      <c r="J45" s="392"/>
      <c r="K45" s="393">
        <f ca="1">'BP4'!$K$34</f>
        <v>0</v>
      </c>
      <c r="L45" s="394">
        <f ca="1">'BP4'!$N$34</f>
        <v>0</v>
      </c>
      <c r="M45" s="392"/>
      <c r="N45" s="393">
        <f ca="1">'BP5'!$K$34</f>
        <v>0</v>
      </c>
      <c r="O45" s="394">
        <f ca="1">'BP5'!$N$34</f>
        <v>0</v>
      </c>
      <c r="P45" s="392"/>
      <c r="Q45" s="393">
        <f t="shared" ref="Q45:Q52" ca="1" si="2">B45+E45+H45+K45+N45</f>
        <v>0</v>
      </c>
      <c r="R45" s="394">
        <f t="shared" ref="R45:R52" ca="1" si="3">C45+F45+I45+L45+O45</f>
        <v>0</v>
      </c>
      <c r="S45" s="65"/>
      <c r="T45" s="115" t="s">
        <v>489</v>
      </c>
      <c r="V45" s="758" t="str">
        <f>'BP1'!$D$34</f>
        <v>Other Professional</v>
      </c>
      <c r="W45" s="758"/>
      <c r="X45" s="758"/>
      <c r="Y45" s="564" t="s">
        <v>2</v>
      </c>
      <c r="Z45" s="566" t="s">
        <v>194</v>
      </c>
      <c r="AA45" s="566" t="s">
        <v>195</v>
      </c>
      <c r="AB45" s="564" t="s">
        <v>2</v>
      </c>
      <c r="AC45" s="566" t="s">
        <v>194</v>
      </c>
      <c r="AD45" s="566" t="s">
        <v>195</v>
      </c>
      <c r="AE45" s="564" t="s">
        <v>2</v>
      </c>
      <c r="AF45" s="566" t="s">
        <v>194</v>
      </c>
      <c r="AG45" s="566" t="s">
        <v>195</v>
      </c>
      <c r="AH45" s="564" t="s">
        <v>2</v>
      </c>
      <c r="AI45" s="566" t="s">
        <v>194</v>
      </c>
      <c r="AJ45" s="566" t="s">
        <v>195</v>
      </c>
      <c r="AK45" s="564" t="s">
        <v>2</v>
      </c>
      <c r="AL45" s="566" t="s">
        <v>194</v>
      </c>
      <c r="AM45" s="566" t="s">
        <v>195</v>
      </c>
      <c r="AN45" s="564" t="s">
        <v>2</v>
      </c>
      <c r="AO45" s="566" t="s">
        <v>194</v>
      </c>
      <c r="AP45" s="566" t="s">
        <v>195</v>
      </c>
      <c r="AR45" s="794" t="str">
        <f>'BP1'!$D$34</f>
        <v>Other Professional</v>
      </c>
      <c r="AS45" s="795"/>
      <c r="AT45" s="796"/>
      <c r="AU45" s="568" t="s">
        <v>284</v>
      </c>
      <c r="AV45" s="568" t="s">
        <v>284</v>
      </c>
      <c r="AW45" s="568" t="s">
        <v>284</v>
      </c>
      <c r="AX45" s="568" t="s">
        <v>284</v>
      </c>
      <c r="AY45" s="568" t="s">
        <v>284</v>
      </c>
      <c r="AZ45" s="568" t="s">
        <v>284</v>
      </c>
    </row>
    <row r="46" spans="1:52" ht="15.75" hidden="1" customHeight="1">
      <c r="A46" s="74" t="str">
        <f>CONCATENATE('BP1'!$D$34," Fringe")</f>
        <v>Other Professional Fringe</v>
      </c>
      <c r="B46" s="393">
        <f>'BP1'!$L$34</f>
        <v>0</v>
      </c>
      <c r="C46" s="394">
        <f>'BP1'!$O$34</f>
        <v>0</v>
      </c>
      <c r="D46" s="392"/>
      <c r="E46" s="393">
        <f>'BP2'!$L$34</f>
        <v>0</v>
      </c>
      <c r="F46" s="394">
        <f ca="1">'BP2'!$O$34</f>
        <v>0</v>
      </c>
      <c r="G46" s="392"/>
      <c r="H46" s="393">
        <f>'BP3'!$L$34</f>
        <v>0</v>
      </c>
      <c r="I46" s="394">
        <f ca="1">'BP3'!$O$34</f>
        <v>0</v>
      </c>
      <c r="J46" s="392"/>
      <c r="K46" s="393">
        <f>'BP4'!$L$34</f>
        <v>0</v>
      </c>
      <c r="L46" s="394">
        <f ca="1">'BP4'!$O$34</f>
        <v>0</v>
      </c>
      <c r="M46" s="392"/>
      <c r="N46" s="393">
        <f>'BP5'!$L$34</f>
        <v>0</v>
      </c>
      <c r="O46" s="394">
        <f ca="1">'BP5'!$O$34</f>
        <v>0</v>
      </c>
      <c r="P46" s="392"/>
      <c r="Q46" s="393">
        <f t="shared" si="2"/>
        <v>0</v>
      </c>
      <c r="R46" s="394">
        <f t="shared" ca="1" si="3"/>
        <v>0</v>
      </c>
      <c r="S46" s="65"/>
      <c r="T46" s="115" t="s">
        <v>489</v>
      </c>
      <c r="V46" s="758"/>
      <c r="W46" s="758"/>
      <c r="X46" s="758"/>
      <c r="Y46" s="565">
        <f>'BP1'!H34</f>
        <v>0</v>
      </c>
      <c r="Z46" s="567">
        <f>'BP1'!I34</f>
        <v>0</v>
      </c>
      <c r="AA46" s="567">
        <f>'BP1'!J34</f>
        <v>0</v>
      </c>
      <c r="AB46" s="565">
        <f>'BP2'!H34</f>
        <v>0</v>
      </c>
      <c r="AC46" s="567">
        <f>'BP2'!I34</f>
        <v>0</v>
      </c>
      <c r="AD46" s="567">
        <f>'BP2'!J34</f>
        <v>0</v>
      </c>
      <c r="AE46" s="565">
        <f>'BP3'!H34</f>
        <v>0</v>
      </c>
      <c r="AF46" s="567">
        <f>'BP3'!I34</f>
        <v>0</v>
      </c>
      <c r="AG46" s="567">
        <f>'BP3'!J34</f>
        <v>0</v>
      </c>
      <c r="AH46" s="565">
        <f>'BP4'!H34</f>
        <v>0</v>
      </c>
      <c r="AI46" s="567">
        <f>'BP4'!I34</f>
        <v>0</v>
      </c>
      <c r="AJ46" s="567">
        <f>'BP4'!J34</f>
        <v>0</v>
      </c>
      <c r="AK46" s="565">
        <f>'BP5'!H34</f>
        <v>0</v>
      </c>
      <c r="AL46" s="567">
        <f>'BP5'!I34</f>
        <v>0</v>
      </c>
      <c r="AM46" s="567">
        <f>'BP5'!J34</f>
        <v>0</v>
      </c>
      <c r="AN46" s="565">
        <f>Y46+AB46+AE46+AH46+AK46</f>
        <v>0</v>
      </c>
      <c r="AO46" s="567">
        <f>Z46+AC46+AF46+AI46+AL46</f>
        <v>0</v>
      </c>
      <c r="AP46" s="567">
        <f>AA46+AD46+AG46+AJ46+AM46</f>
        <v>0</v>
      </c>
      <c r="AR46" s="797"/>
      <c r="AS46" s="798"/>
      <c r="AT46" s="799"/>
      <c r="AU46" s="569">
        <f>'BP1'!M34</f>
        <v>0</v>
      </c>
      <c r="AV46" s="569">
        <f>'BP2'!M34</f>
        <v>0</v>
      </c>
      <c r="AW46" s="569">
        <f>'BP3'!M34</f>
        <v>0</v>
      </c>
      <c r="AX46" s="569">
        <f>'BP4'!M34</f>
        <v>0</v>
      </c>
      <c r="AY46" s="569">
        <f>'BP5'!M34</f>
        <v>0</v>
      </c>
      <c r="AZ46" s="569">
        <f>AU46+AV46+AW46+AX46+AY46</f>
        <v>0</v>
      </c>
    </row>
    <row r="47" spans="1:52" ht="15.75" hidden="1" customHeight="1">
      <c r="A47" s="74" t="str">
        <f>CONCATENATE('BP1'!$D$35," Salary")</f>
        <v>Other Professional Salary</v>
      </c>
      <c r="B47" s="393">
        <f>'BP1'!$K$35</f>
        <v>0</v>
      </c>
      <c r="C47" s="394">
        <f>'BP1'!$N$35</f>
        <v>0</v>
      </c>
      <c r="D47" s="392"/>
      <c r="E47" s="393">
        <f ca="1">'BP2'!$K$35</f>
        <v>0</v>
      </c>
      <c r="F47" s="394">
        <f ca="1">'BP2'!$N$35</f>
        <v>0</v>
      </c>
      <c r="G47" s="392"/>
      <c r="H47" s="393">
        <f ca="1">'BP3'!$K$35</f>
        <v>0</v>
      </c>
      <c r="I47" s="394">
        <f ca="1">'BP3'!$N$35</f>
        <v>0</v>
      </c>
      <c r="J47" s="392"/>
      <c r="K47" s="393">
        <f ca="1">'BP4'!$K$35</f>
        <v>0</v>
      </c>
      <c r="L47" s="394">
        <f ca="1">'BP4'!$N$35</f>
        <v>0</v>
      </c>
      <c r="M47" s="392"/>
      <c r="N47" s="393">
        <f ca="1">'BP5'!$K$35</f>
        <v>0</v>
      </c>
      <c r="O47" s="394">
        <f ca="1">'BP5'!$N$35</f>
        <v>0</v>
      </c>
      <c r="P47" s="392"/>
      <c r="Q47" s="393">
        <f t="shared" ca="1" si="2"/>
        <v>0</v>
      </c>
      <c r="R47" s="394">
        <f t="shared" ca="1" si="3"/>
        <v>0</v>
      </c>
      <c r="S47" s="65"/>
      <c r="T47" s="115" t="s">
        <v>489</v>
      </c>
      <c r="V47" s="758" t="str">
        <f>'BP1'!$D$35</f>
        <v>Other Professional</v>
      </c>
      <c r="W47" s="758"/>
      <c r="X47" s="758"/>
      <c r="Y47" s="564" t="s">
        <v>2</v>
      </c>
      <c r="Z47" s="566" t="s">
        <v>194</v>
      </c>
      <c r="AA47" s="566" t="s">
        <v>195</v>
      </c>
      <c r="AB47" s="564" t="s">
        <v>2</v>
      </c>
      <c r="AC47" s="566" t="s">
        <v>194</v>
      </c>
      <c r="AD47" s="566" t="s">
        <v>195</v>
      </c>
      <c r="AE47" s="564" t="s">
        <v>2</v>
      </c>
      <c r="AF47" s="566" t="s">
        <v>194</v>
      </c>
      <c r="AG47" s="566" t="s">
        <v>195</v>
      </c>
      <c r="AH47" s="564" t="s">
        <v>2</v>
      </c>
      <c r="AI47" s="566" t="s">
        <v>194</v>
      </c>
      <c r="AJ47" s="566" t="s">
        <v>195</v>
      </c>
      <c r="AK47" s="564" t="s">
        <v>2</v>
      </c>
      <c r="AL47" s="566" t="s">
        <v>194</v>
      </c>
      <c r="AM47" s="566" t="s">
        <v>195</v>
      </c>
      <c r="AN47" s="564" t="s">
        <v>2</v>
      </c>
      <c r="AO47" s="566" t="s">
        <v>194</v>
      </c>
      <c r="AP47" s="566" t="s">
        <v>195</v>
      </c>
      <c r="AR47" s="794" t="str">
        <f>'BP1'!$D$35</f>
        <v>Other Professional</v>
      </c>
      <c r="AS47" s="795"/>
      <c r="AT47" s="796"/>
      <c r="AU47" s="568" t="s">
        <v>284</v>
      </c>
      <c r="AV47" s="568" t="s">
        <v>284</v>
      </c>
      <c r="AW47" s="568" t="s">
        <v>284</v>
      </c>
      <c r="AX47" s="568" t="s">
        <v>284</v>
      </c>
      <c r="AY47" s="568" t="s">
        <v>284</v>
      </c>
      <c r="AZ47" s="568" t="s">
        <v>284</v>
      </c>
    </row>
    <row r="48" spans="1:52" ht="15.75" hidden="1" customHeight="1">
      <c r="A48" s="74" t="str">
        <f>CONCATENATE('BP1'!$D$35," Fringe")</f>
        <v>Other Professional Fringe</v>
      </c>
      <c r="B48" s="393">
        <f>'BP1'!$L$35</f>
        <v>0</v>
      </c>
      <c r="C48" s="394">
        <f>'BP1'!$O$35</f>
        <v>0</v>
      </c>
      <c r="D48" s="392"/>
      <c r="E48" s="393">
        <f>'BP2'!$L$35</f>
        <v>0</v>
      </c>
      <c r="F48" s="394">
        <f ca="1">'BP2'!$O$35</f>
        <v>0</v>
      </c>
      <c r="G48" s="392"/>
      <c r="H48" s="393">
        <f>'BP3'!$L$35</f>
        <v>0</v>
      </c>
      <c r="I48" s="394">
        <f ca="1">'BP3'!$O$35</f>
        <v>0</v>
      </c>
      <c r="J48" s="392"/>
      <c r="K48" s="393">
        <f>'BP4'!$L$35</f>
        <v>0</v>
      </c>
      <c r="L48" s="394">
        <f ca="1">'BP4'!$O$35</f>
        <v>0</v>
      </c>
      <c r="M48" s="392"/>
      <c r="N48" s="393">
        <f>'BP5'!$L$35</f>
        <v>0</v>
      </c>
      <c r="O48" s="394">
        <f ca="1">'BP5'!$O$35</f>
        <v>0</v>
      </c>
      <c r="P48" s="392"/>
      <c r="Q48" s="393">
        <f t="shared" si="2"/>
        <v>0</v>
      </c>
      <c r="R48" s="394">
        <f t="shared" ca="1" si="3"/>
        <v>0</v>
      </c>
      <c r="S48" s="65"/>
      <c r="T48" s="115" t="s">
        <v>489</v>
      </c>
      <c r="V48" s="758"/>
      <c r="W48" s="758"/>
      <c r="X48" s="758"/>
      <c r="Y48" s="565">
        <f>'BP1'!H35</f>
        <v>0</v>
      </c>
      <c r="Z48" s="567">
        <f>'BP1'!I35</f>
        <v>0</v>
      </c>
      <c r="AA48" s="567">
        <f>'BP1'!J35</f>
        <v>0</v>
      </c>
      <c r="AB48" s="565">
        <f>'BP2'!H35</f>
        <v>0</v>
      </c>
      <c r="AC48" s="567">
        <f>'BP2'!I35</f>
        <v>0</v>
      </c>
      <c r="AD48" s="567">
        <f>'BP2'!J35</f>
        <v>0</v>
      </c>
      <c r="AE48" s="565">
        <f>'BP3'!H35</f>
        <v>0</v>
      </c>
      <c r="AF48" s="567">
        <f>'BP3'!I35</f>
        <v>0</v>
      </c>
      <c r="AG48" s="567">
        <f>'BP3'!J35</f>
        <v>0</v>
      </c>
      <c r="AH48" s="565">
        <f>'BP4'!H35</f>
        <v>0</v>
      </c>
      <c r="AI48" s="567">
        <f>'BP4'!I35</f>
        <v>0</v>
      </c>
      <c r="AJ48" s="567">
        <f>'BP4'!J35</f>
        <v>0</v>
      </c>
      <c r="AK48" s="565">
        <f>'BP5'!H35</f>
        <v>0</v>
      </c>
      <c r="AL48" s="567">
        <f>'BP5'!I35</f>
        <v>0</v>
      </c>
      <c r="AM48" s="567">
        <f>'BP5'!J35</f>
        <v>0</v>
      </c>
      <c r="AN48" s="565">
        <f>Y48+AB48+AE48+AH48+AK48</f>
        <v>0</v>
      </c>
      <c r="AO48" s="567">
        <f>Z48+AC48+AF48+AI48+AL48</f>
        <v>0</v>
      </c>
      <c r="AP48" s="567">
        <f>AA48+AD48+AG48+AJ48+AM48</f>
        <v>0</v>
      </c>
      <c r="AR48" s="797"/>
      <c r="AS48" s="798"/>
      <c r="AT48" s="799"/>
      <c r="AU48" s="569">
        <f>'BP1'!M35</f>
        <v>0</v>
      </c>
      <c r="AV48" s="569">
        <f>'BP2'!M35</f>
        <v>0</v>
      </c>
      <c r="AW48" s="569">
        <f>'BP3'!M35</f>
        <v>0</v>
      </c>
      <c r="AX48" s="569">
        <f>'BP4'!M35</f>
        <v>0</v>
      </c>
      <c r="AY48" s="569">
        <f>'BP5'!M35</f>
        <v>0</v>
      </c>
      <c r="AZ48" s="569">
        <f>AU48+AV48+AW48+AX48+AY48</f>
        <v>0</v>
      </c>
    </row>
    <row r="49" spans="1:52" ht="15.75" hidden="1" customHeight="1">
      <c r="A49" s="74" t="str">
        <f>CONCATENATE('BP1'!$D$36," Salary")</f>
        <v>Other Professional Salary</v>
      </c>
      <c r="B49" s="393">
        <f>'BP1'!$K$36</f>
        <v>0</v>
      </c>
      <c r="C49" s="394">
        <f>'BP1'!$N$36</f>
        <v>0</v>
      </c>
      <c r="D49" s="392"/>
      <c r="E49" s="393">
        <f ca="1">'BP2'!$K$36</f>
        <v>0</v>
      </c>
      <c r="F49" s="394">
        <f ca="1">'BP2'!$N$36</f>
        <v>0</v>
      </c>
      <c r="G49" s="392"/>
      <c r="H49" s="393">
        <f ca="1">'BP3'!$K$36</f>
        <v>0</v>
      </c>
      <c r="I49" s="394">
        <f ca="1">'BP3'!$N$36</f>
        <v>0</v>
      </c>
      <c r="J49" s="392"/>
      <c r="K49" s="393">
        <f ca="1">'BP4'!$K$36</f>
        <v>0</v>
      </c>
      <c r="L49" s="394">
        <f ca="1">'BP4'!$N$36</f>
        <v>0</v>
      </c>
      <c r="M49" s="392"/>
      <c r="N49" s="393">
        <f ca="1">'BP5'!$K$36</f>
        <v>0</v>
      </c>
      <c r="O49" s="394">
        <f ca="1">'BP5'!$N$36</f>
        <v>0</v>
      </c>
      <c r="P49" s="392"/>
      <c r="Q49" s="393">
        <f t="shared" ca="1" si="2"/>
        <v>0</v>
      </c>
      <c r="R49" s="394">
        <f t="shared" ca="1" si="3"/>
        <v>0</v>
      </c>
      <c r="S49" s="65"/>
      <c r="T49" s="115" t="s">
        <v>489</v>
      </c>
      <c r="V49" s="758" t="str">
        <f>'BP1'!$D$36</f>
        <v>Other Professional</v>
      </c>
      <c r="W49" s="758"/>
      <c r="X49" s="758"/>
      <c r="Y49" s="564" t="s">
        <v>2</v>
      </c>
      <c r="Z49" s="566" t="s">
        <v>194</v>
      </c>
      <c r="AA49" s="566" t="s">
        <v>195</v>
      </c>
      <c r="AB49" s="564" t="s">
        <v>2</v>
      </c>
      <c r="AC49" s="566" t="s">
        <v>194</v>
      </c>
      <c r="AD49" s="566" t="s">
        <v>195</v>
      </c>
      <c r="AE49" s="564" t="s">
        <v>2</v>
      </c>
      <c r="AF49" s="566" t="s">
        <v>194</v>
      </c>
      <c r="AG49" s="566" t="s">
        <v>195</v>
      </c>
      <c r="AH49" s="564" t="s">
        <v>2</v>
      </c>
      <c r="AI49" s="566" t="s">
        <v>194</v>
      </c>
      <c r="AJ49" s="566" t="s">
        <v>195</v>
      </c>
      <c r="AK49" s="564" t="s">
        <v>2</v>
      </c>
      <c r="AL49" s="566" t="s">
        <v>194</v>
      </c>
      <c r="AM49" s="566" t="s">
        <v>195</v>
      </c>
      <c r="AN49" s="564" t="s">
        <v>2</v>
      </c>
      <c r="AO49" s="566" t="s">
        <v>194</v>
      </c>
      <c r="AP49" s="566" t="s">
        <v>195</v>
      </c>
      <c r="AR49" s="794" t="str">
        <f>'BP1'!$D$36</f>
        <v>Other Professional</v>
      </c>
      <c r="AS49" s="795"/>
      <c r="AT49" s="796"/>
      <c r="AU49" s="568" t="s">
        <v>284</v>
      </c>
      <c r="AV49" s="568" t="s">
        <v>284</v>
      </c>
      <c r="AW49" s="568" t="s">
        <v>284</v>
      </c>
      <c r="AX49" s="568" t="s">
        <v>284</v>
      </c>
      <c r="AY49" s="568" t="s">
        <v>284</v>
      </c>
      <c r="AZ49" s="568" t="s">
        <v>284</v>
      </c>
    </row>
    <row r="50" spans="1:52" ht="15.75" hidden="1" customHeight="1">
      <c r="A50" s="74" t="str">
        <f>CONCATENATE('BP1'!$D$36," Fringe")</f>
        <v>Other Professional Fringe</v>
      </c>
      <c r="B50" s="393">
        <f>'BP1'!$L$36</f>
        <v>0</v>
      </c>
      <c r="C50" s="394">
        <f>'BP1'!$O$36</f>
        <v>0</v>
      </c>
      <c r="D50" s="392"/>
      <c r="E50" s="393">
        <f>'BP2'!$L$36</f>
        <v>0</v>
      </c>
      <c r="F50" s="394">
        <f ca="1">'BP2'!$O$36</f>
        <v>0</v>
      </c>
      <c r="G50" s="392"/>
      <c r="H50" s="393">
        <f>'BP3'!$L$36</f>
        <v>0</v>
      </c>
      <c r="I50" s="394">
        <f ca="1">'BP3'!$O$36</f>
        <v>0</v>
      </c>
      <c r="J50" s="392"/>
      <c r="K50" s="393">
        <f>'BP4'!$L$36</f>
        <v>0</v>
      </c>
      <c r="L50" s="394">
        <f ca="1">'BP4'!$O$36</f>
        <v>0</v>
      </c>
      <c r="M50" s="392"/>
      <c r="N50" s="393">
        <f>'BP5'!$L$36</f>
        <v>0</v>
      </c>
      <c r="O50" s="394">
        <f ca="1">'BP5'!$O$36</f>
        <v>0</v>
      </c>
      <c r="P50" s="392"/>
      <c r="Q50" s="393">
        <f t="shared" si="2"/>
        <v>0</v>
      </c>
      <c r="R50" s="394">
        <f t="shared" ca="1" si="3"/>
        <v>0</v>
      </c>
      <c r="S50" s="65"/>
      <c r="T50" s="115" t="s">
        <v>489</v>
      </c>
      <c r="V50" s="758"/>
      <c r="W50" s="758"/>
      <c r="X50" s="758"/>
      <c r="Y50" s="565">
        <f>'BP1'!H36</f>
        <v>0</v>
      </c>
      <c r="Z50" s="567">
        <f>'BP1'!I36</f>
        <v>0</v>
      </c>
      <c r="AA50" s="567">
        <f>'BP1'!J36</f>
        <v>0</v>
      </c>
      <c r="AB50" s="565">
        <f>'BP2'!H36</f>
        <v>0</v>
      </c>
      <c r="AC50" s="567">
        <f>'BP2'!I36</f>
        <v>0</v>
      </c>
      <c r="AD50" s="567">
        <f>'BP2'!J36</f>
        <v>0</v>
      </c>
      <c r="AE50" s="565">
        <f>'BP3'!H36</f>
        <v>0</v>
      </c>
      <c r="AF50" s="567">
        <f>'BP3'!I36</f>
        <v>0</v>
      </c>
      <c r="AG50" s="567">
        <f>'BP3'!J36</f>
        <v>0</v>
      </c>
      <c r="AH50" s="565">
        <f>'BP4'!H36</f>
        <v>0</v>
      </c>
      <c r="AI50" s="567">
        <f>'BP4'!I36</f>
        <v>0</v>
      </c>
      <c r="AJ50" s="567">
        <f>'BP4'!J36</f>
        <v>0</v>
      </c>
      <c r="AK50" s="565">
        <f>'BP5'!H36</f>
        <v>0</v>
      </c>
      <c r="AL50" s="567">
        <f>'BP5'!I36</f>
        <v>0</v>
      </c>
      <c r="AM50" s="567">
        <f>'BP5'!J36</f>
        <v>0</v>
      </c>
      <c r="AN50" s="565">
        <f>Y50+AB50+AE50+AH50+AK50</f>
        <v>0</v>
      </c>
      <c r="AO50" s="567">
        <f>Z50+AC50+AF50+AI50+AL50</f>
        <v>0</v>
      </c>
      <c r="AP50" s="567">
        <f>AA50+AD50+AG50+AJ50+AM50</f>
        <v>0</v>
      </c>
      <c r="AR50" s="797"/>
      <c r="AS50" s="798"/>
      <c r="AT50" s="799"/>
      <c r="AU50" s="569">
        <f>'BP1'!M36</f>
        <v>0</v>
      </c>
      <c r="AV50" s="569">
        <f>'BP2'!M36</f>
        <v>0</v>
      </c>
      <c r="AW50" s="569">
        <f>'BP3'!M36</f>
        <v>0</v>
      </c>
      <c r="AX50" s="569">
        <f>'BP4'!M36</f>
        <v>0</v>
      </c>
      <c r="AY50" s="569">
        <f>'BP5'!M36</f>
        <v>0</v>
      </c>
      <c r="AZ50" s="569">
        <f>AU50+AV50+AW50+AX50+AY50</f>
        <v>0</v>
      </c>
    </row>
    <row r="51" spans="1:52" ht="15.75" hidden="1" customHeight="1">
      <c r="A51" s="74" t="str">
        <f>CONCATENATE('BP1'!$D$37," Salary")</f>
        <v>Other Professional Salary</v>
      </c>
      <c r="B51" s="393">
        <f>'BP1'!$K$37</f>
        <v>0</v>
      </c>
      <c r="C51" s="394">
        <f>'BP1'!$N$37</f>
        <v>0</v>
      </c>
      <c r="D51" s="392"/>
      <c r="E51" s="393">
        <f ca="1">'BP2'!$K$37</f>
        <v>0</v>
      </c>
      <c r="F51" s="394">
        <f ca="1">'BP2'!$N$37</f>
        <v>0</v>
      </c>
      <c r="G51" s="392"/>
      <c r="H51" s="393">
        <f ca="1">'BP3'!$K$37</f>
        <v>0</v>
      </c>
      <c r="I51" s="394">
        <f ca="1">'BP3'!$N$37</f>
        <v>0</v>
      </c>
      <c r="J51" s="392"/>
      <c r="K51" s="393">
        <f ca="1">'BP4'!$K$37</f>
        <v>0</v>
      </c>
      <c r="L51" s="394">
        <f ca="1">'BP4'!$N$37</f>
        <v>0</v>
      </c>
      <c r="M51" s="392"/>
      <c r="N51" s="393">
        <f ca="1">'BP5'!$K$37</f>
        <v>0</v>
      </c>
      <c r="O51" s="394">
        <f ca="1">'BP5'!$N$37</f>
        <v>0</v>
      </c>
      <c r="P51" s="392"/>
      <c r="Q51" s="393">
        <f t="shared" ca="1" si="2"/>
        <v>0</v>
      </c>
      <c r="R51" s="394">
        <f t="shared" ca="1" si="3"/>
        <v>0</v>
      </c>
      <c r="S51" s="65"/>
      <c r="T51" s="115" t="s">
        <v>489</v>
      </c>
      <c r="V51" s="758" t="str">
        <f>'BP1'!$D$37</f>
        <v>Other Professional</v>
      </c>
      <c r="W51" s="758"/>
      <c r="X51" s="758"/>
      <c r="Y51" s="564" t="s">
        <v>2</v>
      </c>
      <c r="Z51" s="566" t="s">
        <v>194</v>
      </c>
      <c r="AA51" s="566" t="s">
        <v>195</v>
      </c>
      <c r="AB51" s="564" t="s">
        <v>2</v>
      </c>
      <c r="AC51" s="566" t="s">
        <v>194</v>
      </c>
      <c r="AD51" s="566" t="s">
        <v>195</v>
      </c>
      <c r="AE51" s="564" t="s">
        <v>2</v>
      </c>
      <c r="AF51" s="566" t="s">
        <v>194</v>
      </c>
      <c r="AG51" s="566" t="s">
        <v>195</v>
      </c>
      <c r="AH51" s="564" t="s">
        <v>2</v>
      </c>
      <c r="AI51" s="566" t="s">
        <v>194</v>
      </c>
      <c r="AJ51" s="566" t="s">
        <v>195</v>
      </c>
      <c r="AK51" s="564" t="s">
        <v>2</v>
      </c>
      <c r="AL51" s="566" t="s">
        <v>194</v>
      </c>
      <c r="AM51" s="566" t="s">
        <v>195</v>
      </c>
      <c r="AN51" s="564" t="s">
        <v>2</v>
      </c>
      <c r="AO51" s="566" t="s">
        <v>194</v>
      </c>
      <c r="AP51" s="566" t="s">
        <v>195</v>
      </c>
      <c r="AR51" s="794" t="str">
        <f>'BP1'!$D$37</f>
        <v>Other Professional</v>
      </c>
      <c r="AS51" s="795"/>
      <c r="AT51" s="796"/>
      <c r="AU51" s="568" t="s">
        <v>284</v>
      </c>
      <c r="AV51" s="568" t="s">
        <v>284</v>
      </c>
      <c r="AW51" s="568" t="s">
        <v>284</v>
      </c>
      <c r="AX51" s="568" t="s">
        <v>284</v>
      </c>
      <c r="AY51" s="568" t="s">
        <v>284</v>
      </c>
      <c r="AZ51" s="568" t="s">
        <v>284</v>
      </c>
    </row>
    <row r="52" spans="1:52" ht="15.75" hidden="1" customHeight="1">
      <c r="A52" s="74" t="str">
        <f>CONCATENATE('BP1'!$D$37," Fringe")</f>
        <v>Other Professional Fringe</v>
      </c>
      <c r="B52" s="393">
        <f>'BP1'!$L$37</f>
        <v>0</v>
      </c>
      <c r="C52" s="394">
        <f>'BP1'!$O$37</f>
        <v>0</v>
      </c>
      <c r="D52" s="392"/>
      <c r="E52" s="393">
        <f>'BP2'!$L$37</f>
        <v>0</v>
      </c>
      <c r="F52" s="394">
        <f ca="1">'BP2'!$O$37</f>
        <v>0</v>
      </c>
      <c r="G52" s="392"/>
      <c r="H52" s="393">
        <f>'BP3'!$L$37</f>
        <v>0</v>
      </c>
      <c r="I52" s="394">
        <f ca="1">'BP3'!$O$37</f>
        <v>0</v>
      </c>
      <c r="J52" s="392"/>
      <c r="K52" s="393">
        <f>'BP4'!$L$37</f>
        <v>0</v>
      </c>
      <c r="L52" s="394">
        <f ca="1">'BP4'!$O$37</f>
        <v>0</v>
      </c>
      <c r="M52" s="392"/>
      <c r="N52" s="393">
        <f>'BP5'!$L$37</f>
        <v>0</v>
      </c>
      <c r="O52" s="394">
        <f ca="1">'BP5'!$O$37</f>
        <v>0</v>
      </c>
      <c r="P52" s="392"/>
      <c r="Q52" s="393">
        <f t="shared" si="2"/>
        <v>0</v>
      </c>
      <c r="R52" s="394">
        <f t="shared" ca="1" si="3"/>
        <v>0</v>
      </c>
      <c r="S52" s="65"/>
      <c r="T52" s="115" t="s">
        <v>489</v>
      </c>
      <c r="V52" s="758"/>
      <c r="W52" s="758"/>
      <c r="X52" s="758"/>
      <c r="Y52" s="565">
        <f>'BP1'!H37</f>
        <v>0</v>
      </c>
      <c r="Z52" s="567">
        <f>'BP1'!I37</f>
        <v>0</v>
      </c>
      <c r="AA52" s="567">
        <f>'BP1'!J37</f>
        <v>0</v>
      </c>
      <c r="AB52" s="565">
        <f>'BP2'!H37</f>
        <v>0</v>
      </c>
      <c r="AC52" s="567">
        <f>'BP2'!I37</f>
        <v>0</v>
      </c>
      <c r="AD52" s="567">
        <f>'BP2'!J37</f>
        <v>0</v>
      </c>
      <c r="AE52" s="565">
        <f>'BP3'!H37</f>
        <v>0</v>
      </c>
      <c r="AF52" s="567">
        <f>'BP3'!I37</f>
        <v>0</v>
      </c>
      <c r="AG52" s="567">
        <f>'BP3'!J37</f>
        <v>0</v>
      </c>
      <c r="AH52" s="565">
        <f>'BP4'!H37</f>
        <v>0</v>
      </c>
      <c r="AI52" s="567">
        <f>'BP4'!I37</f>
        <v>0</v>
      </c>
      <c r="AJ52" s="567">
        <f>'BP4'!J37</f>
        <v>0</v>
      </c>
      <c r="AK52" s="565">
        <f>'BP5'!H37</f>
        <v>0</v>
      </c>
      <c r="AL52" s="567">
        <f>'BP5'!I37</f>
        <v>0</v>
      </c>
      <c r="AM52" s="567">
        <f>'BP5'!J37</f>
        <v>0</v>
      </c>
      <c r="AN52" s="565">
        <f>Y52+AB52+AE52+AH52+AK52</f>
        <v>0</v>
      </c>
      <c r="AO52" s="567">
        <f>Z52+AC52+AF52+AI52+AL52</f>
        <v>0</v>
      </c>
      <c r="AP52" s="567">
        <f>AA52+AD52+AG52+AJ52+AM52</f>
        <v>0</v>
      </c>
      <c r="AR52" s="797"/>
      <c r="AS52" s="798"/>
      <c r="AT52" s="799"/>
      <c r="AU52" s="569">
        <f>'BP1'!M37</f>
        <v>0</v>
      </c>
      <c r="AV52" s="569">
        <f>'BP2'!M37</f>
        <v>0</v>
      </c>
      <c r="AW52" s="569">
        <f>'BP3'!M37</f>
        <v>0</v>
      </c>
      <c r="AX52" s="569">
        <f>'BP4'!M37</f>
        <v>0</v>
      </c>
      <c r="AY52" s="569">
        <f>'BP5'!M37</f>
        <v>0</v>
      </c>
      <c r="AZ52" s="569">
        <f>AU52+AV52+AW52+AX52+AY52</f>
        <v>0</v>
      </c>
    </row>
    <row r="53" spans="1:52" ht="15.75" customHeight="1">
      <c r="A53" s="74" t="str">
        <f>CONCATENATE('BP1'!$D$38," Salary")</f>
        <v>Graduate Student Salary</v>
      </c>
      <c r="B53" s="393">
        <f>'BP1'!$K$38</f>
        <v>0</v>
      </c>
      <c r="C53" s="394">
        <f>'BP1'!$N$38</f>
        <v>0</v>
      </c>
      <c r="D53" s="392"/>
      <c r="E53" s="393">
        <f ca="1">'BP2'!$K$38</f>
        <v>0</v>
      </c>
      <c r="F53" s="394">
        <f ca="1">'BP2'!$N$38</f>
        <v>0</v>
      </c>
      <c r="G53" s="392"/>
      <c r="H53" s="393">
        <f ca="1">'BP3'!$K$38</f>
        <v>0</v>
      </c>
      <c r="I53" s="394">
        <f ca="1">'BP3'!$N$38</f>
        <v>0</v>
      </c>
      <c r="J53" s="392"/>
      <c r="K53" s="393">
        <f ca="1">'BP4'!$K$38</f>
        <v>0</v>
      </c>
      <c r="L53" s="394">
        <f ca="1">'BP4'!$N$38</f>
        <v>0</v>
      </c>
      <c r="M53" s="392"/>
      <c r="N53" s="393">
        <f ca="1">'BP5'!$K$38</f>
        <v>0</v>
      </c>
      <c r="O53" s="394">
        <f ca="1">'BP5'!$N$38</f>
        <v>0</v>
      </c>
      <c r="P53" s="392"/>
      <c r="Q53" s="393">
        <f t="shared" ca="1" si="0"/>
        <v>0</v>
      </c>
      <c r="R53" s="394">
        <f t="shared" ca="1" si="1"/>
        <v>0</v>
      </c>
      <c r="S53" s="65"/>
      <c r="T53" s="115" t="s">
        <v>215</v>
      </c>
      <c r="V53" s="758" t="str">
        <f>'BP1'!$D$38</f>
        <v>Graduate Student</v>
      </c>
      <c r="W53" s="758"/>
      <c r="X53" s="758"/>
      <c r="Y53" s="564" t="s">
        <v>2</v>
      </c>
      <c r="Z53" s="566" t="s">
        <v>194</v>
      </c>
      <c r="AA53" s="566" t="s">
        <v>195</v>
      </c>
      <c r="AB53" s="564" t="s">
        <v>2</v>
      </c>
      <c r="AC53" s="566" t="s">
        <v>194</v>
      </c>
      <c r="AD53" s="566" t="s">
        <v>195</v>
      </c>
      <c r="AE53" s="564" t="s">
        <v>2</v>
      </c>
      <c r="AF53" s="566" t="s">
        <v>194</v>
      </c>
      <c r="AG53" s="566" t="s">
        <v>195</v>
      </c>
      <c r="AH53" s="564" t="s">
        <v>2</v>
      </c>
      <c r="AI53" s="566" t="s">
        <v>194</v>
      </c>
      <c r="AJ53" s="566" t="s">
        <v>195</v>
      </c>
      <c r="AK53" s="564" t="s">
        <v>2</v>
      </c>
      <c r="AL53" s="566" t="s">
        <v>194</v>
      </c>
      <c r="AM53" s="566" t="s">
        <v>195</v>
      </c>
      <c r="AN53" s="564" t="s">
        <v>2</v>
      </c>
      <c r="AO53" s="566" t="s">
        <v>194</v>
      </c>
      <c r="AP53" s="566" t="s">
        <v>195</v>
      </c>
      <c r="AR53" s="794" t="str">
        <f>'BP1'!$D$38</f>
        <v>Graduate Student</v>
      </c>
      <c r="AS53" s="795"/>
      <c r="AT53" s="796"/>
      <c r="AU53" s="568" t="s">
        <v>284</v>
      </c>
      <c r="AV53" s="568" t="s">
        <v>284</v>
      </c>
      <c r="AW53" s="568" t="s">
        <v>284</v>
      </c>
      <c r="AX53" s="568" t="s">
        <v>284</v>
      </c>
      <c r="AY53" s="568" t="s">
        <v>284</v>
      </c>
      <c r="AZ53" s="568" t="s">
        <v>284</v>
      </c>
    </row>
    <row r="54" spans="1:52" ht="15.75" customHeight="1">
      <c r="A54" s="74" t="str">
        <f>CONCATENATE('BP1'!$D$38," Fringe")</f>
        <v>Graduate Student Fringe</v>
      </c>
      <c r="B54" s="393">
        <f>'BP1'!$L$38</f>
        <v>0</v>
      </c>
      <c r="C54" s="394">
        <f>'BP1'!$O$38</f>
        <v>0</v>
      </c>
      <c r="D54" s="392"/>
      <c r="E54" s="393">
        <f ca="1">'BP2'!$L$38</f>
        <v>0</v>
      </c>
      <c r="F54" s="394">
        <f ca="1">'BP2'!$O$38</f>
        <v>0</v>
      </c>
      <c r="G54" s="392"/>
      <c r="H54" s="393">
        <f ca="1">'BP3'!$L$38</f>
        <v>0</v>
      </c>
      <c r="I54" s="394">
        <f ca="1">'BP3'!$O$38</f>
        <v>0</v>
      </c>
      <c r="J54" s="392"/>
      <c r="K54" s="393">
        <f ca="1">'BP4'!$L$38</f>
        <v>0</v>
      </c>
      <c r="L54" s="394">
        <f ca="1">'BP4'!$O$38</f>
        <v>0</v>
      </c>
      <c r="M54" s="392"/>
      <c r="N54" s="393">
        <f ca="1">'BP5'!$L$38</f>
        <v>0</v>
      </c>
      <c r="O54" s="394">
        <f ca="1">'BP5'!$O$38</f>
        <v>0</v>
      </c>
      <c r="P54" s="392"/>
      <c r="Q54" s="393">
        <f t="shared" ca="1" si="0"/>
        <v>0</v>
      </c>
      <c r="R54" s="394">
        <f t="shared" ca="1" si="1"/>
        <v>0</v>
      </c>
      <c r="S54" s="65"/>
      <c r="T54" s="115" t="s">
        <v>215</v>
      </c>
      <c r="V54" s="758"/>
      <c r="W54" s="758"/>
      <c r="X54" s="758"/>
      <c r="Y54" s="565">
        <f>'BP1'!H38</f>
        <v>0</v>
      </c>
      <c r="Z54" s="567">
        <f>'BP1'!I38</f>
        <v>0</v>
      </c>
      <c r="AA54" s="567">
        <f>'BP1'!J38</f>
        <v>0</v>
      </c>
      <c r="AB54" s="565">
        <f>'BP2'!H38</f>
        <v>0</v>
      </c>
      <c r="AC54" s="567">
        <f>'BP2'!I38</f>
        <v>0</v>
      </c>
      <c r="AD54" s="567">
        <f>'BP2'!J38</f>
        <v>0</v>
      </c>
      <c r="AE54" s="565">
        <f>'BP3'!H38</f>
        <v>0</v>
      </c>
      <c r="AF54" s="567">
        <f>'BP3'!I38</f>
        <v>0</v>
      </c>
      <c r="AG54" s="567">
        <f>'BP3'!J38</f>
        <v>0</v>
      </c>
      <c r="AH54" s="565">
        <f>'BP4'!H38</f>
        <v>0</v>
      </c>
      <c r="AI54" s="567">
        <f>'BP4'!I38</f>
        <v>0</v>
      </c>
      <c r="AJ54" s="567">
        <f>'BP4'!J38</f>
        <v>0</v>
      </c>
      <c r="AK54" s="565">
        <f>'BP5'!H38</f>
        <v>0</v>
      </c>
      <c r="AL54" s="567">
        <f>'BP5'!I38</f>
        <v>0</v>
      </c>
      <c r="AM54" s="567">
        <f>'BP5'!J38</f>
        <v>0</v>
      </c>
      <c r="AN54" s="565">
        <f>Y54+AB54+AE54+AH54+AK54</f>
        <v>0</v>
      </c>
      <c r="AO54" s="567">
        <f>Z54+AC54+AF54+AI54+AL54</f>
        <v>0</v>
      </c>
      <c r="AP54" s="567">
        <f>AA54+AD54+AG54+AJ54+AM54</f>
        <v>0</v>
      </c>
      <c r="AR54" s="797"/>
      <c r="AS54" s="798"/>
      <c r="AT54" s="799"/>
      <c r="AU54" s="569">
        <f>'BP1'!M38</f>
        <v>0</v>
      </c>
      <c r="AV54" s="569">
        <f>'BP2'!M38</f>
        <v>0</v>
      </c>
      <c r="AW54" s="569">
        <f>'BP3'!M38</f>
        <v>0</v>
      </c>
      <c r="AX54" s="569">
        <f>'BP4'!M38</f>
        <v>0</v>
      </c>
      <c r="AY54" s="569">
        <f>'BP5'!M38</f>
        <v>0</v>
      </c>
      <c r="AZ54" s="569">
        <f>AU54+AV54+AW54+AX54+AY54</f>
        <v>0</v>
      </c>
    </row>
    <row r="55" spans="1:52" ht="15.75" customHeight="1">
      <c r="A55" s="74" t="str">
        <f>CONCATENATE('BP1'!$D$39," Salary")</f>
        <v>Undergraduate Student Salary</v>
      </c>
      <c r="B55" s="393">
        <f>'BP1'!$K$39</f>
        <v>0</v>
      </c>
      <c r="C55" s="394">
        <f>'BP1'!$N$39</f>
        <v>0</v>
      </c>
      <c r="D55" s="392"/>
      <c r="E55" s="393">
        <f ca="1">'BP2'!$K$39</f>
        <v>0</v>
      </c>
      <c r="F55" s="394">
        <f ca="1">'BP2'!$N$39</f>
        <v>0</v>
      </c>
      <c r="G55" s="392"/>
      <c r="H55" s="393">
        <f ca="1">'BP3'!$K$39</f>
        <v>0</v>
      </c>
      <c r="I55" s="394">
        <f ca="1">'BP3'!$N$39</f>
        <v>0</v>
      </c>
      <c r="J55" s="392"/>
      <c r="K55" s="393">
        <f ca="1">'BP4'!$K$39</f>
        <v>0</v>
      </c>
      <c r="L55" s="394">
        <f ca="1">'BP4'!$N$39</f>
        <v>0</v>
      </c>
      <c r="M55" s="392"/>
      <c r="N55" s="393">
        <f ca="1">'BP5'!$K$39</f>
        <v>0</v>
      </c>
      <c r="O55" s="394">
        <f ca="1">'BP5'!$N$39</f>
        <v>0</v>
      </c>
      <c r="P55" s="392"/>
      <c r="Q55" s="393">
        <f t="shared" ca="1" si="0"/>
        <v>0</v>
      </c>
      <c r="R55" s="394">
        <f t="shared" ca="1" si="1"/>
        <v>0</v>
      </c>
      <c r="S55" s="65"/>
      <c r="T55" s="115" t="s">
        <v>215</v>
      </c>
      <c r="V55" s="758" t="str">
        <f>'BP1'!$D$39</f>
        <v>Undergraduate Student</v>
      </c>
      <c r="W55" s="758"/>
      <c r="X55" s="758"/>
      <c r="Y55" s="564" t="s">
        <v>2</v>
      </c>
      <c r="Z55" s="566" t="s">
        <v>194</v>
      </c>
      <c r="AA55" s="566" t="s">
        <v>195</v>
      </c>
      <c r="AB55" s="564" t="s">
        <v>2</v>
      </c>
      <c r="AC55" s="566" t="s">
        <v>194</v>
      </c>
      <c r="AD55" s="566" t="s">
        <v>195</v>
      </c>
      <c r="AE55" s="564" t="s">
        <v>2</v>
      </c>
      <c r="AF55" s="566" t="s">
        <v>194</v>
      </c>
      <c r="AG55" s="566" t="s">
        <v>195</v>
      </c>
      <c r="AH55" s="564" t="s">
        <v>2</v>
      </c>
      <c r="AI55" s="566" t="s">
        <v>194</v>
      </c>
      <c r="AJ55" s="566" t="s">
        <v>195</v>
      </c>
      <c r="AK55" s="564" t="s">
        <v>2</v>
      </c>
      <c r="AL55" s="566" t="s">
        <v>194</v>
      </c>
      <c r="AM55" s="566" t="s">
        <v>195</v>
      </c>
      <c r="AN55" s="564" t="s">
        <v>2</v>
      </c>
      <c r="AO55" s="566" t="s">
        <v>194</v>
      </c>
      <c r="AP55" s="566" t="s">
        <v>195</v>
      </c>
      <c r="AR55" s="801" t="str">
        <f>'BP1'!$D$39</f>
        <v>Undergraduate Student</v>
      </c>
      <c r="AS55" s="801"/>
      <c r="AT55" s="801"/>
      <c r="AU55" s="568" t="s">
        <v>284</v>
      </c>
      <c r="AV55" s="568" t="s">
        <v>284</v>
      </c>
      <c r="AW55" s="568" t="s">
        <v>284</v>
      </c>
      <c r="AX55" s="568" t="s">
        <v>284</v>
      </c>
      <c r="AY55" s="568" t="s">
        <v>284</v>
      </c>
      <c r="AZ55" s="568" t="s">
        <v>284</v>
      </c>
    </row>
    <row r="56" spans="1:52" ht="15.75" customHeight="1">
      <c r="A56" s="74" t="str">
        <f>CONCATENATE('BP1'!$D$39," Fringe")</f>
        <v>Undergraduate Student Fringe</v>
      </c>
      <c r="B56" s="586"/>
      <c r="C56" s="587"/>
      <c r="D56" s="392"/>
      <c r="E56" s="586"/>
      <c r="F56" s="587"/>
      <c r="G56" s="392"/>
      <c r="H56" s="586"/>
      <c r="I56" s="587"/>
      <c r="J56" s="392"/>
      <c r="K56" s="586"/>
      <c r="L56" s="587"/>
      <c r="M56" s="392"/>
      <c r="N56" s="586"/>
      <c r="O56" s="587"/>
      <c r="P56" s="392"/>
      <c r="Q56" s="586"/>
      <c r="R56" s="587"/>
      <c r="S56" s="65"/>
      <c r="T56" s="115" t="s">
        <v>215</v>
      </c>
      <c r="V56" s="758"/>
      <c r="W56" s="758"/>
      <c r="X56" s="758"/>
      <c r="Y56" s="565">
        <f>'BP1'!H39</f>
        <v>0</v>
      </c>
      <c r="Z56" s="567">
        <f>'BP1'!I39</f>
        <v>0</v>
      </c>
      <c r="AA56" s="567">
        <f>'BP1'!J39</f>
        <v>0</v>
      </c>
      <c r="AB56" s="565">
        <f>'BP2'!H39</f>
        <v>0</v>
      </c>
      <c r="AC56" s="567">
        <f>'BP2'!I39</f>
        <v>0</v>
      </c>
      <c r="AD56" s="567">
        <f>'BP2'!J39</f>
        <v>0</v>
      </c>
      <c r="AE56" s="565">
        <f>'BP3'!H39</f>
        <v>0</v>
      </c>
      <c r="AF56" s="567">
        <f>'BP3'!I39</f>
        <v>0</v>
      </c>
      <c r="AG56" s="567">
        <f>'BP3'!J39</f>
        <v>0</v>
      </c>
      <c r="AH56" s="565">
        <f>'BP4'!H39</f>
        <v>0</v>
      </c>
      <c r="AI56" s="567">
        <f>'BP4'!I39</f>
        <v>0</v>
      </c>
      <c r="AJ56" s="567">
        <f>'BP4'!J39</f>
        <v>0</v>
      </c>
      <c r="AK56" s="565">
        <f>'BP5'!H39</f>
        <v>0</v>
      </c>
      <c r="AL56" s="567">
        <f>'BP5'!I39</f>
        <v>0</v>
      </c>
      <c r="AM56" s="567">
        <f>'BP5'!J39</f>
        <v>0</v>
      </c>
      <c r="AN56" s="565">
        <f>Y56+AB56+AE56+AH56+AK56</f>
        <v>0</v>
      </c>
      <c r="AO56" s="567">
        <f>Z56+AC56+AF56+AI56+AL56</f>
        <v>0</v>
      </c>
      <c r="AP56" s="567">
        <f>AA56+AD56+AG56+AJ56+AM56</f>
        <v>0</v>
      </c>
      <c r="AR56" s="801"/>
      <c r="AS56" s="801"/>
      <c r="AT56" s="801"/>
      <c r="AU56" s="569">
        <f>'BP1'!M39</f>
        <v>0</v>
      </c>
      <c r="AV56" s="569">
        <f>'BP2'!M39</f>
        <v>0</v>
      </c>
      <c r="AW56" s="569">
        <f>'BP3'!M39</f>
        <v>0</v>
      </c>
      <c r="AX56" s="569">
        <f>'BP4'!M39</f>
        <v>0</v>
      </c>
      <c r="AY56" s="569">
        <f>'BP5'!M39</f>
        <v>0</v>
      </c>
      <c r="AZ56" s="569">
        <f>AU56+AV56+AW56+AX56+AY56</f>
        <v>0</v>
      </c>
    </row>
    <row r="57" spans="1:52" ht="15.75" customHeight="1">
      <c r="A57" s="74" t="str">
        <f>CONCATENATE('BP1'!$D$40," Salary")</f>
        <v>Other (Carrying Statutory Benefits) Salary</v>
      </c>
      <c r="B57" s="393">
        <f>'BP1'!$K$40</f>
        <v>0</v>
      </c>
      <c r="C57" s="394">
        <f>'BP1'!$N$40</f>
        <v>0</v>
      </c>
      <c r="D57" s="392"/>
      <c r="E57" s="393">
        <f ca="1">'BP2'!$K$40</f>
        <v>0</v>
      </c>
      <c r="F57" s="394">
        <f ca="1">'BP2'!$N$40</f>
        <v>0</v>
      </c>
      <c r="G57" s="392"/>
      <c r="H57" s="393">
        <f ca="1">'BP3'!$K$40</f>
        <v>0</v>
      </c>
      <c r="I57" s="394">
        <f ca="1">'BP3'!$N$40</f>
        <v>0</v>
      </c>
      <c r="J57" s="392"/>
      <c r="K57" s="393">
        <f ca="1">'BP4'!$K$40</f>
        <v>0</v>
      </c>
      <c r="L57" s="394">
        <f ca="1">'BP4'!$N$40</f>
        <v>0</v>
      </c>
      <c r="M57" s="392"/>
      <c r="N57" s="393">
        <f ca="1">'BP5'!$K$40</f>
        <v>0</v>
      </c>
      <c r="O57" s="394">
        <f ca="1">'BP5'!$N$40</f>
        <v>0</v>
      </c>
      <c r="P57" s="392"/>
      <c r="Q57" s="393">
        <f t="shared" ca="1" si="0"/>
        <v>0</v>
      </c>
      <c r="R57" s="394">
        <f t="shared" ca="1" si="1"/>
        <v>0</v>
      </c>
      <c r="S57" s="65"/>
      <c r="T57" s="115" t="s">
        <v>215</v>
      </c>
      <c r="V57" s="758" t="str">
        <f>'BP1'!$D$40</f>
        <v>Other (Carrying Statutory Benefits)</v>
      </c>
      <c r="W57" s="758"/>
      <c r="X57" s="758"/>
      <c r="Y57" s="564" t="s">
        <v>2</v>
      </c>
      <c r="Z57" s="566" t="s">
        <v>194</v>
      </c>
      <c r="AA57" s="566" t="s">
        <v>195</v>
      </c>
      <c r="AB57" s="564" t="s">
        <v>2</v>
      </c>
      <c r="AC57" s="566" t="s">
        <v>194</v>
      </c>
      <c r="AD57" s="566" t="s">
        <v>195</v>
      </c>
      <c r="AE57" s="564" t="s">
        <v>2</v>
      </c>
      <c r="AF57" s="566" t="s">
        <v>194</v>
      </c>
      <c r="AG57" s="566" t="s">
        <v>195</v>
      </c>
      <c r="AH57" s="564" t="s">
        <v>2</v>
      </c>
      <c r="AI57" s="566" t="s">
        <v>194</v>
      </c>
      <c r="AJ57" s="566" t="s">
        <v>195</v>
      </c>
      <c r="AK57" s="564" t="s">
        <v>2</v>
      </c>
      <c r="AL57" s="566" t="s">
        <v>194</v>
      </c>
      <c r="AM57" s="566" t="s">
        <v>195</v>
      </c>
      <c r="AN57" s="564" t="s">
        <v>2</v>
      </c>
      <c r="AO57" s="566" t="s">
        <v>194</v>
      </c>
      <c r="AP57" s="566" t="s">
        <v>195</v>
      </c>
      <c r="AR57" s="794" t="str">
        <f>'BP1'!$D$40</f>
        <v>Other (Carrying Statutory Benefits)</v>
      </c>
      <c r="AS57" s="795"/>
      <c r="AT57" s="796"/>
      <c r="AU57" s="568" t="s">
        <v>284</v>
      </c>
      <c r="AV57" s="568" t="s">
        <v>284</v>
      </c>
      <c r="AW57" s="568" t="s">
        <v>284</v>
      </c>
      <c r="AX57" s="568" t="s">
        <v>284</v>
      </c>
      <c r="AY57" s="568" t="s">
        <v>284</v>
      </c>
      <c r="AZ57" s="568" t="s">
        <v>284</v>
      </c>
    </row>
    <row r="58" spans="1:52">
      <c r="A58" s="74" t="str">
        <f>CONCATENATE('BP1'!$D$40," Fringe")</f>
        <v>Other (Carrying Statutory Benefits) Fringe</v>
      </c>
      <c r="B58" s="401">
        <f>'BP1'!$L$40</f>
        <v>0</v>
      </c>
      <c r="C58" s="394">
        <f>'BP1'!$O$40</f>
        <v>0</v>
      </c>
      <c r="D58" s="392"/>
      <c r="E58" s="401">
        <f ca="1">'BP2'!$L$40</f>
        <v>0</v>
      </c>
      <c r="F58" s="394">
        <f ca="1">'BP2'!$O$40</f>
        <v>0</v>
      </c>
      <c r="G58" s="392"/>
      <c r="H58" s="401">
        <f ca="1">'BP3'!$L$40</f>
        <v>0</v>
      </c>
      <c r="I58" s="394">
        <f ca="1">'BP3'!$O$40</f>
        <v>0</v>
      </c>
      <c r="J58" s="392"/>
      <c r="K58" s="401">
        <f ca="1">'BP4'!$L$40</f>
        <v>0</v>
      </c>
      <c r="L58" s="394">
        <f ca="1">'BP4'!$O$40</f>
        <v>0</v>
      </c>
      <c r="M58" s="392"/>
      <c r="N58" s="401">
        <f ca="1">'BP5'!$L$40</f>
        <v>0</v>
      </c>
      <c r="O58" s="394">
        <f ca="1">'BP5'!$O$40</f>
        <v>0</v>
      </c>
      <c r="P58" s="392"/>
      <c r="Q58" s="401">
        <f t="shared" ca="1" si="0"/>
        <v>0</v>
      </c>
      <c r="R58" s="394">
        <f ca="1">C58+F58+I58+L58+O58</f>
        <v>0</v>
      </c>
      <c r="S58" s="65"/>
      <c r="T58" s="115" t="s">
        <v>215</v>
      </c>
      <c r="V58" s="758"/>
      <c r="W58" s="758"/>
      <c r="X58" s="758"/>
      <c r="Y58" s="565">
        <f>'BP1'!H40</f>
        <v>0</v>
      </c>
      <c r="Z58" s="567">
        <f>'BP1'!I40</f>
        <v>0</v>
      </c>
      <c r="AA58" s="567">
        <f>'BP1'!J40</f>
        <v>0</v>
      </c>
      <c r="AB58" s="565">
        <f>'BP2'!H40</f>
        <v>0</v>
      </c>
      <c r="AC58" s="567">
        <f>'BP2'!I40</f>
        <v>0</v>
      </c>
      <c r="AD58" s="567">
        <f>'BP2'!J40</f>
        <v>0</v>
      </c>
      <c r="AE58" s="565">
        <f>'BP3'!H40</f>
        <v>0</v>
      </c>
      <c r="AF58" s="567">
        <f>'BP3'!I40</f>
        <v>0</v>
      </c>
      <c r="AG58" s="567">
        <f>'BP3'!J40</f>
        <v>0</v>
      </c>
      <c r="AH58" s="565">
        <f>'BP4'!H40</f>
        <v>0</v>
      </c>
      <c r="AI58" s="567">
        <f>'BP4'!I40</f>
        <v>0</v>
      </c>
      <c r="AJ58" s="567">
        <f>'BP4'!J40</f>
        <v>0</v>
      </c>
      <c r="AK58" s="565">
        <f>'BP5'!H40</f>
        <v>0</v>
      </c>
      <c r="AL58" s="567">
        <f>'BP5'!I40</f>
        <v>0</v>
      </c>
      <c r="AM58" s="567">
        <f>'BP5'!J40</f>
        <v>0</v>
      </c>
      <c r="AN58" s="565">
        <f>Y58+AB58+AE58+AH58+AK58</f>
        <v>0</v>
      </c>
      <c r="AO58" s="567">
        <f>Z58+AC58+AF58+AI58+AL58</f>
        <v>0</v>
      </c>
      <c r="AP58" s="567">
        <f>AA58+AD58+AG58+AJ58+AM58</f>
        <v>0</v>
      </c>
      <c r="AR58" s="797"/>
      <c r="AS58" s="798"/>
      <c r="AT58" s="799"/>
      <c r="AU58" s="569">
        <f>'BP1'!M40</f>
        <v>0</v>
      </c>
      <c r="AV58" s="569">
        <f>'BP2'!M40</f>
        <v>0</v>
      </c>
      <c r="AW58" s="569">
        <f>'BP3'!M40</f>
        <v>0</v>
      </c>
      <c r="AX58" s="569">
        <f>'BP4'!M40</f>
        <v>0</v>
      </c>
      <c r="AY58" s="569">
        <f>'BP5'!M40</f>
        <v>0</v>
      </c>
      <c r="AZ58" s="569">
        <f>AU58+AV58+AW58+AX58+AY58</f>
        <v>0</v>
      </c>
    </row>
    <row r="59" spans="1:52">
      <c r="A59" s="248" t="s">
        <v>86</v>
      </c>
      <c r="B59" s="402">
        <f>'BP1'!$K41</f>
        <v>0</v>
      </c>
      <c r="C59" s="403">
        <f>'BP1'!$N41</f>
        <v>0</v>
      </c>
      <c r="D59" s="404"/>
      <c r="E59" s="402">
        <f>'BP2'!$K41</f>
        <v>0</v>
      </c>
      <c r="F59" s="403">
        <f ca="1">'BP2'!$N41</f>
        <v>0</v>
      </c>
      <c r="G59" s="404"/>
      <c r="H59" s="402">
        <f>'BP3'!$K41</f>
        <v>0</v>
      </c>
      <c r="I59" s="403">
        <f ca="1">'BP3'!$N41</f>
        <v>0</v>
      </c>
      <c r="J59" s="404"/>
      <c r="K59" s="402">
        <f>'BP4'!$K41</f>
        <v>0</v>
      </c>
      <c r="L59" s="403">
        <f ca="1">'BP4'!$N41</f>
        <v>0</v>
      </c>
      <c r="M59" s="404"/>
      <c r="N59" s="402">
        <f>'BP5'!$K41</f>
        <v>0</v>
      </c>
      <c r="O59" s="403">
        <f ca="1">'BP5'!$N41</f>
        <v>0</v>
      </c>
      <c r="P59" s="404"/>
      <c r="Q59" s="402">
        <f t="shared" si="0"/>
        <v>0</v>
      </c>
      <c r="R59" s="403">
        <f t="shared" ca="1" si="1"/>
        <v>0</v>
      </c>
      <c r="S59" s="245"/>
      <c r="T59" s="115" t="s">
        <v>215</v>
      </c>
    </row>
    <row r="60" spans="1:52">
      <c r="A60" s="249" t="s">
        <v>87</v>
      </c>
      <c r="B60" s="405">
        <f>'BP1'!$K42</f>
        <v>0</v>
      </c>
      <c r="C60" s="396">
        <f>'BP1'!$N42</f>
        <v>0</v>
      </c>
      <c r="D60" s="392"/>
      <c r="E60" s="405">
        <f>'BP2'!$K42</f>
        <v>0</v>
      </c>
      <c r="F60" s="396">
        <f ca="1">'BP2'!$N42</f>
        <v>0</v>
      </c>
      <c r="G60" s="392"/>
      <c r="H60" s="405">
        <f>'BP3'!$K42</f>
        <v>0</v>
      </c>
      <c r="I60" s="396">
        <f ca="1">'BP3'!$N42</f>
        <v>0</v>
      </c>
      <c r="J60" s="392"/>
      <c r="K60" s="405">
        <f>'BP4'!$K42</f>
        <v>0</v>
      </c>
      <c r="L60" s="396">
        <f ca="1">'BP4'!$N42</f>
        <v>0</v>
      </c>
      <c r="M60" s="392"/>
      <c r="N60" s="405">
        <f>'BP5'!$K42</f>
        <v>0</v>
      </c>
      <c r="O60" s="396">
        <f ca="1">'BP5'!$N42</f>
        <v>0</v>
      </c>
      <c r="P60" s="392"/>
      <c r="Q60" s="405">
        <f t="shared" si="0"/>
        <v>0</v>
      </c>
      <c r="R60" s="396">
        <f t="shared" ca="1" si="1"/>
        <v>0</v>
      </c>
      <c r="S60" s="64"/>
      <c r="T60" s="115" t="s">
        <v>215</v>
      </c>
    </row>
    <row r="61" spans="1:52" ht="16.2" thickBot="1">
      <c r="A61" s="248" t="s">
        <v>96</v>
      </c>
      <c r="B61" s="406">
        <f>'BP1'!$K43</f>
        <v>0</v>
      </c>
      <c r="C61" s="407">
        <f>'BP1'!$N43</f>
        <v>0</v>
      </c>
      <c r="D61" s="404"/>
      <c r="E61" s="406">
        <f>'BP2'!$K43</f>
        <v>0</v>
      </c>
      <c r="F61" s="407">
        <f ca="1">'BP2'!$N43</f>
        <v>0</v>
      </c>
      <c r="G61" s="404"/>
      <c r="H61" s="406">
        <f>'BP3'!$K43</f>
        <v>0</v>
      </c>
      <c r="I61" s="407">
        <f ca="1">'BP3'!$N43</f>
        <v>0</v>
      </c>
      <c r="J61" s="404"/>
      <c r="K61" s="406">
        <f>'BP4'!$K43</f>
        <v>0</v>
      </c>
      <c r="L61" s="407">
        <f ca="1">'BP4'!$N43</f>
        <v>0</v>
      </c>
      <c r="M61" s="404"/>
      <c r="N61" s="406">
        <f>'BP5'!$K43</f>
        <v>0</v>
      </c>
      <c r="O61" s="407">
        <f ca="1">'BP5'!$N43</f>
        <v>0</v>
      </c>
      <c r="P61" s="404"/>
      <c r="Q61" s="406">
        <f t="shared" si="0"/>
        <v>0</v>
      </c>
      <c r="R61" s="407">
        <f t="shared" ca="1" si="1"/>
        <v>0</v>
      </c>
      <c r="S61" s="245"/>
      <c r="T61" s="115" t="s">
        <v>215</v>
      </c>
    </row>
    <row r="62" spans="1:52" ht="16.2" thickBot="1">
      <c r="A62" s="60"/>
      <c r="B62" s="392"/>
      <c r="C62" s="392"/>
      <c r="D62" s="392"/>
      <c r="E62" s="392"/>
      <c r="F62" s="392"/>
      <c r="G62" s="392"/>
      <c r="H62" s="392"/>
      <c r="I62" s="392"/>
      <c r="J62" s="392"/>
      <c r="K62" s="392"/>
      <c r="L62" s="392"/>
      <c r="M62" s="392"/>
      <c r="N62" s="392"/>
      <c r="O62" s="392"/>
      <c r="P62" s="392"/>
      <c r="Q62" s="392"/>
      <c r="R62" s="392"/>
      <c r="S62" s="64"/>
      <c r="T62" s="115" t="s">
        <v>215</v>
      </c>
    </row>
    <row r="63" spans="1:52">
      <c r="A63" s="74" t="str">
        <f>'BP1'!$A$44</f>
        <v>Capital Equipment</v>
      </c>
      <c r="B63" s="399">
        <f>'BP1'!$K50</f>
        <v>0</v>
      </c>
      <c r="C63" s="400">
        <f>'BP1'!$N50</f>
        <v>0</v>
      </c>
      <c r="D63" s="392"/>
      <c r="E63" s="399">
        <f>'BP2'!$K50</f>
        <v>0</v>
      </c>
      <c r="F63" s="400">
        <f>'BP2'!$N50</f>
        <v>0</v>
      </c>
      <c r="G63" s="392"/>
      <c r="H63" s="399">
        <f>'BP3'!$K50</f>
        <v>0</v>
      </c>
      <c r="I63" s="400">
        <f>'BP3'!$N50</f>
        <v>0</v>
      </c>
      <c r="J63" s="392"/>
      <c r="K63" s="399">
        <f>'BP4'!$K50</f>
        <v>0</v>
      </c>
      <c r="L63" s="400">
        <f>'BP4'!$N50</f>
        <v>0</v>
      </c>
      <c r="M63" s="392"/>
      <c r="N63" s="399">
        <f>'BP5'!$K50</f>
        <v>0</v>
      </c>
      <c r="O63" s="400">
        <f>'BP5'!$N50</f>
        <v>0</v>
      </c>
      <c r="P63" s="392"/>
      <c r="Q63" s="399">
        <f t="shared" si="0"/>
        <v>0</v>
      </c>
      <c r="R63" s="400">
        <f t="shared" si="1"/>
        <v>0</v>
      </c>
      <c r="S63" s="65"/>
      <c r="T63" s="115" t="s">
        <v>215</v>
      </c>
    </row>
    <row r="64" spans="1:52">
      <c r="A64" s="74" t="str">
        <f>'BP1'!$H$51</f>
        <v>Domestic Travel</v>
      </c>
      <c r="B64" s="393">
        <f>'BP1'!$K51</f>
        <v>0</v>
      </c>
      <c r="C64" s="394">
        <f>'BP1'!$N51</f>
        <v>0</v>
      </c>
      <c r="D64" s="392"/>
      <c r="E64" s="393">
        <f>'BP2'!$K51</f>
        <v>0</v>
      </c>
      <c r="F64" s="394">
        <f>'BP2'!$N51</f>
        <v>0</v>
      </c>
      <c r="G64" s="392"/>
      <c r="H64" s="393">
        <f>'BP3'!$K51</f>
        <v>0</v>
      </c>
      <c r="I64" s="394">
        <f>'BP3'!$N51</f>
        <v>0</v>
      </c>
      <c r="J64" s="392"/>
      <c r="K64" s="393">
        <f>'BP4'!$K51</f>
        <v>0</v>
      </c>
      <c r="L64" s="394">
        <f>'BP4'!$N51</f>
        <v>0</v>
      </c>
      <c r="M64" s="392"/>
      <c r="N64" s="393">
        <f>'BP5'!$K51</f>
        <v>0</v>
      </c>
      <c r="O64" s="394">
        <f>'BP5'!$N51</f>
        <v>0</v>
      </c>
      <c r="P64" s="392"/>
      <c r="Q64" s="393">
        <f t="shared" si="0"/>
        <v>0</v>
      </c>
      <c r="R64" s="394">
        <f t="shared" si="1"/>
        <v>0</v>
      </c>
      <c r="S64" s="65"/>
      <c r="T64" s="115" t="s">
        <v>215</v>
      </c>
    </row>
    <row r="65" spans="1:20" ht="16.2" thickBot="1">
      <c r="A65" s="74" t="str">
        <f>'BP1'!$H$52</f>
        <v>Foreign Travel</v>
      </c>
      <c r="B65" s="408">
        <f>'BP1'!$K52</f>
        <v>0</v>
      </c>
      <c r="C65" s="409">
        <f>'BP1'!$N52</f>
        <v>0</v>
      </c>
      <c r="D65" s="392"/>
      <c r="E65" s="408">
        <f>'BP2'!$K52</f>
        <v>0</v>
      </c>
      <c r="F65" s="409">
        <f>'BP2'!$N52</f>
        <v>0</v>
      </c>
      <c r="G65" s="392"/>
      <c r="H65" s="408">
        <f>'BP3'!$K52</f>
        <v>0</v>
      </c>
      <c r="I65" s="409">
        <f>'BP3'!$N52</f>
        <v>0</v>
      </c>
      <c r="J65" s="392"/>
      <c r="K65" s="408">
        <f>'BP4'!$K52</f>
        <v>0</v>
      </c>
      <c r="L65" s="409">
        <f>'BP4'!$N52</f>
        <v>0</v>
      </c>
      <c r="M65" s="392"/>
      <c r="N65" s="408">
        <f>'BP5'!$K52</f>
        <v>0</v>
      </c>
      <c r="O65" s="409">
        <f>'BP5'!$N52</f>
        <v>0</v>
      </c>
      <c r="P65" s="392"/>
      <c r="Q65" s="408">
        <f t="shared" si="0"/>
        <v>0</v>
      </c>
      <c r="R65" s="409">
        <f t="shared" si="1"/>
        <v>0</v>
      </c>
      <c r="S65" s="65"/>
      <c r="T65" s="115" t="s">
        <v>215</v>
      </c>
    </row>
    <row r="66" spans="1:20" ht="16.2" thickBot="1">
      <c r="B66" s="410"/>
      <c r="C66" s="410"/>
      <c r="D66" s="410"/>
      <c r="E66" s="410"/>
      <c r="F66" s="410"/>
      <c r="G66" s="410"/>
      <c r="H66" s="410"/>
      <c r="I66" s="410"/>
      <c r="J66" s="410"/>
      <c r="K66" s="410"/>
      <c r="L66" s="410"/>
      <c r="M66" s="410"/>
      <c r="N66" s="410"/>
      <c r="O66" s="410"/>
      <c r="P66" s="410"/>
      <c r="Q66" s="410"/>
      <c r="R66" s="410"/>
      <c r="T66" s="115" t="s">
        <v>215</v>
      </c>
    </row>
    <row r="67" spans="1:20">
      <c r="A67" s="74" t="str">
        <f>'BP1'!$C$55</f>
        <v>Materials and Supplies</v>
      </c>
      <c r="B67" s="399">
        <f>'BP1'!$K55</f>
        <v>0</v>
      </c>
      <c r="C67" s="400">
        <f>'BP1'!$N55</f>
        <v>0</v>
      </c>
      <c r="D67" s="392"/>
      <c r="E67" s="399">
        <f>'BP2'!$K55</f>
        <v>0</v>
      </c>
      <c r="F67" s="400">
        <f>'BP2'!$N55</f>
        <v>0</v>
      </c>
      <c r="G67" s="392"/>
      <c r="H67" s="399">
        <f>'BP3'!$K55</f>
        <v>0</v>
      </c>
      <c r="I67" s="400">
        <f>'BP3'!$N55</f>
        <v>0</v>
      </c>
      <c r="J67" s="392"/>
      <c r="K67" s="399">
        <f>'BP4'!$K55</f>
        <v>0</v>
      </c>
      <c r="L67" s="400">
        <f>'BP4'!$N55</f>
        <v>0</v>
      </c>
      <c r="M67" s="392"/>
      <c r="N67" s="399">
        <f>'BP5'!$K55</f>
        <v>0</v>
      </c>
      <c r="O67" s="400">
        <f>'BP5'!$N55</f>
        <v>0</v>
      </c>
      <c r="P67" s="392"/>
      <c r="Q67" s="399">
        <f t="shared" si="0"/>
        <v>0</v>
      </c>
      <c r="R67" s="400">
        <f t="shared" si="1"/>
        <v>0</v>
      </c>
      <c r="S67" s="65"/>
      <c r="T67" s="115" t="s">
        <v>215</v>
      </c>
    </row>
    <row r="68" spans="1:20">
      <c r="A68" s="74" t="str">
        <f>'BP1'!$C$56</f>
        <v>Publication Costs</v>
      </c>
      <c r="B68" s="393">
        <f>'BP1'!$K56</f>
        <v>0</v>
      </c>
      <c r="C68" s="394">
        <f>'BP1'!$N56</f>
        <v>0</v>
      </c>
      <c r="D68" s="392"/>
      <c r="E68" s="393">
        <f>'BP2'!$K56</f>
        <v>0</v>
      </c>
      <c r="F68" s="394">
        <f>'BP2'!$N56</f>
        <v>0</v>
      </c>
      <c r="G68" s="392"/>
      <c r="H68" s="393">
        <f>'BP3'!$K56</f>
        <v>0</v>
      </c>
      <c r="I68" s="394">
        <f>'BP3'!$N56</f>
        <v>0</v>
      </c>
      <c r="J68" s="392"/>
      <c r="K68" s="393">
        <f>'BP4'!$K56</f>
        <v>0</v>
      </c>
      <c r="L68" s="394">
        <f>'BP4'!$N56</f>
        <v>0</v>
      </c>
      <c r="M68" s="392"/>
      <c r="N68" s="393">
        <f>'BP5'!$K56</f>
        <v>0</v>
      </c>
      <c r="O68" s="394">
        <f>'BP5'!$N56</f>
        <v>0</v>
      </c>
      <c r="P68" s="392"/>
      <c r="Q68" s="393">
        <f t="shared" si="0"/>
        <v>0</v>
      </c>
      <c r="R68" s="394">
        <f t="shared" si="1"/>
        <v>0</v>
      </c>
      <c r="S68" s="65"/>
      <c r="T68" s="115" t="s">
        <v>215</v>
      </c>
    </row>
    <row r="69" spans="1:20">
      <c r="A69" s="74" t="str">
        <f>'BP1'!$C$57</f>
        <v>Consultant Services</v>
      </c>
      <c r="B69" s="393">
        <f>'BP1'!$K57</f>
        <v>0</v>
      </c>
      <c r="C69" s="394">
        <f>'BP1'!$N57</f>
        <v>0</v>
      </c>
      <c r="D69" s="392"/>
      <c r="E69" s="393">
        <f>'BP2'!$K57</f>
        <v>0</v>
      </c>
      <c r="F69" s="394">
        <f>'BP2'!$N57</f>
        <v>0</v>
      </c>
      <c r="G69" s="392"/>
      <c r="H69" s="393">
        <f>'BP3'!$K57</f>
        <v>0</v>
      </c>
      <c r="I69" s="394">
        <f>'BP3'!$N57</f>
        <v>0</v>
      </c>
      <c r="J69" s="392"/>
      <c r="K69" s="393">
        <f>'BP4'!$K57</f>
        <v>0</v>
      </c>
      <c r="L69" s="394">
        <f>'BP4'!$N57</f>
        <v>0</v>
      </c>
      <c r="M69" s="392"/>
      <c r="N69" s="393">
        <f>'BP5'!$K57</f>
        <v>0</v>
      </c>
      <c r="O69" s="394">
        <f>'BP5'!$N57</f>
        <v>0</v>
      </c>
      <c r="P69" s="392"/>
      <c r="Q69" s="393">
        <f t="shared" si="0"/>
        <v>0</v>
      </c>
      <c r="R69" s="394">
        <f t="shared" si="1"/>
        <v>0</v>
      </c>
      <c r="S69" s="65"/>
      <c r="T69" s="115" t="s">
        <v>215</v>
      </c>
    </row>
    <row r="70" spans="1:20">
      <c r="A70" s="74" t="str">
        <f>'BP1'!$C$58</f>
        <v>Computer Services</v>
      </c>
      <c r="B70" s="393">
        <f>'BP1'!$K58</f>
        <v>0</v>
      </c>
      <c r="C70" s="394">
        <f>'BP1'!$N58</f>
        <v>0</v>
      </c>
      <c r="D70" s="392"/>
      <c r="E70" s="393">
        <f>'BP2'!$K58</f>
        <v>0</v>
      </c>
      <c r="F70" s="394">
        <f>'BP2'!$N58</f>
        <v>0</v>
      </c>
      <c r="G70" s="392"/>
      <c r="H70" s="393">
        <f>'BP3'!$K58</f>
        <v>0</v>
      </c>
      <c r="I70" s="394">
        <f>'BP3'!$N58</f>
        <v>0</v>
      </c>
      <c r="J70" s="392"/>
      <c r="K70" s="393">
        <f>'BP4'!$K58</f>
        <v>0</v>
      </c>
      <c r="L70" s="394">
        <f>'BP4'!$N58</f>
        <v>0</v>
      </c>
      <c r="M70" s="392"/>
      <c r="N70" s="393">
        <f>'BP5'!$K58</f>
        <v>0</v>
      </c>
      <c r="O70" s="394">
        <f>'BP5'!$N58</f>
        <v>0</v>
      </c>
      <c r="P70" s="392"/>
      <c r="Q70" s="393">
        <f t="shared" si="0"/>
        <v>0</v>
      </c>
      <c r="R70" s="394">
        <f t="shared" si="1"/>
        <v>0</v>
      </c>
      <c r="S70" s="65"/>
      <c r="T70" s="115" t="s">
        <v>215</v>
      </c>
    </row>
    <row r="71" spans="1:20">
      <c r="A71" s="74" t="str">
        <f>'BP1'!$C$59</f>
        <v>Tuition</v>
      </c>
      <c r="B71" s="393">
        <f>'BP1'!$K59</f>
        <v>0</v>
      </c>
      <c r="C71" s="394">
        <f>'BP1'!$N59</f>
        <v>0</v>
      </c>
      <c r="D71" s="392"/>
      <c r="E71" s="393">
        <f>'BP2'!$K59</f>
        <v>0</v>
      </c>
      <c r="F71" s="394">
        <f>'BP2'!$N59</f>
        <v>0</v>
      </c>
      <c r="G71" s="392"/>
      <c r="H71" s="393">
        <f>'BP3'!$K59</f>
        <v>0</v>
      </c>
      <c r="I71" s="394">
        <f>'BP3'!$N59</f>
        <v>0</v>
      </c>
      <c r="J71" s="392"/>
      <c r="K71" s="393">
        <f>'BP4'!$K59</f>
        <v>0</v>
      </c>
      <c r="L71" s="394">
        <f>'BP4'!$N59</f>
        <v>0</v>
      </c>
      <c r="M71" s="392"/>
      <c r="N71" s="393">
        <f>'BP5'!$K59</f>
        <v>0</v>
      </c>
      <c r="O71" s="394">
        <f>'BP5'!$N59</f>
        <v>0</v>
      </c>
      <c r="P71" s="392"/>
      <c r="Q71" s="393">
        <f t="shared" si="0"/>
        <v>0</v>
      </c>
      <c r="R71" s="394">
        <f t="shared" si="1"/>
        <v>0</v>
      </c>
      <c r="S71" s="65"/>
      <c r="T71" s="115" t="s">
        <v>215</v>
      </c>
    </row>
    <row r="72" spans="1:20">
      <c r="A72" s="74" t="str">
        <f>'BP1'!$C$60</f>
        <v>MTDC Other</v>
      </c>
      <c r="B72" s="393">
        <f>'BP1'!$K60</f>
        <v>0</v>
      </c>
      <c r="C72" s="394">
        <f>'BP1'!$N60</f>
        <v>0</v>
      </c>
      <c r="D72" s="392"/>
      <c r="E72" s="393">
        <f>'BP2'!$K60</f>
        <v>0</v>
      </c>
      <c r="F72" s="394">
        <f>'BP2'!$N60</f>
        <v>0</v>
      </c>
      <c r="G72" s="392"/>
      <c r="H72" s="393">
        <f>'BP3'!$K60</f>
        <v>0</v>
      </c>
      <c r="I72" s="394">
        <f>'BP3'!$N60</f>
        <v>0</v>
      </c>
      <c r="J72" s="392"/>
      <c r="K72" s="393">
        <f>'BP4'!$K60</f>
        <v>0</v>
      </c>
      <c r="L72" s="394">
        <f>'BP4'!$N60</f>
        <v>0</v>
      </c>
      <c r="M72" s="392"/>
      <c r="N72" s="393">
        <f>'BP5'!$K60</f>
        <v>0</v>
      </c>
      <c r="O72" s="394">
        <f>'BP5'!$N60</f>
        <v>0</v>
      </c>
      <c r="P72" s="392"/>
      <c r="Q72" s="393">
        <f t="shared" si="0"/>
        <v>0</v>
      </c>
      <c r="R72" s="394">
        <f t="shared" si="1"/>
        <v>0</v>
      </c>
      <c r="S72" s="65"/>
      <c r="T72" s="115" t="s">
        <v>215</v>
      </c>
    </row>
    <row r="73" spans="1:20">
      <c r="A73" s="74" t="str">
        <f>'BP1'!$C$61</f>
        <v>Non-MTDC Other (no indirect costs)</v>
      </c>
      <c r="B73" s="393">
        <f>'BP1'!$K61</f>
        <v>0</v>
      </c>
      <c r="C73" s="394">
        <f>'BP1'!$N61</f>
        <v>0</v>
      </c>
      <c r="D73" s="392"/>
      <c r="E73" s="393">
        <f>'BP2'!$K61</f>
        <v>0</v>
      </c>
      <c r="F73" s="394">
        <f>'BP2'!$N61</f>
        <v>0</v>
      </c>
      <c r="G73" s="392"/>
      <c r="H73" s="393">
        <f>'BP3'!$K61</f>
        <v>0</v>
      </c>
      <c r="I73" s="394">
        <f>'BP3'!$N61</f>
        <v>0</v>
      </c>
      <c r="J73" s="392"/>
      <c r="K73" s="393">
        <f>'BP4'!$K61</f>
        <v>0</v>
      </c>
      <c r="L73" s="394">
        <f>'BP4'!$N61</f>
        <v>0</v>
      </c>
      <c r="M73" s="392"/>
      <c r="N73" s="393">
        <f>'BP5'!$K61</f>
        <v>0</v>
      </c>
      <c r="O73" s="394">
        <f>'BP5'!$N61</f>
        <v>0</v>
      </c>
      <c r="P73" s="392"/>
      <c r="Q73" s="393">
        <f t="shared" si="0"/>
        <v>0</v>
      </c>
      <c r="R73" s="394">
        <f t="shared" si="1"/>
        <v>0</v>
      </c>
      <c r="S73" s="65"/>
      <c r="T73" s="115" t="s">
        <v>215</v>
      </c>
    </row>
    <row r="74" spans="1:20" ht="15.75" customHeight="1">
      <c r="A74" s="486" t="str">
        <f>IF(Q74&gt;0,"Subaward - "&amp;'Subaward Calculator'!B8,'BP1'!C62)</f>
        <v>Subaward I</v>
      </c>
      <c r="B74" s="393">
        <f>'BP1'!$K62</f>
        <v>0</v>
      </c>
      <c r="C74" s="394">
        <f>'BP1'!$N62</f>
        <v>0</v>
      </c>
      <c r="D74" s="392"/>
      <c r="E74" s="393">
        <f>IF('BP2'!$K62="",0,'BP2'!$K62)</f>
        <v>0</v>
      </c>
      <c r="F74" s="394">
        <f>IF('BP2'!$N62="",0,'BP2'!$N62)</f>
        <v>0</v>
      </c>
      <c r="G74" s="392"/>
      <c r="H74" s="393">
        <f>IF('BP3'!$K62="",0,'BP3'!$K62)</f>
        <v>0</v>
      </c>
      <c r="I74" s="394">
        <f>IF('BP3'!$N62="",0,'BP3'!$N62)</f>
        <v>0</v>
      </c>
      <c r="J74" s="392"/>
      <c r="K74" s="393">
        <f>IF('BP4'!$K62="",0,'BP4'!$K62)</f>
        <v>0</v>
      </c>
      <c r="L74" s="394">
        <f>IF('BP4'!$N62="",0,'BP4'!$N62)</f>
        <v>0</v>
      </c>
      <c r="M74" s="392"/>
      <c r="N74" s="393">
        <f>IF('BP5'!$K62="",0,'BP5'!$K62)</f>
        <v>0</v>
      </c>
      <c r="O74" s="394">
        <f>IF('BP5'!$N62="",0,'BP5'!$N62)</f>
        <v>0</v>
      </c>
      <c r="P74" s="392"/>
      <c r="Q74" s="393">
        <f>B74+E74+H74+K74+N74</f>
        <v>0</v>
      </c>
      <c r="R74" s="394">
        <f t="shared" si="1"/>
        <v>0</v>
      </c>
      <c r="S74" s="65"/>
      <c r="T74" s="115" t="s">
        <v>215</v>
      </c>
    </row>
    <row r="75" spans="1:20" ht="15.75" hidden="1" customHeight="1">
      <c r="A75" s="486" t="str">
        <f>IF(Q75&gt;0,"Subaward - "&amp;'Subaward Calculator'!B11,'BP1'!C63)</f>
        <v>Subaward II</v>
      </c>
      <c r="B75" s="393">
        <f>'BP1'!$K63</f>
        <v>0</v>
      </c>
      <c r="C75" s="394">
        <f>'BP1'!$N63</f>
        <v>0</v>
      </c>
      <c r="D75" s="392"/>
      <c r="E75" s="393">
        <f>IF('BP2'!$K63="",0,'BP2'!$K63)</f>
        <v>0</v>
      </c>
      <c r="F75" s="394">
        <f>IF('BP2'!$N63="",0,'BP2'!$N63)</f>
        <v>0</v>
      </c>
      <c r="G75" s="392"/>
      <c r="H75" s="393">
        <f>IF('BP3'!$K63="",0,'BP3'!$K63)</f>
        <v>0</v>
      </c>
      <c r="I75" s="394">
        <f>IF('BP3'!$N63="",0,'BP3'!$N63)</f>
        <v>0</v>
      </c>
      <c r="J75" s="392"/>
      <c r="K75" s="393">
        <f>IF('BP4'!$K63="",0,'BP4'!$K63)</f>
        <v>0</v>
      </c>
      <c r="L75" s="394">
        <f>IF('BP4'!$N63="",0,'BP4'!$N63)</f>
        <v>0</v>
      </c>
      <c r="M75" s="392"/>
      <c r="N75" s="393">
        <f>IF('BP5'!$K63="",0,'BP5'!$K63)</f>
        <v>0</v>
      </c>
      <c r="O75" s="394">
        <f>IF('BP5'!$N63="",0,'BP5'!$N63)</f>
        <v>0</v>
      </c>
      <c r="P75" s="392"/>
      <c r="Q75" s="393">
        <f t="shared" si="0"/>
        <v>0</v>
      </c>
      <c r="R75" s="394">
        <f t="shared" si="1"/>
        <v>0</v>
      </c>
      <c r="S75" s="65"/>
      <c r="T75" s="115" t="s">
        <v>217</v>
      </c>
    </row>
    <row r="76" spans="1:20" ht="15.75" hidden="1" customHeight="1">
      <c r="A76" s="486" t="str">
        <f>IF(Q76&gt;0,"Subaward - "&amp;'Subaward Calculator'!B14,'BP1'!C64)</f>
        <v>Subaward III</v>
      </c>
      <c r="B76" s="393">
        <f>'BP1'!$K64</f>
        <v>0</v>
      </c>
      <c r="C76" s="394">
        <f>'BP1'!$N64</f>
        <v>0</v>
      </c>
      <c r="D76" s="392"/>
      <c r="E76" s="393">
        <f>IF('BP2'!$K64="",0,'BP2'!$K64)</f>
        <v>0</v>
      </c>
      <c r="F76" s="394">
        <f>IF('BP2'!$N64="",0,'BP2'!$N64)</f>
        <v>0</v>
      </c>
      <c r="G76" s="392"/>
      <c r="H76" s="393">
        <f>IF('BP3'!$K64="",0,'BP3'!$K64)</f>
        <v>0</v>
      </c>
      <c r="I76" s="394">
        <f>IF('BP3'!$N64="",0,'BP3'!$N64)</f>
        <v>0</v>
      </c>
      <c r="J76" s="392"/>
      <c r="K76" s="393">
        <f>IF('BP4'!$K64="",0,'BP4'!$K64)</f>
        <v>0</v>
      </c>
      <c r="L76" s="394">
        <f>IF('BP4'!$N64="",0,'BP4'!$N64)</f>
        <v>0</v>
      </c>
      <c r="M76" s="392"/>
      <c r="N76" s="393">
        <f>IF('BP5'!$K64="",0,'BP5'!$K64)</f>
        <v>0</v>
      </c>
      <c r="O76" s="394">
        <f>IF('BP5'!$N64="",0,'BP5'!$N64)</f>
        <v>0</v>
      </c>
      <c r="P76" s="392"/>
      <c r="Q76" s="393">
        <f t="shared" si="0"/>
        <v>0</v>
      </c>
      <c r="R76" s="394">
        <f t="shared" si="1"/>
        <v>0</v>
      </c>
      <c r="S76" s="65"/>
      <c r="T76" s="115" t="s">
        <v>217</v>
      </c>
    </row>
    <row r="77" spans="1:20" ht="15.75" hidden="1" customHeight="1">
      <c r="A77" s="486" t="str">
        <f>IF(Q77&gt;0,"Subaward - "&amp;'Subaward Calculator'!B17,'BP1'!C65)</f>
        <v>Subaward IV</v>
      </c>
      <c r="B77" s="393">
        <f>'BP1'!$K65</f>
        <v>0</v>
      </c>
      <c r="C77" s="394">
        <f>'BP1'!$N65</f>
        <v>0</v>
      </c>
      <c r="D77" s="392"/>
      <c r="E77" s="393">
        <f>IF('BP2'!$K65="",0,'BP2'!$K65)</f>
        <v>0</v>
      </c>
      <c r="F77" s="394">
        <f>IF('BP2'!$N65="",0,'BP2'!$N65)</f>
        <v>0</v>
      </c>
      <c r="G77" s="392"/>
      <c r="H77" s="393">
        <f>IF('BP3'!$K65="",0,'BP3'!$K65)</f>
        <v>0</v>
      </c>
      <c r="I77" s="394">
        <f>IF('BP3'!$N65="",0,'BP3'!$N65)</f>
        <v>0</v>
      </c>
      <c r="J77" s="392"/>
      <c r="K77" s="393">
        <f>IF('BP4'!$K65="",0,'BP4'!$K65)</f>
        <v>0</v>
      </c>
      <c r="L77" s="394">
        <f>IF('BP4'!$N65="",0,'BP4'!$N65)</f>
        <v>0</v>
      </c>
      <c r="M77" s="392"/>
      <c r="N77" s="393">
        <f>IF('BP5'!$K65="",0,'BP5'!$K65)</f>
        <v>0</v>
      </c>
      <c r="O77" s="394">
        <f>IF('BP5'!$N65="",0,'BP5'!$N65)</f>
        <v>0</v>
      </c>
      <c r="P77" s="392"/>
      <c r="Q77" s="393">
        <f t="shared" si="0"/>
        <v>0</v>
      </c>
      <c r="R77" s="394">
        <f t="shared" si="1"/>
        <v>0</v>
      </c>
      <c r="S77" s="65"/>
      <c r="T77" s="115" t="s">
        <v>217</v>
      </c>
    </row>
    <row r="78" spans="1:20" ht="15.75" hidden="1" customHeight="1">
      <c r="A78" s="486" t="str">
        <f>IF(Q78&gt;0,"Subaward - "&amp;'Subaward Calculator'!B20,'BP1'!C66)</f>
        <v>Subaward V</v>
      </c>
      <c r="B78" s="393">
        <f>'BP1'!$K66</f>
        <v>0</v>
      </c>
      <c r="C78" s="394">
        <f>'BP1'!$N66</f>
        <v>0</v>
      </c>
      <c r="D78" s="392"/>
      <c r="E78" s="393">
        <f>IF('BP2'!$K66="",0,'BP2'!$K66)</f>
        <v>0</v>
      </c>
      <c r="F78" s="394">
        <f>IF('BP2'!$N66="",0,'BP2'!$N66)</f>
        <v>0</v>
      </c>
      <c r="G78" s="392"/>
      <c r="H78" s="393">
        <f>IF('BP3'!$K66="",0,'BP3'!$K66)</f>
        <v>0</v>
      </c>
      <c r="I78" s="394">
        <f>IF('BP3'!$N66="",0,'BP3'!$N66)</f>
        <v>0</v>
      </c>
      <c r="J78" s="392"/>
      <c r="K78" s="393">
        <f>IF('BP4'!$K66="",0,'BP4'!$K66)</f>
        <v>0</v>
      </c>
      <c r="L78" s="394">
        <f>IF('BP4'!$N66="",0,'BP4'!$N66)</f>
        <v>0</v>
      </c>
      <c r="M78" s="392"/>
      <c r="N78" s="393">
        <f>IF('BP5'!$K66="",0,'BP5'!$K66)</f>
        <v>0</v>
      </c>
      <c r="O78" s="394">
        <f>IF('BP5'!$N66="",0,'BP5'!$N66)</f>
        <v>0</v>
      </c>
      <c r="P78" s="392"/>
      <c r="Q78" s="393">
        <f t="shared" si="0"/>
        <v>0</v>
      </c>
      <c r="R78" s="394">
        <f t="shared" si="1"/>
        <v>0</v>
      </c>
      <c r="S78" s="65"/>
      <c r="T78" s="115" t="s">
        <v>217</v>
      </c>
    </row>
    <row r="79" spans="1:20" ht="15.75" hidden="1" customHeight="1">
      <c r="A79" s="486" t="str">
        <f>IF(Q79&gt;0,"Subaward - "&amp;'Subaward Calculator'!B23,'BP1'!C67)</f>
        <v>Subaward VI</v>
      </c>
      <c r="B79" s="393">
        <f>'BP1'!$K67</f>
        <v>0</v>
      </c>
      <c r="C79" s="394">
        <f>'BP1'!$N67</f>
        <v>0</v>
      </c>
      <c r="D79" s="392"/>
      <c r="E79" s="393">
        <f>IF('BP2'!$K67="",0,'BP2'!$K67)</f>
        <v>0</v>
      </c>
      <c r="F79" s="394">
        <f>IF('BP2'!$N67="",0,'BP2'!$N67)</f>
        <v>0</v>
      </c>
      <c r="G79" s="392"/>
      <c r="H79" s="393">
        <f>IF('BP3'!$K67="",0,'BP3'!$K67)</f>
        <v>0</v>
      </c>
      <c r="I79" s="394">
        <f>IF('BP3'!$N67="",0,'BP3'!$N67)</f>
        <v>0</v>
      </c>
      <c r="J79" s="392"/>
      <c r="K79" s="393">
        <f>IF('BP4'!$K67="",0,'BP4'!$K67)</f>
        <v>0</v>
      </c>
      <c r="L79" s="394">
        <f>IF('BP4'!$N67="",0,'BP4'!$N67)</f>
        <v>0</v>
      </c>
      <c r="M79" s="392"/>
      <c r="N79" s="393">
        <f>IF('BP5'!$K67="",0,'BP5'!$K67)</f>
        <v>0</v>
      </c>
      <c r="O79" s="394">
        <f>IF('BP5'!$N67="",0,'BP5'!$N67)</f>
        <v>0</v>
      </c>
      <c r="P79" s="392"/>
      <c r="Q79" s="393">
        <f t="shared" si="0"/>
        <v>0</v>
      </c>
      <c r="R79" s="394">
        <f t="shared" si="1"/>
        <v>0</v>
      </c>
      <c r="S79" s="65"/>
      <c r="T79" s="115" t="s">
        <v>217</v>
      </c>
    </row>
    <row r="80" spans="1:20" ht="15.75" hidden="1" customHeight="1">
      <c r="A80" s="486" t="str">
        <f>IF(Q80&gt;0,"Subaward - "&amp;'Subaward Calculator'!B26,'BP1'!C68)</f>
        <v>Subaward VII</v>
      </c>
      <c r="B80" s="393">
        <f>'BP1'!$K68</f>
        <v>0</v>
      </c>
      <c r="C80" s="394">
        <f>'BP1'!$N68</f>
        <v>0</v>
      </c>
      <c r="D80" s="392"/>
      <c r="E80" s="393">
        <f>IF('BP2'!$K68="",0,'BP2'!$K68)</f>
        <v>0</v>
      </c>
      <c r="F80" s="394">
        <f>IF('BP2'!$N68="",0,'BP2'!$N68)</f>
        <v>0</v>
      </c>
      <c r="G80" s="392"/>
      <c r="H80" s="393">
        <f>IF('BP3'!$K68="",0,'BP3'!$K68)</f>
        <v>0</v>
      </c>
      <c r="I80" s="394">
        <f>IF('BP3'!$N68="",0,'BP3'!$N68)</f>
        <v>0</v>
      </c>
      <c r="J80" s="392"/>
      <c r="K80" s="393">
        <f>IF('BP4'!$K68="",0,'BP4'!$K68)</f>
        <v>0</v>
      </c>
      <c r="L80" s="394">
        <f>IF('BP4'!$N68="",0,'BP4'!$N68)</f>
        <v>0</v>
      </c>
      <c r="M80" s="392"/>
      <c r="N80" s="393">
        <f>IF('BP5'!$K68="",0,'BP5'!$K68)</f>
        <v>0</v>
      </c>
      <c r="O80" s="394">
        <f>IF('BP5'!$N68="",0,'BP5'!$N68)</f>
        <v>0</v>
      </c>
      <c r="P80" s="392"/>
      <c r="Q80" s="393">
        <f t="shared" si="0"/>
        <v>0</v>
      </c>
      <c r="R80" s="394">
        <f t="shared" si="1"/>
        <v>0</v>
      </c>
      <c r="S80" s="65"/>
      <c r="T80" s="115" t="s">
        <v>216</v>
      </c>
    </row>
    <row r="81" spans="1:20" ht="15.75" hidden="1" customHeight="1">
      <c r="A81" s="486" t="str">
        <f>IF(Q81&gt;0,"Subaward - "&amp;'Subaward Calculator'!B29,'BP1'!C69)</f>
        <v>Subaward VIII</v>
      </c>
      <c r="B81" s="393">
        <f>'BP1'!$K69</f>
        <v>0</v>
      </c>
      <c r="C81" s="394">
        <f>'BP1'!$N69</f>
        <v>0</v>
      </c>
      <c r="D81" s="392"/>
      <c r="E81" s="393">
        <f>IF('BP2'!$K69="",0,'BP2'!$K69)</f>
        <v>0</v>
      </c>
      <c r="F81" s="394">
        <f>IF('BP2'!$N69="",0,'BP2'!$N69)</f>
        <v>0</v>
      </c>
      <c r="G81" s="392"/>
      <c r="H81" s="393">
        <f>IF('BP3'!$K69="",0,'BP3'!$K69)</f>
        <v>0</v>
      </c>
      <c r="I81" s="394">
        <f>IF('BP3'!$N69="",0,'BP3'!$N69)</f>
        <v>0</v>
      </c>
      <c r="J81" s="392"/>
      <c r="K81" s="393">
        <f>IF('BP4'!$K69="",0,'BP4'!$K69)</f>
        <v>0</v>
      </c>
      <c r="L81" s="394">
        <f>IF('BP4'!$N69="",0,'BP4'!$N69)</f>
        <v>0</v>
      </c>
      <c r="M81" s="392"/>
      <c r="N81" s="393">
        <f>IF('BP5'!$K69="",0,'BP5'!$K69)</f>
        <v>0</v>
      </c>
      <c r="O81" s="394">
        <f>IF('BP5'!$N69="",0,'BP5'!$N69)</f>
        <v>0</v>
      </c>
      <c r="P81" s="392"/>
      <c r="Q81" s="393">
        <f t="shared" ref="Q81:Q92" si="4">B81+E81+H81+K81+N81</f>
        <v>0</v>
      </c>
      <c r="R81" s="394">
        <f t="shared" ref="R81:R92" si="5">C81+F81+I81+L81+O81</f>
        <v>0</v>
      </c>
      <c r="S81" s="65"/>
      <c r="T81" s="115" t="s">
        <v>216</v>
      </c>
    </row>
    <row r="82" spans="1:20" ht="15.75" hidden="1" customHeight="1">
      <c r="A82" s="486" t="str">
        <f>IF(Q82&gt;0,"Subaward - "&amp;'Subaward Calculator'!B32,'BP1'!C70)</f>
        <v>Subaward IX</v>
      </c>
      <c r="B82" s="393">
        <f>'BP1'!$K70</f>
        <v>0</v>
      </c>
      <c r="C82" s="394">
        <f>'BP1'!$N70</f>
        <v>0</v>
      </c>
      <c r="D82" s="392"/>
      <c r="E82" s="393">
        <f>IF('BP2'!$K70="",0,'BP2'!$K70)</f>
        <v>0</v>
      </c>
      <c r="F82" s="394">
        <f>IF('BP2'!$N70="",0,'BP2'!$N70)</f>
        <v>0</v>
      </c>
      <c r="G82" s="392"/>
      <c r="H82" s="393">
        <f>IF('BP3'!$K70="",0,'BP3'!$K70)</f>
        <v>0</v>
      </c>
      <c r="I82" s="394">
        <f>IF('BP3'!$N70="",0,'BP3'!$N70)</f>
        <v>0</v>
      </c>
      <c r="J82" s="392"/>
      <c r="K82" s="393">
        <f>IF('BP4'!$K70="",0,'BP4'!$K70)</f>
        <v>0</v>
      </c>
      <c r="L82" s="394">
        <f>IF('BP4'!$N70="",0,'BP4'!$N70)</f>
        <v>0</v>
      </c>
      <c r="M82" s="392"/>
      <c r="N82" s="393">
        <f>IF('BP5'!$K70="",0,'BP5'!$K70)</f>
        <v>0</v>
      </c>
      <c r="O82" s="394">
        <f>IF('BP5'!$N70="",0,'BP5'!$N70)</f>
        <v>0</v>
      </c>
      <c r="P82" s="392"/>
      <c r="Q82" s="393">
        <f t="shared" si="4"/>
        <v>0</v>
      </c>
      <c r="R82" s="394">
        <f t="shared" si="5"/>
        <v>0</v>
      </c>
      <c r="S82" s="65"/>
      <c r="T82" s="115" t="s">
        <v>216</v>
      </c>
    </row>
    <row r="83" spans="1:20" ht="15.75" hidden="1" customHeight="1">
      <c r="A83" s="486" t="str">
        <f>IF(Q83&gt;0,"Subaward - "&amp;'Subaward Calculator'!B35,'BP1'!C71)</f>
        <v>Subaward X</v>
      </c>
      <c r="B83" s="393">
        <f>'BP1'!$K71</f>
        <v>0</v>
      </c>
      <c r="C83" s="394">
        <f>'BP1'!$N71</f>
        <v>0</v>
      </c>
      <c r="D83" s="392"/>
      <c r="E83" s="393">
        <f>IF('BP2'!$K71="",0,'BP2'!$K71)</f>
        <v>0</v>
      </c>
      <c r="F83" s="394">
        <f>IF('BP2'!$N71="",0,'BP2'!$N71)</f>
        <v>0</v>
      </c>
      <c r="G83" s="392"/>
      <c r="H83" s="393">
        <f>IF('BP3'!$K71="",0,'BP3'!$K71)</f>
        <v>0</v>
      </c>
      <c r="I83" s="394">
        <f>IF('BP3'!$N71="",0,'BP3'!$N71)</f>
        <v>0</v>
      </c>
      <c r="J83" s="392"/>
      <c r="K83" s="393">
        <f>IF('BP4'!$K71="",0,'BP4'!$K71)</f>
        <v>0</v>
      </c>
      <c r="L83" s="394">
        <f>IF('BP4'!$N71="",0,'BP4'!$N71)</f>
        <v>0</v>
      </c>
      <c r="M83" s="392"/>
      <c r="N83" s="393">
        <f>IF('BP5'!$K71="",0,'BP5'!$K71)</f>
        <v>0</v>
      </c>
      <c r="O83" s="394">
        <f>IF('BP5'!$N71="",0,'BP5'!$N71)</f>
        <v>0</v>
      </c>
      <c r="P83" s="392"/>
      <c r="Q83" s="393">
        <f t="shared" si="4"/>
        <v>0</v>
      </c>
      <c r="R83" s="394">
        <f t="shared" si="5"/>
        <v>0</v>
      </c>
      <c r="S83" s="65"/>
      <c r="T83" s="115" t="s">
        <v>216</v>
      </c>
    </row>
    <row r="84" spans="1:20" ht="15.75" hidden="1" customHeight="1">
      <c r="A84" s="486" t="str">
        <f>IF(Q84&gt;0,"Subaward - "&amp;'Subaward Calculator'!B38,'BP1'!C72)</f>
        <v>Subaward XI</v>
      </c>
      <c r="B84" s="393">
        <f>'BP1'!$K72</f>
        <v>0</v>
      </c>
      <c r="C84" s="394">
        <f>'BP1'!$N72</f>
        <v>0</v>
      </c>
      <c r="D84" s="392"/>
      <c r="E84" s="393">
        <f>IF('BP2'!$K72="",0,'BP2'!$K72)</f>
        <v>0</v>
      </c>
      <c r="F84" s="394">
        <f>IF('BP2'!$N72="",0,'BP2'!$N72)</f>
        <v>0</v>
      </c>
      <c r="G84" s="392"/>
      <c r="H84" s="393">
        <f>IF('BP3'!$K72="",0,'BP3'!$K72)</f>
        <v>0</v>
      </c>
      <c r="I84" s="394">
        <f>IF('BP3'!$N72="",0,'BP3'!$N72)</f>
        <v>0</v>
      </c>
      <c r="J84" s="392"/>
      <c r="K84" s="393">
        <f>IF('BP4'!$K72="",0,'BP4'!$K72)</f>
        <v>0</v>
      </c>
      <c r="L84" s="394">
        <f>IF('BP4'!$N72="",0,'BP4'!$N72)</f>
        <v>0</v>
      </c>
      <c r="M84" s="392"/>
      <c r="N84" s="393">
        <f>IF('BP5'!$K72="",0,'BP5'!$K72)</f>
        <v>0</v>
      </c>
      <c r="O84" s="394">
        <f>IF('BP5'!$N72="",0,'BP5'!$N72)</f>
        <v>0</v>
      </c>
      <c r="P84" s="392"/>
      <c r="Q84" s="393">
        <f t="shared" si="4"/>
        <v>0</v>
      </c>
      <c r="R84" s="394">
        <f t="shared" si="5"/>
        <v>0</v>
      </c>
      <c r="S84" s="65"/>
      <c r="T84" s="115" t="s">
        <v>216</v>
      </c>
    </row>
    <row r="85" spans="1:20" ht="15.75" hidden="1" customHeight="1">
      <c r="A85" s="486" t="str">
        <f>IF(Q85&gt;0,"Subaward - "&amp;'Subaward Calculator'!B41,'BP1'!C73)</f>
        <v>Subaward XII</v>
      </c>
      <c r="B85" s="393">
        <f>'BP1'!$K73</f>
        <v>0</v>
      </c>
      <c r="C85" s="394">
        <f>'BP1'!$N73</f>
        <v>0</v>
      </c>
      <c r="D85" s="392"/>
      <c r="E85" s="393">
        <f>IF('BP2'!$K73="",0,'BP2'!$K73)</f>
        <v>0</v>
      </c>
      <c r="F85" s="394">
        <f>IF('BP2'!$N73="",0,'BP2'!$N73)</f>
        <v>0</v>
      </c>
      <c r="G85" s="392"/>
      <c r="H85" s="393">
        <f>IF('BP3'!$K73="",0,'BP3'!$K73)</f>
        <v>0</v>
      </c>
      <c r="I85" s="394">
        <f>IF('BP3'!$N73="",0,'BP3'!$N73)</f>
        <v>0</v>
      </c>
      <c r="J85" s="392"/>
      <c r="K85" s="393">
        <f>IF('BP4'!$K73="",0,'BP4'!$K73)</f>
        <v>0</v>
      </c>
      <c r="L85" s="394">
        <f>IF('BP4'!$N73="",0,'BP4'!$N73)</f>
        <v>0</v>
      </c>
      <c r="M85" s="392"/>
      <c r="N85" s="393">
        <f>IF('BP5'!$K73="",0,'BP5'!$K73)</f>
        <v>0</v>
      </c>
      <c r="O85" s="394">
        <f>IF('BP5'!$N73="",0,'BP5'!$N73)</f>
        <v>0</v>
      </c>
      <c r="P85" s="392"/>
      <c r="Q85" s="393">
        <f t="shared" si="4"/>
        <v>0</v>
      </c>
      <c r="R85" s="394">
        <f t="shared" si="5"/>
        <v>0</v>
      </c>
      <c r="S85" s="65"/>
      <c r="T85" s="115" t="s">
        <v>216</v>
      </c>
    </row>
    <row r="86" spans="1:20" ht="16.2" thickBot="1">
      <c r="A86" s="250" t="s">
        <v>90</v>
      </c>
      <c r="B86" s="411">
        <f>'BP1'!$K74</f>
        <v>0</v>
      </c>
      <c r="C86" s="412">
        <f>'BP1'!$N74</f>
        <v>0</v>
      </c>
      <c r="D86" s="404"/>
      <c r="E86" s="411">
        <f>'BP2'!$K74</f>
        <v>0</v>
      </c>
      <c r="F86" s="412">
        <f>'BP2'!$N74</f>
        <v>0</v>
      </c>
      <c r="G86" s="404"/>
      <c r="H86" s="411">
        <f>'BP3'!$K74</f>
        <v>0</v>
      </c>
      <c r="I86" s="412">
        <f>'BP3'!$N74</f>
        <v>0</v>
      </c>
      <c r="J86" s="404"/>
      <c r="K86" s="411">
        <f>'BP4'!$K74</f>
        <v>0</v>
      </c>
      <c r="L86" s="412">
        <f>'BP4'!$N74</f>
        <v>0</v>
      </c>
      <c r="M86" s="404"/>
      <c r="N86" s="411">
        <f>'BP5'!$K74</f>
        <v>0</v>
      </c>
      <c r="O86" s="412">
        <f>'BP5'!$N74</f>
        <v>0</v>
      </c>
      <c r="P86" s="404"/>
      <c r="Q86" s="411">
        <f t="shared" si="4"/>
        <v>0</v>
      </c>
      <c r="R86" s="412">
        <f t="shared" si="5"/>
        <v>0</v>
      </c>
      <c r="S86" s="245"/>
      <c r="T86" s="115" t="s">
        <v>215</v>
      </c>
    </row>
    <row r="87" spans="1:20" ht="16.2" thickBot="1">
      <c r="A87" s="60"/>
      <c r="B87" s="392"/>
      <c r="C87" s="392"/>
      <c r="D87" s="392"/>
      <c r="E87" s="392"/>
      <c r="F87" s="392"/>
      <c r="G87" s="392"/>
      <c r="H87" s="392"/>
      <c r="I87" s="392"/>
      <c r="J87" s="392"/>
      <c r="K87" s="392"/>
      <c r="L87" s="392"/>
      <c r="M87" s="392"/>
      <c r="N87" s="392"/>
      <c r="O87" s="392"/>
      <c r="P87" s="392"/>
      <c r="Q87" s="392"/>
      <c r="R87" s="392"/>
      <c r="S87" s="65"/>
      <c r="T87" s="115" t="s">
        <v>215</v>
      </c>
    </row>
    <row r="88" spans="1:20">
      <c r="A88" s="544" t="s">
        <v>577</v>
      </c>
      <c r="B88" s="545">
        <f>'BP1'!$K75</f>
        <v>0</v>
      </c>
      <c r="C88" s="413">
        <f>'BP1'!$N75</f>
        <v>0</v>
      </c>
      <c r="D88" s="404"/>
      <c r="E88" s="545">
        <f>'BP2'!$K75</f>
        <v>0</v>
      </c>
      <c r="F88" s="413">
        <f ca="1">'BP2'!$N75</f>
        <v>0</v>
      </c>
      <c r="G88" s="404"/>
      <c r="H88" s="545">
        <f>'BP3'!$K75</f>
        <v>0</v>
      </c>
      <c r="I88" s="413">
        <f ca="1">'BP3'!$N75</f>
        <v>0</v>
      </c>
      <c r="J88" s="404"/>
      <c r="K88" s="545">
        <f>'BP4'!$K75</f>
        <v>0</v>
      </c>
      <c r="L88" s="413">
        <f ca="1">'BP4'!$N75</f>
        <v>0</v>
      </c>
      <c r="M88" s="404"/>
      <c r="N88" s="545">
        <f>'BP5'!$K75</f>
        <v>0</v>
      </c>
      <c r="O88" s="413">
        <f ca="1">'BP5'!$N75</f>
        <v>0</v>
      </c>
      <c r="P88" s="404"/>
      <c r="Q88" s="545">
        <f>B88+E88+H88+K88+N88</f>
        <v>0</v>
      </c>
      <c r="R88" s="413">
        <f t="shared" ca="1" si="5"/>
        <v>0</v>
      </c>
      <c r="S88" s="245"/>
      <c r="T88" s="115" t="s">
        <v>215</v>
      </c>
    </row>
    <row r="89" spans="1:20">
      <c r="A89" s="546" t="str">
        <f>IF('Appendix C-Grants.gov Form Info'!J1&gt;0,IF(AND(SUM(Q74:Q85)&gt;0,'Subaward Calculator'!AD46=0),"","     Total NU Direct Costs and Subaward Direct Costs"),"")</f>
        <v/>
      </c>
      <c r="B89" s="547" t="str">
        <f>IF(AND(SUM(Q74:Q85)&gt;0,'Subaward Calculator'!AD46=0),"",'BP1'!$K76)</f>
        <v/>
      </c>
      <c r="C89" s="485"/>
      <c r="D89" s="404"/>
      <c r="E89" s="547" t="str">
        <f>IF(AND(SUM(Q74:Q85)&gt;0,'Subaward Calculator'!AD46=0),"",'BP2'!$K76)</f>
        <v/>
      </c>
      <c r="F89" s="485"/>
      <c r="G89" s="404"/>
      <c r="H89" s="547" t="str">
        <f>IF(AND(SUM(Q74:Q85)&gt;0,'Subaward Calculator'!AD46=0),"",'BP3'!$K76)</f>
        <v/>
      </c>
      <c r="I89" s="485"/>
      <c r="J89" s="404"/>
      <c r="K89" s="547" t="str">
        <f>IF(AND(SUM(Q74:Q85)&gt;0,'Subaward Calculator'!AD46=0),"",'BP4'!$K76)</f>
        <v/>
      </c>
      <c r="L89" s="485"/>
      <c r="M89" s="404"/>
      <c r="N89" s="547" t="str">
        <f>IF(AND(SUM(Q74:Q85)&gt;0,'Subaward Calculator'!AD46=0),"",'BP5'!$K76)</f>
        <v/>
      </c>
      <c r="O89" s="485"/>
      <c r="P89" s="404"/>
      <c r="Q89" s="547" t="str">
        <f>IF('Appendix C-Grants.gov Form Info'!J1&gt;0,IF(AND(SUM(Q74:Q85)&gt;0,'Subaward Calculator'!AD46=0),"",B89+E89+H89+K89+N89),"")</f>
        <v/>
      </c>
      <c r="R89" s="485"/>
      <c r="S89" s="245"/>
      <c r="T89" s="115" t="s">
        <v>215</v>
      </c>
    </row>
    <row r="90" spans="1:20">
      <c r="A90" s="548" t="s">
        <v>95</v>
      </c>
      <c r="B90" s="549">
        <f>'BP1'!$G78</f>
        <v>0</v>
      </c>
      <c r="C90" s="483">
        <f>'BP1'!$G$79</f>
        <v>0</v>
      </c>
      <c r="D90" s="392"/>
      <c r="E90" s="549">
        <f>'BP2'!$G78</f>
        <v>0</v>
      </c>
      <c r="F90" s="483">
        <f ca="1">'BP2'!$G$79</f>
        <v>0</v>
      </c>
      <c r="G90" s="392"/>
      <c r="H90" s="549">
        <f>'BP3'!$G78</f>
        <v>0</v>
      </c>
      <c r="I90" s="483">
        <f ca="1">'BP3'!$G$79</f>
        <v>0</v>
      </c>
      <c r="J90" s="392"/>
      <c r="K90" s="549">
        <f>'BP4'!$G78</f>
        <v>0</v>
      </c>
      <c r="L90" s="483">
        <f ca="1">'BP4'!$G$79</f>
        <v>0</v>
      </c>
      <c r="M90" s="392"/>
      <c r="N90" s="549">
        <f>'BP5'!$G78</f>
        <v>0</v>
      </c>
      <c r="O90" s="483">
        <f ca="1">'BP5'!$G$79</f>
        <v>0</v>
      </c>
      <c r="P90" s="392"/>
      <c r="Q90" s="549">
        <f t="shared" si="4"/>
        <v>0</v>
      </c>
      <c r="R90" s="483">
        <f t="shared" ca="1" si="5"/>
        <v>0</v>
      </c>
      <c r="S90" s="64"/>
      <c r="T90" s="115" t="s">
        <v>215</v>
      </c>
    </row>
    <row r="91" spans="1:20">
      <c r="A91" s="543" t="s">
        <v>287</v>
      </c>
      <c r="B91" s="550">
        <f ca="1">'BP1'!$K79</f>
        <v>0</v>
      </c>
      <c r="C91" s="396">
        <f ca="1">'BP1'!$N79</f>
        <v>0</v>
      </c>
      <c r="D91" s="392"/>
      <c r="E91" s="550">
        <f ca="1">'BP2'!$K79</f>
        <v>0</v>
      </c>
      <c r="F91" s="396">
        <f ca="1">'BP2'!$N79</f>
        <v>0</v>
      </c>
      <c r="G91" s="392"/>
      <c r="H91" s="550">
        <f ca="1">'BP3'!$K79</f>
        <v>0</v>
      </c>
      <c r="I91" s="396">
        <f ca="1">'BP3'!$N79</f>
        <v>0</v>
      </c>
      <c r="J91" s="392"/>
      <c r="K91" s="550">
        <f ca="1">'BP4'!$K79</f>
        <v>0</v>
      </c>
      <c r="L91" s="396">
        <f ca="1">'BP4'!$N79</f>
        <v>0</v>
      </c>
      <c r="M91" s="392"/>
      <c r="N91" s="550">
        <f ca="1">'BP5'!$K79</f>
        <v>0</v>
      </c>
      <c r="O91" s="396">
        <f ca="1">'BP5'!$N79</f>
        <v>0</v>
      </c>
      <c r="P91" s="392"/>
      <c r="Q91" s="550">
        <f t="shared" ca="1" si="4"/>
        <v>0</v>
      </c>
      <c r="R91" s="396">
        <f t="shared" ca="1" si="5"/>
        <v>0</v>
      </c>
      <c r="S91" s="64"/>
      <c r="T91" s="115" t="s">
        <v>215</v>
      </c>
    </row>
    <row r="92" spans="1:20" ht="16.2" thickBot="1">
      <c r="A92" s="544" t="s">
        <v>92</v>
      </c>
      <c r="B92" s="551">
        <f ca="1">'BP1'!$K80</f>
        <v>0</v>
      </c>
      <c r="C92" s="407">
        <f ca="1">'BP1'!$N80</f>
        <v>0</v>
      </c>
      <c r="D92" s="404"/>
      <c r="E92" s="551">
        <f>'BP2'!$K80</f>
        <v>0</v>
      </c>
      <c r="F92" s="407">
        <f ca="1">'BP2'!$N80</f>
        <v>0</v>
      </c>
      <c r="G92" s="404"/>
      <c r="H92" s="551">
        <f>'BP3'!$K80</f>
        <v>0</v>
      </c>
      <c r="I92" s="407">
        <f ca="1">'BP3'!$N80</f>
        <v>0</v>
      </c>
      <c r="J92" s="404"/>
      <c r="K92" s="551">
        <f>'BP4'!$K80</f>
        <v>0</v>
      </c>
      <c r="L92" s="407">
        <f ca="1">'BP4'!$N80</f>
        <v>0</v>
      </c>
      <c r="M92" s="404"/>
      <c r="N92" s="551">
        <f>'BP5'!$K80</f>
        <v>0</v>
      </c>
      <c r="O92" s="407">
        <f ca="1">'BP5'!$N80</f>
        <v>0</v>
      </c>
      <c r="P92" s="404"/>
      <c r="Q92" s="551">
        <f t="shared" ca="1" si="4"/>
        <v>0</v>
      </c>
      <c r="R92" s="407">
        <f t="shared" ca="1" si="5"/>
        <v>0</v>
      </c>
      <c r="S92" s="245"/>
      <c r="T92" s="115" t="s">
        <v>215</v>
      </c>
    </row>
    <row r="93" spans="1:20" ht="16.2" thickBot="1">
      <c r="B93" s="410"/>
      <c r="C93" s="410"/>
      <c r="D93" s="410"/>
      <c r="E93" s="410"/>
      <c r="F93" s="410"/>
      <c r="G93" s="410"/>
      <c r="H93" s="410"/>
      <c r="I93" s="410"/>
      <c r="J93" s="410"/>
      <c r="K93" s="410"/>
      <c r="L93" s="410"/>
      <c r="M93" s="410"/>
      <c r="N93" s="410"/>
      <c r="O93" s="410"/>
      <c r="P93" s="410"/>
      <c r="Q93" s="410"/>
      <c r="R93" s="410"/>
      <c r="T93" s="115" t="s">
        <v>215</v>
      </c>
    </row>
    <row r="94" spans="1:20">
      <c r="A94" s="251" t="s">
        <v>938</v>
      </c>
      <c r="B94" s="563"/>
      <c r="C94" s="578">
        <f>C38+C39</f>
        <v>0</v>
      </c>
      <c r="D94" s="410"/>
      <c r="E94" s="563"/>
      <c r="F94" s="578">
        <f ca="1">F38+F39</f>
        <v>0</v>
      </c>
      <c r="G94" s="410"/>
      <c r="H94" s="563"/>
      <c r="I94" s="578">
        <f ca="1">I38+I39</f>
        <v>0</v>
      </c>
      <c r="J94" s="410"/>
      <c r="K94" s="563"/>
      <c r="L94" s="578">
        <f ca="1">L38+L39</f>
        <v>0</v>
      </c>
      <c r="M94" s="410"/>
      <c r="N94" s="563"/>
      <c r="O94" s="578">
        <f ca="1">O38+O39</f>
        <v>0</v>
      </c>
      <c r="P94" s="410"/>
      <c r="Q94" s="563"/>
      <c r="R94" s="578">
        <f ca="1">R38+R39</f>
        <v>0</v>
      </c>
      <c r="T94" s="115" t="s">
        <v>215</v>
      </c>
    </row>
    <row r="95" spans="1:20">
      <c r="A95" s="251" t="s">
        <v>925</v>
      </c>
      <c r="B95" s="414"/>
      <c r="C95" s="560">
        <f>C41+C42+C43+C44+C45+C46+C47+C48+C49+C50+C51+C52+C55+C57+C58+C63+C64+C65+C67+C68+C69+C70+C72+C73</f>
        <v>0</v>
      </c>
      <c r="D95" s="410"/>
      <c r="E95" s="414"/>
      <c r="F95" s="560">
        <f ca="1">F41+F42+F43+F44+F45+F46+F47+F48+F49+F50+F51+F52+F55+F57+F58+F63+F64+F65+F67+F68+F69+F70+F72+F73</f>
        <v>0</v>
      </c>
      <c r="G95" s="410"/>
      <c r="H95" s="414"/>
      <c r="I95" s="560">
        <f ca="1">I41+I42+I43+I44+I45+I46+I47+I48+I49+I50+I51+I52+I55+I57+I58+I63+I64+I65+I67+I68+I69+I70+I72+I73</f>
        <v>0</v>
      </c>
      <c r="J95" s="410"/>
      <c r="K95" s="414"/>
      <c r="L95" s="560">
        <f ca="1">L41+L42+L43+L44+L45+L46+L47+L48+L49+L50+L51+L52+L55+L57+L58+L63+L64+L65+L67+L68+L69+L70+L72+L73</f>
        <v>0</v>
      </c>
      <c r="M95" s="410"/>
      <c r="N95" s="414"/>
      <c r="O95" s="560">
        <f ca="1">O41+O42+O43+O44+O45+O46+O47+O48+O49+O50+O51+O52+O55+O57+O58+O63+O64+O65+O67+O68+O69+O70+O72+O73</f>
        <v>0</v>
      </c>
      <c r="P95" s="410"/>
      <c r="Q95" s="414"/>
      <c r="R95" s="560">
        <f ca="1">R41+R42+R43+R44+R45+R46+R47+R48+R49+R50+R51+R52+R55+R57+R58+R63+R64+R65+R67+R68+R69+R70+R72+R73</f>
        <v>0</v>
      </c>
      <c r="T95" s="115" t="s">
        <v>215</v>
      </c>
    </row>
    <row r="96" spans="1:20">
      <c r="A96" s="251" t="s">
        <v>926</v>
      </c>
      <c r="B96" s="414"/>
      <c r="C96" s="562">
        <f>'BP1'!M38/3</f>
        <v>0</v>
      </c>
      <c r="D96" s="561"/>
      <c r="E96" s="414"/>
      <c r="F96" s="562">
        <f>'BP2'!M38/3</f>
        <v>0</v>
      </c>
      <c r="G96" s="561"/>
      <c r="H96" s="414"/>
      <c r="I96" s="562">
        <f>'BP3'!M38/3</f>
        <v>0</v>
      </c>
      <c r="J96" s="561"/>
      <c r="K96" s="414"/>
      <c r="L96" s="562">
        <f>'BP4'!M38/3</f>
        <v>0</v>
      </c>
      <c r="M96" s="561"/>
      <c r="N96" s="414"/>
      <c r="O96" s="562">
        <f>'BP5'!M38/3</f>
        <v>0</v>
      </c>
      <c r="P96" s="561"/>
      <c r="Q96" s="414"/>
      <c r="R96" s="562">
        <f>C96+F96+I96+L96+O96</f>
        <v>0</v>
      </c>
      <c r="T96" s="115" t="s">
        <v>215</v>
      </c>
    </row>
    <row r="97" spans="1:20">
      <c r="A97" s="251" t="s">
        <v>941</v>
      </c>
      <c r="B97" s="414"/>
      <c r="C97" s="560">
        <f>C53+C54+C71</f>
        <v>0</v>
      </c>
      <c r="D97" s="561"/>
      <c r="E97" s="414"/>
      <c r="F97" s="560">
        <f ca="1">F53+F54+F71</f>
        <v>0</v>
      </c>
      <c r="G97" s="561"/>
      <c r="H97" s="414"/>
      <c r="I97" s="560">
        <f ca="1">I53+I54+I71</f>
        <v>0</v>
      </c>
      <c r="J97" s="561"/>
      <c r="K97" s="414"/>
      <c r="L97" s="560">
        <f ca="1">L53+L54+L71</f>
        <v>0</v>
      </c>
      <c r="M97" s="561"/>
      <c r="N97" s="414"/>
      <c r="O97" s="560">
        <f ca="1">O53+O54+O71</f>
        <v>0</v>
      </c>
      <c r="P97" s="561"/>
      <c r="Q97" s="414"/>
      <c r="R97" s="560">
        <f ca="1">R53+R54+R71</f>
        <v>0</v>
      </c>
      <c r="T97" s="115" t="s">
        <v>215</v>
      </c>
    </row>
    <row r="98" spans="1:20" ht="12.75" customHeight="1">
      <c r="A98" s="576" t="s">
        <v>942</v>
      </c>
      <c r="B98" s="574"/>
      <c r="C98" s="577">
        <f>C53</f>
        <v>0</v>
      </c>
      <c r="D98" s="575"/>
      <c r="E98" s="574"/>
      <c r="F98" s="577">
        <f ca="1">F53</f>
        <v>0</v>
      </c>
      <c r="G98" s="575"/>
      <c r="H98" s="574"/>
      <c r="I98" s="577">
        <f ca="1">I53</f>
        <v>0</v>
      </c>
      <c r="J98" s="575"/>
      <c r="K98" s="574"/>
      <c r="L98" s="577">
        <f ca="1">L53</f>
        <v>0</v>
      </c>
      <c r="M98" s="575"/>
      <c r="N98" s="574"/>
      <c r="O98" s="577">
        <f ca="1">O53</f>
        <v>0</v>
      </c>
      <c r="P98" s="575"/>
      <c r="Q98" s="574"/>
      <c r="R98" s="577">
        <f ca="1">R53</f>
        <v>0</v>
      </c>
      <c r="T98" s="115" t="s">
        <v>215</v>
      </c>
    </row>
    <row r="99" spans="1:20" ht="12.75" customHeight="1">
      <c r="A99" s="576" t="s">
        <v>943</v>
      </c>
      <c r="B99" s="574"/>
      <c r="C99" s="577">
        <f>C54</f>
        <v>0</v>
      </c>
      <c r="D99" s="575"/>
      <c r="E99" s="574"/>
      <c r="F99" s="577">
        <f ca="1">F54</f>
        <v>0</v>
      </c>
      <c r="G99" s="575"/>
      <c r="H99" s="574"/>
      <c r="I99" s="577">
        <f ca="1">I54</f>
        <v>0</v>
      </c>
      <c r="J99" s="575"/>
      <c r="K99" s="574"/>
      <c r="L99" s="577">
        <f ca="1">L54</f>
        <v>0</v>
      </c>
      <c r="M99" s="575"/>
      <c r="N99" s="574"/>
      <c r="O99" s="577">
        <f ca="1">O54</f>
        <v>0</v>
      </c>
      <c r="P99" s="575"/>
      <c r="Q99" s="574"/>
      <c r="R99" s="577">
        <f ca="1">R54</f>
        <v>0</v>
      </c>
      <c r="T99" s="115" t="s">
        <v>215</v>
      </c>
    </row>
    <row r="100" spans="1:20" ht="12.75" customHeight="1">
      <c r="A100" s="576" t="s">
        <v>944</v>
      </c>
      <c r="B100" s="574"/>
      <c r="C100" s="577">
        <f>C71</f>
        <v>0</v>
      </c>
      <c r="D100" s="575"/>
      <c r="E100" s="574"/>
      <c r="F100" s="577">
        <f>F71</f>
        <v>0</v>
      </c>
      <c r="G100" s="575"/>
      <c r="H100" s="574"/>
      <c r="I100" s="577">
        <f>I71</f>
        <v>0</v>
      </c>
      <c r="J100" s="575"/>
      <c r="K100" s="574"/>
      <c r="L100" s="577">
        <f>L71</f>
        <v>0</v>
      </c>
      <c r="M100" s="575"/>
      <c r="N100" s="574"/>
      <c r="O100" s="577">
        <f>O71</f>
        <v>0</v>
      </c>
      <c r="P100" s="575"/>
      <c r="Q100" s="574"/>
      <c r="R100" s="577">
        <f>R71</f>
        <v>0</v>
      </c>
      <c r="T100" s="115" t="s">
        <v>215</v>
      </c>
    </row>
    <row r="101" spans="1:20">
      <c r="A101" s="251" t="s">
        <v>939</v>
      </c>
      <c r="B101" s="574"/>
      <c r="C101" s="580">
        <f ca="1">C91</f>
        <v>0</v>
      </c>
      <c r="D101" s="410"/>
      <c r="E101" s="574"/>
      <c r="F101" s="580">
        <f ca="1">F91</f>
        <v>0</v>
      </c>
      <c r="G101" s="410"/>
      <c r="H101" s="574"/>
      <c r="I101" s="580">
        <f ca="1">I91</f>
        <v>0</v>
      </c>
      <c r="J101" s="410"/>
      <c r="K101" s="574"/>
      <c r="L101" s="580">
        <f ca="1">L91</f>
        <v>0</v>
      </c>
      <c r="M101" s="410"/>
      <c r="N101" s="574"/>
      <c r="O101" s="580">
        <f ca="1">O91</f>
        <v>0</v>
      </c>
      <c r="P101" s="410"/>
      <c r="Q101" s="574"/>
      <c r="R101" s="580">
        <f ca="1">R91</f>
        <v>0</v>
      </c>
      <c r="T101" s="115" t="s">
        <v>215</v>
      </c>
    </row>
    <row r="102" spans="1:20" ht="16.2" thickBot="1">
      <c r="A102" s="583" t="s">
        <v>937</v>
      </c>
      <c r="B102" s="584"/>
      <c r="C102" s="579">
        <f ca="1">'BP1'!$N87</f>
        <v>0</v>
      </c>
      <c r="D102" s="410"/>
      <c r="E102" s="584"/>
      <c r="F102" s="579">
        <f ca="1">'BP2'!$N87</f>
        <v>0</v>
      </c>
      <c r="G102" s="410"/>
      <c r="H102" s="571"/>
      <c r="I102" s="579">
        <f ca="1">'BP3'!$N87</f>
        <v>0</v>
      </c>
      <c r="J102" s="410"/>
      <c r="K102" s="571"/>
      <c r="L102" s="579">
        <f ca="1">'BP4'!$N87</f>
        <v>0</v>
      </c>
      <c r="M102" s="410"/>
      <c r="N102" s="571"/>
      <c r="O102" s="579">
        <f ca="1">'BP5'!$N87</f>
        <v>0</v>
      </c>
      <c r="P102" s="410"/>
      <c r="Q102" s="571"/>
      <c r="R102" s="579">
        <f ca="1">'BP1'!P87</f>
        <v>0</v>
      </c>
      <c r="T102" s="115" t="s">
        <v>215</v>
      </c>
    </row>
    <row r="103" spans="1:20">
      <c r="A103" s="582" t="s">
        <v>580</v>
      </c>
      <c r="B103" s="414"/>
      <c r="C103" s="573">
        <f>'BP1'!$N88</f>
        <v>0</v>
      </c>
      <c r="D103" s="410"/>
      <c r="E103" s="414"/>
      <c r="F103" s="573">
        <f>'BP2'!$N88</f>
        <v>0</v>
      </c>
      <c r="G103" s="410"/>
      <c r="H103" s="414"/>
      <c r="I103" s="573">
        <f>'BP3'!$N88</f>
        <v>0</v>
      </c>
      <c r="J103" s="410"/>
      <c r="K103" s="414"/>
      <c r="L103" s="573">
        <f>'BP4'!$N88</f>
        <v>0</v>
      </c>
      <c r="M103" s="410"/>
      <c r="N103" s="414"/>
      <c r="O103" s="573">
        <f>'BP5'!$N88</f>
        <v>0</v>
      </c>
      <c r="P103" s="410"/>
      <c r="Q103" s="414"/>
      <c r="R103" s="573">
        <f>'BP1'!P88</f>
        <v>0</v>
      </c>
      <c r="T103" s="115" t="s">
        <v>215</v>
      </c>
    </row>
    <row r="104" spans="1:20">
      <c r="A104" s="572" t="s">
        <v>506</v>
      </c>
      <c r="B104" s="414"/>
      <c r="C104" s="581">
        <f>'BP1'!$N89</f>
        <v>0</v>
      </c>
      <c r="D104" s="410"/>
      <c r="E104" s="414"/>
      <c r="F104" s="581">
        <f>'BP2'!$N89</f>
        <v>0</v>
      </c>
      <c r="G104" s="410"/>
      <c r="H104" s="414"/>
      <c r="I104" s="581">
        <f>'BP3'!$N89</f>
        <v>0</v>
      </c>
      <c r="J104" s="410"/>
      <c r="K104" s="414"/>
      <c r="L104" s="581">
        <f>'BP4'!$N89</f>
        <v>0</v>
      </c>
      <c r="M104" s="410"/>
      <c r="N104" s="414"/>
      <c r="O104" s="581">
        <f>'BP5'!$N89</f>
        <v>0</v>
      </c>
      <c r="P104" s="410"/>
      <c r="Q104" s="414"/>
      <c r="R104" s="581">
        <f>'BP1'!P89</f>
        <v>0</v>
      </c>
      <c r="T104" s="115" t="s">
        <v>215</v>
      </c>
    </row>
    <row r="105" spans="1:20">
      <c r="A105" s="251" t="s">
        <v>584</v>
      </c>
      <c r="B105" s="414"/>
      <c r="C105" s="492">
        <f ca="1">'BP1'!$N90</f>
        <v>0</v>
      </c>
      <c r="D105" s="410"/>
      <c r="E105" s="414"/>
      <c r="F105" s="492">
        <f ca="1">'BP2'!$N90</f>
        <v>0</v>
      </c>
      <c r="G105" s="410"/>
      <c r="H105" s="414"/>
      <c r="I105" s="492">
        <f ca="1">'BP3'!$N90</f>
        <v>0</v>
      </c>
      <c r="J105" s="410"/>
      <c r="K105" s="414"/>
      <c r="L105" s="492">
        <f ca="1">'BP4'!$N90</f>
        <v>0</v>
      </c>
      <c r="M105" s="410"/>
      <c r="N105" s="414"/>
      <c r="O105" s="492">
        <f ca="1">'BP5'!$N90</f>
        <v>0</v>
      </c>
      <c r="P105" s="410"/>
      <c r="Q105" s="414"/>
      <c r="R105" s="492">
        <f ca="1">'BP1'!P90</f>
        <v>0</v>
      </c>
      <c r="T105" s="115" t="s">
        <v>215</v>
      </c>
    </row>
    <row r="106" spans="1:20">
      <c r="A106" s="544" t="s">
        <v>933</v>
      </c>
      <c r="B106" s="414"/>
      <c r="C106" s="552">
        <f ca="1">'BP1'!$N91</f>
        <v>0</v>
      </c>
      <c r="D106" s="410"/>
      <c r="E106" s="414"/>
      <c r="F106" s="552">
        <f ca="1">'BP2'!$N91</f>
        <v>0</v>
      </c>
      <c r="G106" s="410"/>
      <c r="H106" s="414"/>
      <c r="I106" s="552">
        <f ca="1">'BP3'!$N91</f>
        <v>0</v>
      </c>
      <c r="J106" s="410"/>
      <c r="K106" s="414"/>
      <c r="L106" s="552">
        <f ca="1">'BP4'!$N91</f>
        <v>0</v>
      </c>
      <c r="M106" s="410"/>
      <c r="N106" s="414"/>
      <c r="O106" s="552">
        <f ca="1">'BP5'!$N91</f>
        <v>0</v>
      </c>
      <c r="P106" s="410"/>
      <c r="Q106" s="414"/>
      <c r="R106" s="552">
        <f ca="1">'BP1'!P91</f>
        <v>0</v>
      </c>
      <c r="T106" s="115" t="s">
        <v>215</v>
      </c>
    </row>
    <row r="107" spans="1:20">
      <c r="A107" s="544" t="s">
        <v>934</v>
      </c>
      <c r="B107" s="414"/>
      <c r="C107" s="552">
        <f ca="1">'BP1'!$N92</f>
        <v>0</v>
      </c>
      <c r="D107" s="410"/>
      <c r="E107" s="414"/>
      <c r="F107" s="552">
        <f ca="1">'BP2'!$N92</f>
        <v>0</v>
      </c>
      <c r="G107" s="410"/>
      <c r="H107" s="414"/>
      <c r="I107" s="552">
        <f ca="1">'BP3'!$N92</f>
        <v>0</v>
      </c>
      <c r="J107" s="410"/>
      <c r="K107" s="414"/>
      <c r="L107" s="552">
        <f ca="1">'BP4'!$N92</f>
        <v>0</v>
      </c>
      <c r="M107" s="410"/>
      <c r="N107" s="414"/>
      <c r="O107" s="552">
        <f ca="1">'BP5'!$N92</f>
        <v>0</v>
      </c>
      <c r="P107" s="410"/>
      <c r="Q107" s="414"/>
      <c r="R107" s="552">
        <f ca="1">'BP1'!P92</f>
        <v>0</v>
      </c>
      <c r="T107" s="115"/>
    </row>
    <row r="108" spans="1:20">
      <c r="A108" s="544" t="s">
        <v>289</v>
      </c>
      <c r="B108" s="414"/>
      <c r="C108" s="552">
        <f ca="1">'BP1'!$N93</f>
        <v>0</v>
      </c>
      <c r="D108" s="410"/>
      <c r="E108" s="414"/>
      <c r="F108" s="552">
        <f ca="1">'BP2'!$N93</f>
        <v>0</v>
      </c>
      <c r="G108" s="410"/>
      <c r="H108" s="414"/>
      <c r="I108" s="552">
        <f ca="1">'BP3'!$N93</f>
        <v>0</v>
      </c>
      <c r="J108" s="410"/>
      <c r="K108" s="414"/>
      <c r="L108" s="552">
        <f ca="1">'BP4'!$N93</f>
        <v>0</v>
      </c>
      <c r="M108" s="410"/>
      <c r="N108" s="414"/>
      <c r="O108" s="552">
        <f ca="1">'BP5'!$N93</f>
        <v>0</v>
      </c>
      <c r="P108" s="410"/>
      <c r="Q108" s="414"/>
      <c r="R108" s="552">
        <f ca="1">'BP1'!P93</f>
        <v>0</v>
      </c>
      <c r="T108" s="115" t="s">
        <v>215</v>
      </c>
    </row>
    <row r="109" spans="1:20">
      <c r="A109" s="251" t="s">
        <v>507</v>
      </c>
      <c r="B109" s="252"/>
      <c r="C109" s="493">
        <f ca="1">IFERROR(C105/C106,)</f>
        <v>0</v>
      </c>
      <c r="D109" s="358"/>
      <c r="E109" s="359"/>
      <c r="F109" s="493">
        <f ca="1">IFERROR(F105/F106,)</f>
        <v>0</v>
      </c>
      <c r="G109" s="358"/>
      <c r="H109" s="359"/>
      <c r="I109" s="493">
        <f ca="1">IFERROR(I105/I106,)</f>
        <v>0</v>
      </c>
      <c r="J109" s="358"/>
      <c r="K109" s="359"/>
      <c r="L109" s="493">
        <f ca="1">IFERROR(L105/L106,)</f>
        <v>0</v>
      </c>
      <c r="M109" s="358"/>
      <c r="N109" s="359"/>
      <c r="O109" s="493">
        <f ca="1">IFERROR(O105/O106,)</f>
        <v>0</v>
      </c>
      <c r="P109" s="358"/>
      <c r="Q109" s="359"/>
      <c r="R109" s="493">
        <f ca="1">IFERROR(R105/R106,)</f>
        <v>0</v>
      </c>
      <c r="T109" s="115" t="s">
        <v>215</v>
      </c>
    </row>
    <row r="110" spans="1:20" ht="16.2" thickBot="1">
      <c r="A110" s="251" t="s">
        <v>508</v>
      </c>
      <c r="B110" s="253"/>
      <c r="C110" s="360">
        <f ca="1">IFERROR(C105/C108,)</f>
        <v>0</v>
      </c>
      <c r="D110" s="358"/>
      <c r="E110" s="361"/>
      <c r="F110" s="360">
        <f ca="1">IFERROR(F105/F108,)</f>
        <v>0</v>
      </c>
      <c r="G110" s="358"/>
      <c r="H110" s="361"/>
      <c r="I110" s="360">
        <f ca="1">IFERROR(I105/I108,)</f>
        <v>0</v>
      </c>
      <c r="J110" s="358"/>
      <c r="K110" s="361"/>
      <c r="L110" s="360">
        <f ca="1">IFERROR(L105/L108,)</f>
        <v>0</v>
      </c>
      <c r="M110" s="358"/>
      <c r="N110" s="361"/>
      <c r="O110" s="360">
        <f ca="1">IFERROR(O105/O108,)</f>
        <v>0</v>
      </c>
      <c r="P110" s="358"/>
      <c r="Q110" s="361"/>
      <c r="R110" s="360">
        <f ca="1">IFERROR(R105/R108,)</f>
        <v>0</v>
      </c>
      <c r="T110" s="115" t="s">
        <v>215</v>
      </c>
    </row>
    <row r="111" spans="1:20" ht="16.2" thickBot="1">
      <c r="B111" s="806" t="str">
        <f>B5</f>
        <v>Budget Period 1</v>
      </c>
      <c r="C111" s="807"/>
      <c r="E111" s="806" t="str">
        <f>E5</f>
        <v/>
      </c>
      <c r="F111" s="807"/>
      <c r="H111" s="806" t="str">
        <f>H5</f>
        <v/>
      </c>
      <c r="I111" s="807"/>
      <c r="K111" s="806" t="str">
        <f>K5</f>
        <v/>
      </c>
      <c r="L111" s="807"/>
      <c r="N111" s="806" t="str">
        <f>N5</f>
        <v/>
      </c>
      <c r="O111" s="807"/>
      <c r="Q111" s="806" t="str">
        <f>Q5</f>
        <v>Cumulative</v>
      </c>
      <c r="R111" s="807"/>
      <c r="T111" s="115" t="s">
        <v>215</v>
      </c>
    </row>
    <row r="112" spans="1:20">
      <c r="T112" s="115"/>
    </row>
  </sheetData>
  <autoFilter ref="T1:T111" xr:uid="{00000000-0009-0000-0000-000001000000}">
    <filterColumn colId="0">
      <filters>
        <filter val="A) Condensed"/>
      </filters>
    </filterColumn>
  </autoFilter>
  <mergeCells count="97">
    <mergeCell ref="AR18:AT19"/>
    <mergeCell ref="V8:X9"/>
    <mergeCell ref="AR22:AT23"/>
    <mergeCell ref="AN40:AP40"/>
    <mergeCell ref="E6:F6"/>
    <mergeCell ref="H6:I6"/>
    <mergeCell ref="K6:L6"/>
    <mergeCell ref="N6:O6"/>
    <mergeCell ref="AB40:AD40"/>
    <mergeCell ref="AE40:AG40"/>
    <mergeCell ref="AH40:AJ40"/>
    <mergeCell ref="AH7:AJ7"/>
    <mergeCell ref="AK7:AM7"/>
    <mergeCell ref="AN7:AP7"/>
    <mergeCell ref="AK40:AM40"/>
    <mergeCell ref="V26:X27"/>
    <mergeCell ref="A2:C2"/>
    <mergeCell ref="A3:C3"/>
    <mergeCell ref="H3:I3"/>
    <mergeCell ref="AB7:AD7"/>
    <mergeCell ref="AE7:AG7"/>
    <mergeCell ref="V7:X7"/>
    <mergeCell ref="V6:AP6"/>
    <mergeCell ref="I2:M2"/>
    <mergeCell ref="D2:H2"/>
    <mergeCell ref="B6:C6"/>
    <mergeCell ref="A1:R1"/>
    <mergeCell ref="N2:R2"/>
    <mergeCell ref="A4:R4"/>
    <mergeCell ref="V1:AZ3"/>
    <mergeCell ref="B5:C5"/>
    <mergeCell ref="E5:F5"/>
    <mergeCell ref="H5:I5"/>
    <mergeCell ref="K5:L5"/>
    <mergeCell ref="N5:O5"/>
    <mergeCell ref="Q5:R5"/>
    <mergeCell ref="N3:R3"/>
    <mergeCell ref="A5:A7"/>
    <mergeCell ref="Q6:R6"/>
    <mergeCell ref="Y7:AA7"/>
    <mergeCell ref="AR6:AZ6"/>
    <mergeCell ref="AR7:AT7"/>
    <mergeCell ref="AR8:AT9"/>
    <mergeCell ref="B111:C111"/>
    <mergeCell ref="E111:F111"/>
    <mergeCell ref="H111:I111"/>
    <mergeCell ref="K111:L111"/>
    <mergeCell ref="N111:O111"/>
    <mergeCell ref="Q111:R111"/>
    <mergeCell ref="V43:X44"/>
    <mergeCell ref="V39:AP39"/>
    <mergeCell ref="V30:X31"/>
    <mergeCell ref="V34:X35"/>
    <mergeCell ref="V36:X37"/>
    <mergeCell ref="V32:X33"/>
    <mergeCell ref="AR10:AT11"/>
    <mergeCell ref="V14:X15"/>
    <mergeCell ref="V57:X58"/>
    <mergeCell ref="AR14:AT15"/>
    <mergeCell ref="AR16:AT17"/>
    <mergeCell ref="AR12:AT13"/>
    <mergeCell ref="V55:X56"/>
    <mergeCell ref="AR55:AT56"/>
    <mergeCell ref="AR20:AT21"/>
    <mergeCell ref="AR51:AT52"/>
    <mergeCell ref="AR39:AZ39"/>
    <mergeCell ref="AR40:AT40"/>
    <mergeCell ref="AR41:AT42"/>
    <mergeCell ref="AR30:AT31"/>
    <mergeCell ref="AR36:AT37"/>
    <mergeCell ref="Y40:AA40"/>
    <mergeCell ref="AR26:AT27"/>
    <mergeCell ref="AR24:AT25"/>
    <mergeCell ref="V24:X25"/>
    <mergeCell ref="AR57:AT58"/>
    <mergeCell ref="AR43:AT44"/>
    <mergeCell ref="AR53:AT54"/>
    <mergeCell ref="AR28:AT29"/>
    <mergeCell ref="AR32:AT33"/>
    <mergeCell ref="AR34:AT35"/>
    <mergeCell ref="AR45:AT46"/>
    <mergeCell ref="AR47:AT48"/>
    <mergeCell ref="AR49:AT50"/>
    <mergeCell ref="V10:X11"/>
    <mergeCell ref="V20:X21"/>
    <mergeCell ref="V40:X40"/>
    <mergeCell ref="V41:X42"/>
    <mergeCell ref="V53:X54"/>
    <mergeCell ref="V45:X46"/>
    <mergeCell ref="V47:X48"/>
    <mergeCell ref="V49:X50"/>
    <mergeCell ref="V51:X52"/>
    <mergeCell ref="V12:X13"/>
    <mergeCell ref="V18:X19"/>
    <mergeCell ref="V16:X17"/>
    <mergeCell ref="V22:X23"/>
    <mergeCell ref="V28:X29"/>
  </mergeCells>
  <printOptions horizontalCentered="1" verticalCentered="1"/>
  <pageMargins left="0.25" right="0.25" top="0.25" bottom="0.25" header="0.25" footer="0.25"/>
  <pageSetup scale="52" orientation="landscape" r:id="rId1"/>
  <headerFooter alignWithMargins="0"/>
  <ignoredErrors>
    <ignoredError sqref="A11:A24 A25:A36 Q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tabColor theme="4" tint="0.59999389629810485"/>
    <pageSetUpPr fitToPage="1"/>
  </sheetPr>
  <dimension ref="A1:W113"/>
  <sheetViews>
    <sheetView showGridLines="0" showZeros="0" tabSelected="1" zoomScaleNormal="100" zoomScaleSheetLayoutView="85" workbookViewId="0">
      <selection activeCell="V1" sqref="V1"/>
    </sheetView>
  </sheetViews>
  <sheetFormatPr defaultColWidth="10.6640625" defaultRowHeight="13.2"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customWidth="1" outlineLevel="1"/>
    <col min="14" max="14" width="12.109375" customWidth="1" outlineLevel="1"/>
    <col min="15" max="15" width="12.109375" style="79" customWidth="1" outlineLevel="1"/>
    <col min="16" max="16" width="14.44140625" style="79" customWidth="1"/>
    <col min="17" max="17" width="22.33203125" style="79" customWidth="1"/>
    <col min="18" max="19" width="28.5546875" style="79" customWidth="1"/>
    <col min="20" max="20" width="14.44140625" style="79" customWidth="1"/>
    <col min="21" max="21" width="54.5546875" style="4" hidden="1" customWidth="1"/>
    <col min="22" max="22" width="35.5546875" style="1" bestFit="1" customWidth="1"/>
    <col min="23" max="23" width="14.6640625" style="1" bestFit="1" customWidth="1"/>
    <col min="24" max="16384" width="10.6640625" style="1"/>
  </cols>
  <sheetData>
    <row r="1" spans="1:23" ht="14.25" customHeight="1" thickBot="1">
      <c r="A1" s="644" t="s">
        <v>504</v>
      </c>
      <c r="B1" s="645"/>
      <c r="C1" s="645"/>
      <c r="D1" s="645"/>
      <c r="E1" s="645"/>
      <c r="F1" s="645"/>
      <c r="G1" s="645"/>
      <c r="H1" s="645"/>
      <c r="I1" s="645"/>
      <c r="J1" s="646"/>
      <c r="K1" s="650" t="s">
        <v>221</v>
      </c>
      <c r="L1" s="651"/>
      <c r="M1" s="623"/>
      <c r="N1" s="624"/>
      <c r="O1" s="624"/>
      <c r="P1" s="743" t="s">
        <v>225</v>
      </c>
      <c r="Q1" s="744"/>
      <c r="R1" s="744"/>
      <c r="S1" s="744"/>
      <c r="T1" s="744"/>
      <c r="U1" s="443"/>
      <c r="V1" s="117" t="s">
        <v>184</v>
      </c>
      <c r="W1" s="542"/>
    </row>
    <row r="2" spans="1:23" ht="14.25" customHeight="1">
      <c r="A2" s="647"/>
      <c r="B2" s="648"/>
      <c r="C2" s="648"/>
      <c r="D2" s="648"/>
      <c r="E2" s="648"/>
      <c r="F2" s="648"/>
      <c r="G2" s="648"/>
      <c r="H2" s="648"/>
      <c r="I2" s="648"/>
      <c r="J2" s="648"/>
      <c r="K2" s="461" t="s">
        <v>280</v>
      </c>
      <c r="L2" s="460" t="s">
        <v>412</v>
      </c>
      <c r="M2" s="624"/>
      <c r="N2" s="624"/>
      <c r="O2" s="624"/>
      <c r="P2" s="745"/>
      <c r="Q2" s="746"/>
      <c r="R2" s="746"/>
      <c r="S2" s="746"/>
      <c r="T2" s="746"/>
      <c r="U2" s="444"/>
      <c r="V2" s="115" t="s">
        <v>215</v>
      </c>
    </row>
    <row r="3" spans="1:23" ht="14.25" customHeight="1">
      <c r="A3" s="647"/>
      <c r="B3" s="648"/>
      <c r="C3" s="648"/>
      <c r="D3" s="648"/>
      <c r="E3" s="648"/>
      <c r="F3" s="648"/>
      <c r="G3" s="648"/>
      <c r="H3" s="648"/>
      <c r="I3" s="648"/>
      <c r="J3" s="648"/>
      <c r="K3" s="635" t="s">
        <v>990</v>
      </c>
      <c r="L3" s="636"/>
      <c r="M3" s="624"/>
      <c r="N3" s="624"/>
      <c r="O3" s="624"/>
      <c r="P3" s="747" t="s">
        <v>905</v>
      </c>
      <c r="Q3" s="748"/>
      <c r="R3" s="749"/>
      <c r="S3" s="749"/>
      <c r="T3" s="749"/>
      <c r="U3" s="750"/>
      <c r="V3" s="115" t="s">
        <v>215</v>
      </c>
    </row>
    <row r="4" spans="1:23" ht="14.25" customHeight="1">
      <c r="A4" s="647"/>
      <c r="B4" s="648"/>
      <c r="C4" s="648"/>
      <c r="D4" s="648"/>
      <c r="E4" s="648"/>
      <c r="F4" s="648"/>
      <c r="G4" s="648"/>
      <c r="H4" s="648"/>
      <c r="I4" s="648"/>
      <c r="J4" s="649"/>
      <c r="K4" s="652" t="s">
        <v>441</v>
      </c>
      <c r="L4" s="653"/>
      <c r="M4" s="624"/>
      <c r="N4" s="624"/>
      <c r="O4" s="624"/>
      <c r="P4" s="751"/>
      <c r="Q4" s="749"/>
      <c r="R4" s="749"/>
      <c r="S4" s="749"/>
      <c r="T4" s="749"/>
      <c r="U4" s="750"/>
      <c r="V4" s="115" t="s">
        <v>215</v>
      </c>
    </row>
    <row r="5" spans="1:23" ht="14.25" customHeight="1">
      <c r="A5" s="641">
        <v>1</v>
      </c>
      <c r="B5" s="642"/>
      <c r="C5" s="642"/>
      <c r="D5" s="642"/>
      <c r="E5" s="642"/>
      <c r="F5" s="642"/>
      <c r="G5" s="642"/>
      <c r="H5" s="642"/>
      <c r="I5" s="642"/>
      <c r="J5" s="643"/>
      <c r="K5" s="654">
        <v>1</v>
      </c>
      <c r="L5" s="655"/>
      <c r="M5" s="624"/>
      <c r="N5" s="624"/>
      <c r="O5" s="624"/>
      <c r="P5" s="751"/>
      <c r="Q5" s="749"/>
      <c r="R5" s="749"/>
      <c r="S5" s="749"/>
      <c r="T5" s="749"/>
      <c r="U5" s="750"/>
      <c r="V5" s="115" t="s">
        <v>215</v>
      </c>
    </row>
    <row r="6" spans="1:23" ht="13.5" customHeight="1">
      <c r="A6" s="641"/>
      <c r="B6" s="642"/>
      <c r="C6" s="642"/>
      <c r="D6" s="642"/>
      <c r="E6" s="642"/>
      <c r="F6" s="642"/>
      <c r="G6" s="642"/>
      <c r="H6" s="642"/>
      <c r="I6" s="642"/>
      <c r="J6" s="643"/>
      <c r="K6" s="656" t="s">
        <v>94</v>
      </c>
      <c r="L6" s="657"/>
      <c r="M6" s="625"/>
      <c r="N6" s="624"/>
      <c r="O6" s="624"/>
      <c r="P6" s="751"/>
      <c r="Q6" s="749"/>
      <c r="R6" s="749"/>
      <c r="S6" s="749"/>
      <c r="T6" s="749"/>
      <c r="U6" s="750"/>
      <c r="V6" s="115" t="s">
        <v>215</v>
      </c>
    </row>
    <row r="7" spans="1:23" ht="13.5" customHeight="1">
      <c r="A7" s="536" t="s">
        <v>862</v>
      </c>
      <c r="B7" s="176"/>
      <c r="C7" s="538"/>
      <c r="D7" s="539">
        <v>44747</v>
      </c>
      <c r="E7" s="176" t="s">
        <v>864</v>
      </c>
      <c r="F7" s="176"/>
      <c r="G7" s="176"/>
      <c r="H7" s="176"/>
      <c r="I7" s="176"/>
      <c r="J7" s="537"/>
      <c r="K7" s="633">
        <v>0.03</v>
      </c>
      <c r="L7" s="634"/>
      <c r="M7" s="625"/>
      <c r="N7" s="624"/>
      <c r="O7" s="624"/>
      <c r="P7" s="751"/>
      <c r="Q7" s="749"/>
      <c r="R7" s="749"/>
      <c r="S7" s="749"/>
      <c r="T7" s="749"/>
      <c r="U7" s="750"/>
      <c r="V7" s="115" t="s">
        <v>215</v>
      </c>
    </row>
    <row r="8" spans="1:23" s="2" customFormat="1" ht="14.25" customHeight="1">
      <c r="A8" s="177" t="s">
        <v>196</v>
      </c>
      <c r="B8" s="178"/>
      <c r="C8" s="178"/>
      <c r="D8" s="179"/>
      <c r="E8" s="180" t="s">
        <v>458</v>
      </c>
      <c r="F8" s="179"/>
      <c r="G8" s="179"/>
      <c r="H8" s="666" t="s">
        <v>509</v>
      </c>
      <c r="I8" s="666"/>
      <c r="J8" s="667"/>
      <c r="K8" s="658">
        <v>44804</v>
      </c>
      <c r="L8" s="659"/>
      <c r="M8" s="625"/>
      <c r="N8" s="624"/>
      <c r="O8" s="624"/>
      <c r="P8" s="751"/>
      <c r="Q8" s="749"/>
      <c r="R8" s="749"/>
      <c r="S8" s="749"/>
      <c r="T8" s="749"/>
      <c r="U8" s="750"/>
      <c r="V8" s="115" t="s">
        <v>215</v>
      </c>
    </row>
    <row r="9" spans="1:23" s="2" customFormat="1" ht="14.25" customHeight="1">
      <c r="A9" s="637" t="s">
        <v>1</v>
      </c>
      <c r="B9" s="638"/>
      <c r="C9" s="638"/>
      <c r="D9" s="638"/>
      <c r="E9" s="632"/>
      <c r="F9" s="632"/>
      <c r="G9" s="632"/>
      <c r="H9" s="668"/>
      <c r="I9" s="668"/>
      <c r="J9" s="669"/>
      <c r="K9" s="660"/>
      <c r="L9" s="661"/>
      <c r="M9" s="626"/>
      <c r="N9" s="627"/>
      <c r="O9" s="627"/>
      <c r="P9" s="751"/>
      <c r="Q9" s="749"/>
      <c r="R9" s="749"/>
      <c r="S9" s="749"/>
      <c r="T9" s="749"/>
      <c r="U9" s="750"/>
      <c r="V9" s="115" t="s">
        <v>215</v>
      </c>
    </row>
    <row r="10" spans="1:23" s="2" customFormat="1" ht="14.25" customHeight="1">
      <c r="A10" s="181" t="s">
        <v>201</v>
      </c>
      <c r="B10" s="142"/>
      <c r="C10" s="142"/>
      <c r="D10" s="143"/>
      <c r="E10" s="180" t="s">
        <v>459</v>
      </c>
      <c r="F10" s="179"/>
      <c r="G10" s="179"/>
      <c r="H10" s="666" t="s">
        <v>510</v>
      </c>
      <c r="I10" s="666"/>
      <c r="J10" s="667"/>
      <c r="K10" s="662">
        <f>EDATE(K8,12)-1</f>
        <v>45168</v>
      </c>
      <c r="L10" s="663"/>
      <c r="M10" s="672" t="s">
        <v>557</v>
      </c>
      <c r="N10" s="673"/>
      <c r="O10" s="673"/>
      <c r="P10" s="751"/>
      <c r="Q10" s="749"/>
      <c r="R10" s="749"/>
      <c r="S10" s="749"/>
      <c r="T10" s="749"/>
      <c r="U10" s="750"/>
      <c r="V10" s="115" t="s">
        <v>215</v>
      </c>
    </row>
    <row r="11" spans="1:23" s="2" customFormat="1" ht="14.25" customHeight="1">
      <c r="A11" s="639" t="str">
        <f>B15</f>
        <v>Professor McCormick</v>
      </c>
      <c r="B11" s="640"/>
      <c r="C11" s="640"/>
      <c r="D11" s="640"/>
      <c r="E11" s="632"/>
      <c r="F11" s="632"/>
      <c r="G11" s="632"/>
      <c r="H11" s="668"/>
      <c r="I11" s="668"/>
      <c r="J11" s="669"/>
      <c r="K11" s="664"/>
      <c r="L11" s="665"/>
      <c r="M11" s="674"/>
      <c r="N11" s="675"/>
      <c r="O11" s="675"/>
      <c r="P11" s="751"/>
      <c r="Q11" s="749"/>
      <c r="R11" s="749"/>
      <c r="S11" s="749"/>
      <c r="T11" s="749"/>
      <c r="U11" s="750"/>
      <c r="V11" s="115" t="s">
        <v>215</v>
      </c>
    </row>
    <row r="12" spans="1:23" s="2" customFormat="1" ht="14.25" customHeight="1">
      <c r="A12" s="177" t="s">
        <v>198</v>
      </c>
      <c r="B12" s="328"/>
      <c r="C12" s="162"/>
      <c r="D12" s="156"/>
      <c r="E12" s="156"/>
      <c r="F12" s="329"/>
      <c r="G12" s="680" t="s">
        <v>897</v>
      </c>
      <c r="H12" s="683" t="s">
        <v>511</v>
      </c>
      <c r="I12" s="684"/>
      <c r="J12" s="685"/>
      <c r="K12" s="628" t="s">
        <v>35</v>
      </c>
      <c r="L12" s="629"/>
      <c r="M12" s="375" t="s">
        <v>282</v>
      </c>
      <c r="N12" s="628" t="s">
        <v>35</v>
      </c>
      <c r="O12" s="670"/>
      <c r="P12" s="751"/>
      <c r="Q12" s="749"/>
      <c r="R12" s="749"/>
      <c r="S12" s="749"/>
      <c r="T12" s="749"/>
      <c r="U12" s="750"/>
      <c r="V12" s="115" t="s">
        <v>215</v>
      </c>
    </row>
    <row r="13" spans="1:23" s="2" customFormat="1" ht="14.25" customHeight="1">
      <c r="A13" s="141"/>
      <c r="B13" s="142"/>
      <c r="C13" s="142"/>
      <c r="D13" s="155"/>
      <c r="E13" s="155"/>
      <c r="F13" s="330"/>
      <c r="G13" s="681"/>
      <c r="H13" s="676" t="s">
        <v>281</v>
      </c>
      <c r="I13" s="677"/>
      <c r="J13" s="678"/>
      <c r="K13" s="630"/>
      <c r="L13" s="631"/>
      <c r="M13" s="374" t="s">
        <v>283</v>
      </c>
      <c r="N13" s="630"/>
      <c r="O13" s="671"/>
      <c r="P13" s="752"/>
      <c r="Q13" s="753"/>
      <c r="R13" s="753"/>
      <c r="S13" s="753"/>
      <c r="T13" s="753"/>
      <c r="U13" s="754"/>
      <c r="V13" s="115" t="s">
        <v>215</v>
      </c>
    </row>
    <row r="14" spans="1:23" s="2" customFormat="1" ht="14.25" customHeight="1">
      <c r="A14" s="152"/>
      <c r="B14" s="153"/>
      <c r="C14" s="153"/>
      <c r="D14" s="151"/>
      <c r="E14" s="671" t="s">
        <v>319</v>
      </c>
      <c r="F14" s="631"/>
      <c r="G14" s="682"/>
      <c r="H14" s="171" t="s">
        <v>2</v>
      </c>
      <c r="I14" s="172" t="s">
        <v>194</v>
      </c>
      <c r="J14" s="172" t="s">
        <v>195</v>
      </c>
      <c r="K14" s="168" t="s">
        <v>33</v>
      </c>
      <c r="L14" s="169" t="s">
        <v>34</v>
      </c>
      <c r="M14" s="234" t="s">
        <v>284</v>
      </c>
      <c r="N14" s="168" t="s">
        <v>33</v>
      </c>
      <c r="O14" s="169" t="s">
        <v>34</v>
      </c>
      <c r="P14" s="193" t="s">
        <v>105</v>
      </c>
      <c r="Q14" s="594" t="s">
        <v>973</v>
      </c>
      <c r="R14" s="741" t="s">
        <v>149</v>
      </c>
      <c r="S14" s="742"/>
      <c r="T14" s="193" t="s">
        <v>857</v>
      </c>
      <c r="U14" s="204" t="s">
        <v>226</v>
      </c>
      <c r="V14" s="115" t="s">
        <v>215</v>
      </c>
    </row>
    <row r="15" spans="1:23" s="2" customFormat="1" ht="14.25" customHeight="1">
      <c r="A15" s="333">
        <v>1</v>
      </c>
      <c r="B15" s="679" t="s">
        <v>896</v>
      </c>
      <c r="C15" s="679"/>
      <c r="D15" s="679"/>
      <c r="E15" s="334" t="str">
        <f>IF(AND(H15&gt;0,I15+J15&gt;0),"Wrong",IF(AND(G15=10,I15+J15&gt;0),"Wrong",IF(AND(G15=11,I15+J15&gt;0),"Wrong",IF(AND(G15=12,I15+J15&gt;0),"Wrong",IF(AND(G15=9,H15&gt;0),"Wrong",IF(H15&gt;12,"Wrong",IF(I15&gt;9,"Wrong",IF(J15&gt;3,"Wrong",IF(I15+J15&gt;12,"Wrong",IF(H15&gt;G15,"Wrong","OK"))))))))))</f>
        <v>OK</v>
      </c>
      <c r="F15" s="327" t="str">
        <f t="shared" ref="F15:F29" si="0">IF(OR(E15="Wrong",SUM(H15:J15)+M15&gt;G15),"Warning!","")</f>
        <v/>
      </c>
      <c r="G15" s="228">
        <v>9</v>
      </c>
      <c r="H15" s="194"/>
      <c r="I15" s="195">
        <v>0</v>
      </c>
      <c r="J15" s="195">
        <v>0</v>
      </c>
      <c r="K15" s="138">
        <f>IFERROR(IF(T15&gt;0,T15/G15*(SUM(H15:J15)),P15/G15*(SUM(H15:J15))),)</f>
        <v>0</v>
      </c>
      <c r="L15" s="139">
        <f>K15*LOOKUP($K$8,Lists!$A$2:$A$812,IF($K$2="Non-Federal",Lists!$D$2:$D$812,Lists!$C$2:$C$812))</f>
        <v>0</v>
      </c>
      <c r="M15" s="232"/>
      <c r="N15" s="138">
        <f>IFERROR(IF(T15&gt;0,T15/G15*(SUM(M15)),P15/G15*(SUM(M15))),)</f>
        <v>0</v>
      </c>
      <c r="O15" s="139">
        <f>N15*LOOKUP($K$8,Lists!$A$2:$A$812,IF($K$2="Non-Federal",Lists!$D$2:$D$812,Lists!$C$2:$C$812))</f>
        <v>0</v>
      </c>
      <c r="P15" s="203"/>
      <c r="Q15" s="599">
        <f t="shared" ref="Q15:Q20" si="1">IF(P15&gt;0,P15/G15*12,0)</f>
        <v>0</v>
      </c>
      <c r="R15" s="615"/>
      <c r="S15" s="616"/>
      <c r="T15" s="203">
        <f>IF(COUNTIF(NIH,$E$9)&gt;0,(IF(G15&gt;0,IF((P15/G15)*12&gt;NIHSalCap,(NIHSalCap/12)*G15,),)),)</f>
        <v>0</v>
      </c>
      <c r="U15" s="205" t="s">
        <v>227</v>
      </c>
      <c r="V15" s="115" t="s">
        <v>215</v>
      </c>
    </row>
    <row r="16" spans="1:23" s="2" customFormat="1" ht="14.25" customHeight="1">
      <c r="A16" s="182">
        <v>2</v>
      </c>
      <c r="B16" s="604"/>
      <c r="C16" s="604"/>
      <c r="D16" s="604"/>
      <c r="E16" s="334" t="str">
        <f t="shared" ref="E16:E29" si="2">IF(AND(H16&gt;0,I16+J16&gt;0),"Wrong",IF(AND(G16=10,I16+J16&gt;0),"Wrong",IF(AND(G16=11,I16+J16&gt;0),"Wrong",IF(AND(G16=12,I16+J16&gt;0),"Wrong",IF(AND(G16=9,H16&gt;0),"Wrong",IF(H16&gt;12,"Wrong",IF(I16&gt;9,"Wrong",IF(J16&gt;3,"Wrong",IF(I16+J16&gt;12,"Wrong",IF(H16&gt;G16,"Wrong","OK"))))))))))</f>
        <v>OK</v>
      </c>
      <c r="F16" s="327" t="str">
        <f t="shared" si="0"/>
        <v/>
      </c>
      <c r="G16" s="228"/>
      <c r="H16" s="196"/>
      <c r="I16" s="195"/>
      <c r="J16" s="195"/>
      <c r="K16" s="138">
        <f t="shared" ref="K16:K29" si="3">IFERROR(IF(T16&gt;0,T16/G16*(SUM(H16:J16)),P16/G16*(SUM(H16:J16))),)</f>
        <v>0</v>
      </c>
      <c r="L16" s="139">
        <f>K16*LOOKUP($K$8,Lists!$A$2:$A$812,IF($K$2="Non-Federal",Lists!$D$2:$D$812,Lists!$C$2:$C$812))</f>
        <v>0</v>
      </c>
      <c r="M16" s="232"/>
      <c r="N16" s="138">
        <f t="shared" ref="N16:N29" si="4">IFERROR(IF(T16&gt;0,T16/G16*(SUM(M16)),P16/G16*(SUM(M16))),)</f>
        <v>0</v>
      </c>
      <c r="O16" s="139">
        <f>N16*LOOKUP($K$8,Lists!$A$2:$A$812,IF($K$2="Non-Federal",Lists!$D$2:$D$812,Lists!$C$2:$C$812))</f>
        <v>0</v>
      </c>
      <c r="P16" s="203"/>
      <c r="Q16" s="599">
        <f t="shared" si="1"/>
        <v>0</v>
      </c>
      <c r="R16" s="615"/>
      <c r="S16" s="616"/>
      <c r="T16" s="203">
        <f t="shared" ref="T16:T29" si="5">IF(COUNTIF(NIH,$E$9)&gt;0,(IF(G16&gt;0,IF((P16/G16)*12&gt;NIHSalCap,(NIHSalCap/12)*G16,),)),)</f>
        <v>0</v>
      </c>
      <c r="U16" s="205" t="s">
        <v>228</v>
      </c>
      <c r="V16" s="115" t="s">
        <v>215</v>
      </c>
    </row>
    <row r="17" spans="1:22" s="2" customFormat="1" ht="14.25" customHeight="1">
      <c r="A17" s="182">
        <v>3</v>
      </c>
      <c r="B17" s="604"/>
      <c r="C17" s="604"/>
      <c r="D17" s="604"/>
      <c r="E17" s="334" t="str">
        <f t="shared" si="2"/>
        <v>OK</v>
      </c>
      <c r="F17" s="327" t="str">
        <f t="shared" si="0"/>
        <v/>
      </c>
      <c r="G17" s="228"/>
      <c r="H17" s="196"/>
      <c r="I17" s="195"/>
      <c r="J17" s="195"/>
      <c r="K17" s="138">
        <f t="shared" si="3"/>
        <v>0</v>
      </c>
      <c r="L17" s="139">
        <f>K17*LOOKUP($K$8,Lists!$A$2:$A$812,IF($K$2="Non-Federal",Lists!$D$2:$D$812,Lists!$C$2:$C$812))</f>
        <v>0</v>
      </c>
      <c r="M17" s="232"/>
      <c r="N17" s="138">
        <f t="shared" si="4"/>
        <v>0</v>
      </c>
      <c r="O17" s="139">
        <f>N17*LOOKUP($K$8,Lists!$A$2:$A$812,IF($K$2="Non-Federal",Lists!$D$2:$D$812,Lists!$C$2:$C$812))</f>
        <v>0</v>
      </c>
      <c r="P17" s="203"/>
      <c r="Q17" s="599">
        <f t="shared" si="1"/>
        <v>0</v>
      </c>
      <c r="R17" s="615"/>
      <c r="S17" s="616"/>
      <c r="T17" s="203">
        <f t="shared" si="5"/>
        <v>0</v>
      </c>
      <c r="U17" s="205" t="s">
        <v>229</v>
      </c>
      <c r="V17" s="115" t="s">
        <v>215</v>
      </c>
    </row>
    <row r="18" spans="1:22" s="2" customFormat="1" ht="14.25" customHeight="1">
      <c r="A18" s="182">
        <v>4</v>
      </c>
      <c r="B18" s="604"/>
      <c r="C18" s="604"/>
      <c r="D18" s="604"/>
      <c r="E18" s="334" t="str">
        <f t="shared" si="2"/>
        <v>OK</v>
      </c>
      <c r="F18" s="327" t="str">
        <f t="shared" si="0"/>
        <v/>
      </c>
      <c r="G18" s="228"/>
      <c r="H18" s="196"/>
      <c r="I18" s="195"/>
      <c r="J18" s="195"/>
      <c r="K18" s="138">
        <f t="shared" si="3"/>
        <v>0</v>
      </c>
      <c r="L18" s="139">
        <f>K18*LOOKUP($K$8,Lists!$A$2:$A$812,IF($K$2="Non-Federal",Lists!$D$2:$D$812,Lists!$C$2:$C$812))</f>
        <v>0</v>
      </c>
      <c r="M18" s="232"/>
      <c r="N18" s="138">
        <f t="shared" si="4"/>
        <v>0</v>
      </c>
      <c r="O18" s="139">
        <f>N18*LOOKUP($K$8,Lists!$A$2:$A$812,IF($K$2="Non-Federal",Lists!$D$2:$D$812,Lists!$C$2:$C$812))</f>
        <v>0</v>
      </c>
      <c r="P18" s="203"/>
      <c r="Q18" s="599">
        <f t="shared" si="1"/>
        <v>0</v>
      </c>
      <c r="R18" s="615"/>
      <c r="S18" s="616"/>
      <c r="T18" s="203">
        <f t="shared" si="5"/>
        <v>0</v>
      </c>
      <c r="U18" s="205" t="s">
        <v>228</v>
      </c>
      <c r="V18" s="115" t="s">
        <v>215</v>
      </c>
    </row>
    <row r="19" spans="1:22" s="2" customFormat="1" ht="14.4">
      <c r="A19" s="182">
        <v>5</v>
      </c>
      <c r="B19" s="604"/>
      <c r="C19" s="604"/>
      <c r="D19" s="604"/>
      <c r="E19" s="334" t="str">
        <f t="shared" si="2"/>
        <v>OK</v>
      </c>
      <c r="F19" s="327" t="str">
        <f t="shared" si="0"/>
        <v/>
      </c>
      <c r="G19" s="228"/>
      <c r="H19" s="196"/>
      <c r="I19" s="195"/>
      <c r="J19" s="195"/>
      <c r="K19" s="138">
        <f t="shared" si="3"/>
        <v>0</v>
      </c>
      <c r="L19" s="139">
        <f>K19*LOOKUP($K$8,Lists!$A$2:$A$812,IF($K$2="Non-Federal",Lists!$D$2:$D$812,Lists!$C$2:$C$812))</f>
        <v>0</v>
      </c>
      <c r="M19" s="232"/>
      <c r="N19" s="138">
        <f t="shared" si="4"/>
        <v>0</v>
      </c>
      <c r="O19" s="139">
        <f>N19*LOOKUP($K$8,Lists!$A$2:$A$812,IF($K$2="Non-Federal",Lists!$D$2:$D$812,Lists!$C$2:$C$812))</f>
        <v>0</v>
      </c>
      <c r="P19" s="203"/>
      <c r="Q19" s="599">
        <f t="shared" si="1"/>
        <v>0</v>
      </c>
      <c r="R19" s="615"/>
      <c r="S19" s="616"/>
      <c r="T19" s="203">
        <f t="shared" si="5"/>
        <v>0</v>
      </c>
      <c r="U19" s="205" t="s">
        <v>229</v>
      </c>
      <c r="V19" s="115" t="s">
        <v>215</v>
      </c>
    </row>
    <row r="20" spans="1:22" s="2" customFormat="1" ht="14.4" hidden="1">
      <c r="A20" s="182">
        <v>6</v>
      </c>
      <c r="B20" s="604"/>
      <c r="C20" s="604"/>
      <c r="D20" s="604"/>
      <c r="E20" s="334" t="str">
        <f t="shared" si="2"/>
        <v>OK</v>
      </c>
      <c r="F20" s="327" t="str">
        <f t="shared" si="0"/>
        <v/>
      </c>
      <c r="G20" s="228"/>
      <c r="H20" s="196"/>
      <c r="I20" s="195"/>
      <c r="J20" s="195"/>
      <c r="K20" s="138">
        <f t="shared" si="3"/>
        <v>0</v>
      </c>
      <c r="L20" s="139">
        <f>K20*LOOKUP($K$8,Lists!$A$2:$A$812,IF($K$2="Non-Federal",Lists!$D$2:$D$812,Lists!$C$2:$C$812))</f>
        <v>0</v>
      </c>
      <c r="M20" s="232"/>
      <c r="N20" s="138">
        <f t="shared" si="4"/>
        <v>0</v>
      </c>
      <c r="O20" s="139">
        <f>N20*LOOKUP($K$8,Lists!$A$2:$A$812,IF($K$2="Non-Federal",Lists!$D$2:$D$812,Lists!$C$2:$C$812))</f>
        <v>0</v>
      </c>
      <c r="P20" s="203"/>
      <c r="Q20" s="599">
        <f t="shared" si="1"/>
        <v>0</v>
      </c>
      <c r="R20" s="615"/>
      <c r="S20" s="616"/>
      <c r="T20" s="203">
        <f t="shared" si="5"/>
        <v>0</v>
      </c>
      <c r="U20" s="205" t="s">
        <v>228</v>
      </c>
      <c r="V20" s="115" t="s">
        <v>481</v>
      </c>
    </row>
    <row r="21" spans="1:22" s="2" customFormat="1" ht="14.4" hidden="1">
      <c r="A21" s="182">
        <v>7</v>
      </c>
      <c r="B21" s="604"/>
      <c r="C21" s="604"/>
      <c r="D21" s="604"/>
      <c r="E21" s="334" t="str">
        <f t="shared" si="2"/>
        <v>OK</v>
      </c>
      <c r="F21" s="327" t="str">
        <f t="shared" si="0"/>
        <v/>
      </c>
      <c r="G21" s="228"/>
      <c r="H21" s="196"/>
      <c r="I21" s="195"/>
      <c r="J21" s="195"/>
      <c r="K21" s="138">
        <f t="shared" si="3"/>
        <v>0</v>
      </c>
      <c r="L21" s="139">
        <f>K21*LOOKUP($K$8,Lists!$A$2:$A$812,IF($K$2="Non-Federal",Lists!$D$2:$D$812,Lists!$C$2:$C$812))</f>
        <v>0</v>
      </c>
      <c r="M21" s="232"/>
      <c r="N21" s="138">
        <f t="shared" si="4"/>
        <v>0</v>
      </c>
      <c r="O21" s="139">
        <f>N21*LOOKUP($K$8,Lists!$A$2:$A$812,IF($K$2="Non-Federal",Lists!$D$2:$D$812,Lists!$C$2:$C$812))</f>
        <v>0</v>
      </c>
      <c r="P21" s="203"/>
      <c r="Q21" s="599">
        <f t="shared" ref="Q21:Q27" si="6">IF(P21&gt;0,P21/G21*12,0)</f>
        <v>0</v>
      </c>
      <c r="R21" s="615"/>
      <c r="S21" s="616"/>
      <c r="T21" s="203">
        <f t="shared" si="5"/>
        <v>0</v>
      </c>
      <c r="U21" s="205" t="s">
        <v>229</v>
      </c>
      <c r="V21" s="115" t="s">
        <v>481</v>
      </c>
    </row>
    <row r="22" spans="1:22" s="2" customFormat="1" ht="14.4" hidden="1">
      <c r="A22" s="182">
        <v>8</v>
      </c>
      <c r="B22" s="604"/>
      <c r="C22" s="604"/>
      <c r="D22" s="604"/>
      <c r="E22" s="334" t="str">
        <f t="shared" si="2"/>
        <v>OK</v>
      </c>
      <c r="F22" s="327" t="str">
        <f t="shared" si="0"/>
        <v/>
      </c>
      <c r="G22" s="228"/>
      <c r="H22" s="196"/>
      <c r="I22" s="195"/>
      <c r="J22" s="195"/>
      <c r="K22" s="138">
        <f t="shared" si="3"/>
        <v>0</v>
      </c>
      <c r="L22" s="139">
        <f>K22*LOOKUP($K$8,Lists!$A$2:$A$812,IF($K$2="Non-Federal",Lists!$D$2:$D$812,Lists!$C$2:$C$812))</f>
        <v>0</v>
      </c>
      <c r="M22" s="232"/>
      <c r="N22" s="138">
        <f t="shared" si="4"/>
        <v>0</v>
      </c>
      <c r="O22" s="139">
        <f>N22*LOOKUP($K$8,Lists!$A$2:$A$812,IF($K$2="Non-Federal",Lists!$D$2:$D$812,Lists!$C$2:$C$812))</f>
        <v>0</v>
      </c>
      <c r="P22" s="203"/>
      <c r="Q22" s="599">
        <f t="shared" si="6"/>
        <v>0</v>
      </c>
      <c r="R22" s="615"/>
      <c r="S22" s="616"/>
      <c r="T22" s="203">
        <f t="shared" si="5"/>
        <v>0</v>
      </c>
      <c r="U22" s="205" t="s">
        <v>228</v>
      </c>
      <c r="V22" s="115" t="s">
        <v>481</v>
      </c>
    </row>
    <row r="23" spans="1:22" s="2" customFormat="1" ht="14.4" hidden="1">
      <c r="A23" s="182">
        <v>9</v>
      </c>
      <c r="B23" s="604"/>
      <c r="C23" s="604"/>
      <c r="D23" s="604"/>
      <c r="E23" s="334" t="str">
        <f t="shared" si="2"/>
        <v>OK</v>
      </c>
      <c r="F23" s="327" t="str">
        <f t="shared" si="0"/>
        <v/>
      </c>
      <c r="G23" s="228"/>
      <c r="H23" s="196"/>
      <c r="I23" s="195"/>
      <c r="J23" s="195"/>
      <c r="K23" s="138">
        <f t="shared" si="3"/>
        <v>0</v>
      </c>
      <c r="L23" s="139">
        <f>K23*LOOKUP($K$8,Lists!$A$2:$A$812,IF($K$2="Non-Federal",Lists!$D$2:$D$812,Lists!$C$2:$C$812))</f>
        <v>0</v>
      </c>
      <c r="M23" s="232"/>
      <c r="N23" s="138">
        <f t="shared" si="4"/>
        <v>0</v>
      </c>
      <c r="O23" s="139">
        <f>N23*LOOKUP($K$8,Lists!$A$2:$A$812,IF($K$2="Non-Federal",Lists!$D$2:$D$812,Lists!$C$2:$C$812))</f>
        <v>0</v>
      </c>
      <c r="P23" s="203"/>
      <c r="Q23" s="599">
        <f t="shared" si="6"/>
        <v>0</v>
      </c>
      <c r="R23" s="615"/>
      <c r="S23" s="616"/>
      <c r="T23" s="203">
        <f t="shared" si="5"/>
        <v>0</v>
      </c>
      <c r="U23" s="205" t="s">
        <v>229</v>
      </c>
      <c r="V23" s="115" t="s">
        <v>481</v>
      </c>
    </row>
    <row r="24" spans="1:22" s="2" customFormat="1" ht="14.4" hidden="1">
      <c r="A24" s="182">
        <v>10</v>
      </c>
      <c r="B24" s="604"/>
      <c r="C24" s="604"/>
      <c r="D24" s="604"/>
      <c r="E24" s="334" t="str">
        <f t="shared" si="2"/>
        <v>OK</v>
      </c>
      <c r="F24" s="327" t="str">
        <f t="shared" si="0"/>
        <v/>
      </c>
      <c r="G24" s="228"/>
      <c r="H24" s="196"/>
      <c r="I24" s="195"/>
      <c r="J24" s="195"/>
      <c r="K24" s="138">
        <f t="shared" si="3"/>
        <v>0</v>
      </c>
      <c r="L24" s="139">
        <f>K24*LOOKUP($K$8,Lists!$A$2:$A$812,IF($K$2="Non-Federal",Lists!$D$2:$D$812,Lists!$C$2:$C$812))</f>
        <v>0</v>
      </c>
      <c r="M24" s="232"/>
      <c r="N24" s="138">
        <f t="shared" si="4"/>
        <v>0</v>
      </c>
      <c r="O24" s="139">
        <f>N24*LOOKUP($K$8,Lists!$A$2:$A$812,IF($K$2="Non-Federal",Lists!$D$2:$D$812,Lists!$C$2:$C$812))</f>
        <v>0</v>
      </c>
      <c r="P24" s="203"/>
      <c r="Q24" s="599">
        <f>IF(P24&gt;0,P24/G24*12,0)</f>
        <v>0</v>
      </c>
      <c r="R24" s="615"/>
      <c r="S24" s="616"/>
      <c r="T24" s="203">
        <f t="shared" si="5"/>
        <v>0</v>
      </c>
      <c r="U24" s="205" t="s">
        <v>228</v>
      </c>
      <c r="V24" s="115" t="s">
        <v>481</v>
      </c>
    </row>
    <row r="25" spans="1:22" s="2" customFormat="1" ht="14.4" hidden="1">
      <c r="A25" s="182">
        <v>11</v>
      </c>
      <c r="B25" s="604"/>
      <c r="C25" s="604"/>
      <c r="D25" s="604"/>
      <c r="E25" s="334" t="str">
        <f t="shared" si="2"/>
        <v>OK</v>
      </c>
      <c r="F25" s="327" t="str">
        <f t="shared" si="0"/>
        <v/>
      </c>
      <c r="G25" s="228"/>
      <c r="H25" s="196"/>
      <c r="I25" s="195"/>
      <c r="J25" s="195"/>
      <c r="K25" s="138">
        <f t="shared" si="3"/>
        <v>0</v>
      </c>
      <c r="L25" s="139">
        <f>K25*LOOKUP($K$8,Lists!$A$2:$A$812,IF($K$2="Non-Federal",Lists!$D$2:$D$812,Lists!$C$2:$C$812))</f>
        <v>0</v>
      </c>
      <c r="M25" s="232"/>
      <c r="N25" s="138">
        <f t="shared" si="4"/>
        <v>0</v>
      </c>
      <c r="O25" s="139">
        <f>N25*LOOKUP($K$8,Lists!$A$2:$A$812,IF($K$2="Non-Federal",Lists!$D$2:$D$812,Lists!$C$2:$C$812))</f>
        <v>0</v>
      </c>
      <c r="P25" s="203"/>
      <c r="Q25" s="599">
        <f>IF(P25&gt;0,P25/G25*12,0)</f>
        <v>0</v>
      </c>
      <c r="R25" s="615"/>
      <c r="S25" s="616"/>
      <c r="T25" s="203">
        <f t="shared" si="5"/>
        <v>0</v>
      </c>
      <c r="U25" s="205" t="s">
        <v>229</v>
      </c>
      <c r="V25" s="115" t="s">
        <v>482</v>
      </c>
    </row>
    <row r="26" spans="1:22" s="2" customFormat="1" ht="14.4" hidden="1">
      <c r="A26" s="182">
        <v>12</v>
      </c>
      <c r="B26" s="604"/>
      <c r="C26" s="604"/>
      <c r="D26" s="604"/>
      <c r="E26" s="334" t="str">
        <f t="shared" si="2"/>
        <v>OK</v>
      </c>
      <c r="F26" s="327" t="str">
        <f t="shared" si="0"/>
        <v/>
      </c>
      <c r="G26" s="228"/>
      <c r="H26" s="196"/>
      <c r="I26" s="195"/>
      <c r="J26" s="195"/>
      <c r="K26" s="138">
        <f t="shared" si="3"/>
        <v>0</v>
      </c>
      <c r="L26" s="139">
        <f>K26*LOOKUP($K$8,Lists!$A$2:$A$812,IF($K$2="Non-Federal",Lists!$D$2:$D$812,Lists!$C$2:$C$812))</f>
        <v>0</v>
      </c>
      <c r="M26" s="232"/>
      <c r="N26" s="138">
        <f t="shared" si="4"/>
        <v>0</v>
      </c>
      <c r="O26" s="139">
        <f>N26*LOOKUP($K$8,Lists!$A$2:$A$812,IF($K$2="Non-Federal",Lists!$D$2:$D$812,Lists!$C$2:$C$812))</f>
        <v>0</v>
      </c>
      <c r="P26" s="203"/>
      <c r="Q26" s="599">
        <f t="shared" si="6"/>
        <v>0</v>
      </c>
      <c r="R26" s="615"/>
      <c r="S26" s="616"/>
      <c r="T26" s="203">
        <f t="shared" si="5"/>
        <v>0</v>
      </c>
      <c r="U26" s="205" t="s">
        <v>228</v>
      </c>
      <c r="V26" s="115" t="s">
        <v>482</v>
      </c>
    </row>
    <row r="27" spans="1:22" s="2" customFormat="1" ht="14.4" hidden="1">
      <c r="A27" s="182">
        <v>13</v>
      </c>
      <c r="B27" s="604"/>
      <c r="C27" s="604"/>
      <c r="D27" s="604"/>
      <c r="E27" s="334" t="str">
        <f t="shared" si="2"/>
        <v>OK</v>
      </c>
      <c r="F27" s="327" t="str">
        <f t="shared" si="0"/>
        <v/>
      </c>
      <c r="G27" s="228"/>
      <c r="H27" s="196"/>
      <c r="I27" s="195"/>
      <c r="J27" s="195"/>
      <c r="K27" s="138">
        <f t="shared" si="3"/>
        <v>0</v>
      </c>
      <c r="L27" s="139">
        <f>K27*LOOKUP($K$8,Lists!$A$2:$A$812,IF($K$2="Non-Federal",Lists!$D$2:$D$812,Lists!$C$2:$C$812))</f>
        <v>0</v>
      </c>
      <c r="M27" s="232"/>
      <c r="N27" s="138">
        <f t="shared" si="4"/>
        <v>0</v>
      </c>
      <c r="O27" s="139">
        <f>N27*LOOKUP($K$8,Lists!$A$2:$A$812,IF($K$2="Non-Federal",Lists!$D$2:$D$812,Lists!$C$2:$C$812))</f>
        <v>0</v>
      </c>
      <c r="P27" s="203"/>
      <c r="Q27" s="599">
        <f t="shared" si="6"/>
        <v>0</v>
      </c>
      <c r="R27" s="615"/>
      <c r="S27" s="616"/>
      <c r="T27" s="203">
        <f t="shared" si="5"/>
        <v>0</v>
      </c>
      <c r="U27" s="205" t="s">
        <v>229</v>
      </c>
      <c r="V27" s="115" t="s">
        <v>482</v>
      </c>
    </row>
    <row r="28" spans="1:22" s="2" customFormat="1" ht="14.4" hidden="1">
      <c r="A28" s="182">
        <v>14</v>
      </c>
      <c r="B28" s="604"/>
      <c r="C28" s="604"/>
      <c r="D28" s="604"/>
      <c r="E28" s="334" t="str">
        <f t="shared" si="2"/>
        <v>OK</v>
      </c>
      <c r="F28" s="327" t="str">
        <f t="shared" si="0"/>
        <v/>
      </c>
      <c r="G28" s="228"/>
      <c r="H28" s="196"/>
      <c r="I28" s="195"/>
      <c r="J28" s="195"/>
      <c r="K28" s="138">
        <f t="shared" si="3"/>
        <v>0</v>
      </c>
      <c r="L28" s="139">
        <f>K28*LOOKUP($K$8,Lists!$A$2:$A$812,IF($K$2="Non-Federal",Lists!$D$2:$D$812,Lists!$C$2:$C$812))</f>
        <v>0</v>
      </c>
      <c r="M28" s="232"/>
      <c r="N28" s="138">
        <f t="shared" si="4"/>
        <v>0</v>
      </c>
      <c r="O28" s="139">
        <f>N28*LOOKUP($K$8,Lists!$A$2:$A$812,IF($K$2="Non-Federal",Lists!$D$2:$D$812,Lists!$C$2:$C$812))</f>
        <v>0</v>
      </c>
      <c r="P28" s="203"/>
      <c r="Q28" s="599">
        <f>IF(P28&gt;0,P28/G28*12,0)</f>
        <v>0</v>
      </c>
      <c r="R28" s="615"/>
      <c r="S28" s="616"/>
      <c r="T28" s="203">
        <f t="shared" si="5"/>
        <v>0</v>
      </c>
      <c r="U28" s="205" t="s">
        <v>228</v>
      </c>
      <c r="V28" s="115" t="s">
        <v>482</v>
      </c>
    </row>
    <row r="29" spans="1:22" s="2" customFormat="1" ht="14.4" hidden="1">
      <c r="A29" s="182">
        <v>15</v>
      </c>
      <c r="B29" s="604"/>
      <c r="C29" s="604"/>
      <c r="D29" s="604"/>
      <c r="E29" s="334" t="str">
        <f t="shared" si="2"/>
        <v>OK</v>
      </c>
      <c r="F29" s="327" t="str">
        <f t="shared" si="0"/>
        <v/>
      </c>
      <c r="G29" s="228"/>
      <c r="H29" s="196"/>
      <c r="I29" s="195"/>
      <c r="J29" s="195"/>
      <c r="K29" s="138">
        <f t="shared" si="3"/>
        <v>0</v>
      </c>
      <c r="L29" s="139">
        <f>K29*LOOKUP($K$8,Lists!$A$2:$A$812,IF($K$2="Non-Federal",Lists!$D$2:$D$812,Lists!$C$2:$C$812))</f>
        <v>0</v>
      </c>
      <c r="M29" s="232"/>
      <c r="N29" s="138">
        <f t="shared" si="4"/>
        <v>0</v>
      </c>
      <c r="O29" s="139">
        <f>N29*LOOKUP($K$8,Lists!$A$2:$A$812,IF($K$2="Non-Federal",Lists!$D$2:$D$812,Lists!$C$2:$C$812))</f>
        <v>0</v>
      </c>
      <c r="P29" s="203"/>
      <c r="Q29" s="599">
        <f>IF(P29&gt;0,P29/G29*12,0)</f>
        <v>0</v>
      </c>
      <c r="R29" s="615"/>
      <c r="S29" s="616"/>
      <c r="T29" s="203">
        <f t="shared" si="5"/>
        <v>0</v>
      </c>
      <c r="U29" s="205" t="s">
        <v>229</v>
      </c>
      <c r="V29" s="115" t="s">
        <v>482</v>
      </c>
    </row>
    <row r="30" spans="1:22" s="2" customFormat="1" ht="14.4">
      <c r="A30" s="605" t="s">
        <v>199</v>
      </c>
      <c r="B30" s="606"/>
      <c r="C30" s="606"/>
      <c r="D30" s="606"/>
      <c r="E30" s="606"/>
      <c r="F30" s="607"/>
      <c r="G30" s="17"/>
      <c r="H30" s="217">
        <f t="shared" ref="H30:O30" si="7">SUM(H15:H29)</f>
        <v>0</v>
      </c>
      <c r="I30" s="218">
        <f t="shared" si="7"/>
        <v>0</v>
      </c>
      <c r="J30" s="218">
        <f t="shared" si="7"/>
        <v>0</v>
      </c>
      <c r="K30" s="140">
        <f t="shared" si="7"/>
        <v>0</v>
      </c>
      <c r="L30" s="139">
        <f t="shared" si="7"/>
        <v>0</v>
      </c>
      <c r="M30" s="232">
        <f t="shared" si="7"/>
        <v>0</v>
      </c>
      <c r="N30" s="140">
        <f t="shared" si="7"/>
        <v>0</v>
      </c>
      <c r="O30" s="139">
        <f t="shared" si="7"/>
        <v>0</v>
      </c>
      <c r="P30" s="173"/>
      <c r="Q30" s="322"/>
      <c r="R30" s="322"/>
      <c r="S30" s="105"/>
      <c r="T30" s="105"/>
      <c r="U30" s="174"/>
      <c r="V30" s="115" t="s">
        <v>215</v>
      </c>
    </row>
    <row r="31" spans="1:22" s="2" customFormat="1" ht="14.25" customHeight="1">
      <c r="A31" s="183" t="s">
        <v>200</v>
      </c>
      <c r="B31" s="162"/>
      <c r="C31" s="162"/>
      <c r="D31" s="156"/>
      <c r="E31" s="156"/>
      <c r="F31" s="156"/>
      <c r="G31" s="18"/>
      <c r="H31" s="15"/>
      <c r="I31" s="16"/>
      <c r="J31" s="16"/>
      <c r="K31" s="26"/>
      <c r="L31" s="355"/>
      <c r="M31" s="356"/>
      <c r="N31" s="26"/>
      <c r="O31" s="27"/>
      <c r="P31" s="193" t="s">
        <v>105</v>
      </c>
      <c r="Q31" s="193"/>
      <c r="R31" s="730" t="s">
        <v>150</v>
      </c>
      <c r="S31" s="730"/>
      <c r="T31" s="730"/>
      <c r="U31" s="368" t="s">
        <v>226</v>
      </c>
      <c r="V31" s="115" t="s">
        <v>215</v>
      </c>
    </row>
    <row r="32" spans="1:22" s="2" customFormat="1" ht="14.25" customHeight="1">
      <c r="A32" s="183" t="s">
        <v>3</v>
      </c>
      <c r="B32" s="378"/>
      <c r="C32" s="178" t="s">
        <v>453</v>
      </c>
      <c r="D32" s="180" t="str">
        <f>"Postdoctoral Scholar"&amp;IF(B32&gt;1,"s",)</f>
        <v>Postdoctoral Scholar</v>
      </c>
      <c r="E32" s="180"/>
      <c r="F32" s="180"/>
      <c r="G32" s="433">
        <v>12</v>
      </c>
      <c r="H32" s="196">
        <f t="shared" ref="H32:H40" si="8">IF(B32&gt;0,12*B32-M32,0)</f>
        <v>0</v>
      </c>
      <c r="I32" s="197"/>
      <c r="J32" s="197"/>
      <c r="K32" s="138">
        <f t="shared" ref="K32:K40" si="9">IFERROR(P32/12*H32,)</f>
        <v>0</v>
      </c>
      <c r="L32" s="139">
        <f>K32*LOOKUP($K$8,Lists!$A$2:$A$812,IF($K$2="Non-Federal",Lists!$D$2:$D$812,Lists!$C$2:$C$812))</f>
        <v>0</v>
      </c>
      <c r="M32" s="232"/>
      <c r="N32" s="138">
        <f>IFERROR(P32/12*M32,)</f>
        <v>0</v>
      </c>
      <c r="O32" s="139">
        <f>N32*LOOKUP($K$8,Lists!$A$2:$A$812,IF($K$2="Non-Federal",Lists!$D$2:$D$812,Lists!$C$2:$C$812))</f>
        <v>0</v>
      </c>
      <c r="P32" s="203">
        <v>63480</v>
      </c>
      <c r="Q32" s="595"/>
      <c r="R32" s="603"/>
      <c r="S32" s="603"/>
      <c r="T32" s="603"/>
      <c r="U32" s="369" t="s">
        <v>231</v>
      </c>
      <c r="V32" s="115" t="s">
        <v>215</v>
      </c>
    </row>
    <row r="33" spans="1:22" s="2" customFormat="1" ht="14.25" customHeight="1">
      <c r="A33" s="183" t="s">
        <v>484</v>
      </c>
      <c r="B33" s="379"/>
      <c r="C33" s="178" t="s">
        <v>453</v>
      </c>
      <c r="D33" s="180" t="str">
        <f>"Other Professional"&amp;IF(B33&gt;1,"s",)</f>
        <v>Other Professional</v>
      </c>
      <c r="E33" s="180"/>
      <c r="F33" s="180"/>
      <c r="G33" s="433">
        <v>12</v>
      </c>
      <c r="H33" s="196">
        <f t="shared" si="8"/>
        <v>0</v>
      </c>
      <c r="I33" s="197"/>
      <c r="J33" s="197"/>
      <c r="K33" s="138">
        <f t="shared" si="9"/>
        <v>0</v>
      </c>
      <c r="L33" s="139">
        <f>K33*LOOKUP($K$8,Lists!$A$2:$A$812,IF($K$2="Non-Federal",Lists!$D$2:$D$812,Lists!$C$2:$C$812))</f>
        <v>0</v>
      </c>
      <c r="M33" s="232"/>
      <c r="N33" s="138">
        <f t="shared" ref="N33:N40" si="10">IFERROR(P33/12*M33,)</f>
        <v>0</v>
      </c>
      <c r="O33" s="139">
        <f>N33*LOOKUP($K$8,Lists!$A$2:$A$812,IF($K$2="Non-Federal",Lists!$D$2:$D$812,Lists!$C$2:$C$812))</f>
        <v>0</v>
      </c>
      <c r="P33" s="203"/>
      <c r="Q33" s="595"/>
      <c r="R33" s="603"/>
      <c r="S33" s="603"/>
      <c r="T33" s="603"/>
      <c r="U33" s="369" t="s">
        <v>230</v>
      </c>
      <c r="V33" s="115" t="s">
        <v>215</v>
      </c>
    </row>
    <row r="34" spans="1:22" s="2" customFormat="1" ht="14.25" hidden="1" customHeight="1">
      <c r="A34" s="183" t="s">
        <v>485</v>
      </c>
      <c r="B34" s="379"/>
      <c r="C34" s="178" t="s">
        <v>453</v>
      </c>
      <c r="D34" s="180" t="str">
        <f>"Other Professional"&amp;IF(B34&gt;1,"s",)</f>
        <v>Other Professional</v>
      </c>
      <c r="E34" s="180"/>
      <c r="F34" s="180"/>
      <c r="G34" s="433">
        <v>12</v>
      </c>
      <c r="H34" s="196">
        <f t="shared" si="8"/>
        <v>0</v>
      </c>
      <c r="I34" s="197"/>
      <c r="J34" s="197"/>
      <c r="K34" s="138">
        <f t="shared" si="9"/>
        <v>0</v>
      </c>
      <c r="L34" s="139">
        <f>K34*LOOKUP($K$8,Lists!$A$2:$A$812,IF($K$2="Non-Federal",Lists!$D$2:$D$812,Lists!$C$2:$C$812))</f>
        <v>0</v>
      </c>
      <c r="M34" s="232"/>
      <c r="N34" s="138">
        <f t="shared" si="10"/>
        <v>0</v>
      </c>
      <c r="O34" s="139">
        <f>N34*LOOKUP($K$8,Lists!$A$2:$A$812,IF($K$2="Non-Federal",Lists!$D$2:$D$812,Lists!$C$2:$C$812))</f>
        <v>0</v>
      </c>
      <c r="P34" s="203"/>
      <c r="Q34" s="595"/>
      <c r="R34" s="603"/>
      <c r="S34" s="603"/>
      <c r="T34" s="603"/>
      <c r="U34" s="369"/>
      <c r="V34" s="115" t="s">
        <v>489</v>
      </c>
    </row>
    <row r="35" spans="1:22" s="2" customFormat="1" ht="14.25" hidden="1" customHeight="1">
      <c r="A35" s="183" t="s">
        <v>486</v>
      </c>
      <c r="B35" s="379"/>
      <c r="C35" s="178" t="s">
        <v>453</v>
      </c>
      <c r="D35" s="180" t="str">
        <f>"Other Professional"&amp;IF(B35&gt;1,"s",)</f>
        <v>Other Professional</v>
      </c>
      <c r="E35" s="180"/>
      <c r="F35" s="180"/>
      <c r="G35" s="433">
        <v>12</v>
      </c>
      <c r="H35" s="196">
        <f t="shared" si="8"/>
        <v>0</v>
      </c>
      <c r="I35" s="197"/>
      <c r="J35" s="197"/>
      <c r="K35" s="138">
        <f t="shared" si="9"/>
        <v>0</v>
      </c>
      <c r="L35" s="139">
        <f>K35*LOOKUP($K$8,Lists!$A$2:$A$812,IF($K$2="Non-Federal",Lists!$D$2:$D$812,Lists!$C$2:$C$812))</f>
        <v>0</v>
      </c>
      <c r="M35" s="232"/>
      <c r="N35" s="138">
        <f t="shared" si="10"/>
        <v>0</v>
      </c>
      <c r="O35" s="139">
        <f>N35*LOOKUP($K$8,Lists!$A$2:$A$812,IF($K$2="Non-Federal",Lists!$D$2:$D$812,Lists!$C$2:$C$812))</f>
        <v>0</v>
      </c>
      <c r="P35" s="203"/>
      <c r="Q35" s="595"/>
      <c r="R35" s="603"/>
      <c r="S35" s="603"/>
      <c r="T35" s="603"/>
      <c r="U35" s="369"/>
      <c r="V35" s="115" t="s">
        <v>489</v>
      </c>
    </row>
    <row r="36" spans="1:22" s="2" customFormat="1" ht="14.25" hidden="1" customHeight="1">
      <c r="A36" s="183" t="s">
        <v>487</v>
      </c>
      <c r="B36" s="379"/>
      <c r="C36" s="178" t="s">
        <v>453</v>
      </c>
      <c r="D36" s="180" t="str">
        <f>"Other Professional"&amp;IF(B36&gt;1,"s",)</f>
        <v>Other Professional</v>
      </c>
      <c r="E36" s="180"/>
      <c r="F36" s="180"/>
      <c r="G36" s="433">
        <v>12</v>
      </c>
      <c r="H36" s="196">
        <f t="shared" si="8"/>
        <v>0</v>
      </c>
      <c r="I36" s="197"/>
      <c r="J36" s="197"/>
      <c r="K36" s="138">
        <f t="shared" si="9"/>
        <v>0</v>
      </c>
      <c r="L36" s="139">
        <f>K36*LOOKUP($K$8,Lists!$A$2:$A$812,IF($K$2="Non-Federal",Lists!$D$2:$D$812,Lists!$C$2:$C$812))</f>
        <v>0</v>
      </c>
      <c r="M36" s="232"/>
      <c r="N36" s="138">
        <f t="shared" si="10"/>
        <v>0</v>
      </c>
      <c r="O36" s="139">
        <f>N36*LOOKUP($K$8,Lists!$A$2:$A$812,IF($K$2="Non-Federal",Lists!$D$2:$D$812,Lists!$C$2:$C$812))</f>
        <v>0</v>
      </c>
      <c r="P36" s="203"/>
      <c r="Q36" s="595"/>
      <c r="R36" s="603"/>
      <c r="S36" s="603"/>
      <c r="T36" s="603"/>
      <c r="U36" s="369"/>
      <c r="V36" s="115" t="s">
        <v>489</v>
      </c>
    </row>
    <row r="37" spans="1:22" s="2" customFormat="1" ht="14.25" hidden="1" customHeight="1">
      <c r="A37" s="183" t="s">
        <v>488</v>
      </c>
      <c r="B37" s="379"/>
      <c r="C37" s="178" t="s">
        <v>453</v>
      </c>
      <c r="D37" s="180" t="str">
        <f>"Other Professional"&amp;IF(B37&gt;1,"s",)</f>
        <v>Other Professional</v>
      </c>
      <c r="E37" s="180"/>
      <c r="F37" s="180"/>
      <c r="G37" s="433">
        <v>12</v>
      </c>
      <c r="H37" s="196">
        <f t="shared" si="8"/>
        <v>0</v>
      </c>
      <c r="I37" s="197"/>
      <c r="J37" s="197"/>
      <c r="K37" s="138">
        <f t="shared" si="9"/>
        <v>0</v>
      </c>
      <c r="L37" s="139">
        <f>K37*LOOKUP($K$8,Lists!$A$2:$A$812,IF($K$2="Non-Federal",Lists!$D$2:$D$812,Lists!$C$2:$C$812))</f>
        <v>0</v>
      </c>
      <c r="M37" s="232"/>
      <c r="N37" s="138">
        <f t="shared" si="10"/>
        <v>0</v>
      </c>
      <c r="O37" s="139">
        <f>N37*LOOKUP($K$8,Lists!$A$2:$A$812,IF($K$2="Non-Federal",Lists!$D$2:$D$812,Lists!$C$2:$C$812))</f>
        <v>0</v>
      </c>
      <c r="P37" s="203"/>
      <c r="Q37" s="595"/>
      <c r="R37" s="603"/>
      <c r="S37" s="603"/>
      <c r="T37" s="603"/>
      <c r="U37" s="369"/>
      <c r="V37" s="115" t="s">
        <v>489</v>
      </c>
    </row>
    <row r="38" spans="1:22" s="2" customFormat="1" ht="14.25" customHeight="1">
      <c r="A38" s="183" t="s">
        <v>4</v>
      </c>
      <c r="B38" s="379"/>
      <c r="C38" s="178" t="s">
        <v>453</v>
      </c>
      <c r="D38" s="180" t="str">
        <f>"Graduate Student"&amp;IF(B38&gt;1,"s",)</f>
        <v>Graduate Student</v>
      </c>
      <c r="E38" s="180"/>
      <c r="F38" s="180"/>
      <c r="G38" s="433">
        <v>12</v>
      </c>
      <c r="H38" s="196">
        <f t="shared" si="8"/>
        <v>0</v>
      </c>
      <c r="I38" s="197"/>
      <c r="J38" s="197"/>
      <c r="K38" s="138">
        <f t="shared" si="9"/>
        <v>0</v>
      </c>
      <c r="L38" s="139">
        <f>K38*IF(K2="Federal",LOOKUP($K$8,Lists!$A$2:$A$812,Lists!$F$2:$F$812),0.1)</f>
        <v>0</v>
      </c>
      <c r="M38" s="232"/>
      <c r="N38" s="138">
        <f t="shared" si="10"/>
        <v>0</v>
      </c>
      <c r="O38" s="139">
        <f>N38*IF(K2="Federal",LOOKUP($K$8,Lists!$A$2:$A$812,Lists!$F$2:$F$812),0.1)</f>
        <v>0</v>
      </c>
      <c r="P38" s="203">
        <f>3979*12</f>
        <v>47748</v>
      </c>
      <c r="Q38" s="595"/>
      <c r="R38" s="603"/>
      <c r="S38" s="603"/>
      <c r="T38" s="603"/>
      <c r="U38" s="369" t="s">
        <v>600</v>
      </c>
      <c r="V38" s="115" t="s">
        <v>215</v>
      </c>
    </row>
    <row r="39" spans="1:22" s="2" customFormat="1" ht="14.25" customHeight="1">
      <c r="A39" s="183" t="s">
        <v>5</v>
      </c>
      <c r="B39" s="379"/>
      <c r="C39" s="178" t="s">
        <v>453</v>
      </c>
      <c r="D39" s="180" t="str">
        <f>"Undergraduate Student"&amp;IF(B39&gt;1,"s",)</f>
        <v>Undergraduate Student</v>
      </c>
      <c r="E39" s="180"/>
      <c r="F39" s="180"/>
      <c r="G39" s="433">
        <v>12</v>
      </c>
      <c r="H39" s="196">
        <f t="shared" si="8"/>
        <v>0</v>
      </c>
      <c r="I39" s="197"/>
      <c r="J39" s="197"/>
      <c r="K39" s="138">
        <f t="shared" si="9"/>
        <v>0</v>
      </c>
      <c r="L39" s="197"/>
      <c r="M39" s="232"/>
      <c r="N39" s="138">
        <f t="shared" si="10"/>
        <v>0</v>
      </c>
      <c r="O39" s="197"/>
      <c r="P39" s="203"/>
      <c r="Q39" s="595"/>
      <c r="R39" s="603"/>
      <c r="S39" s="603"/>
      <c r="T39" s="603"/>
      <c r="U39" s="369" t="s">
        <v>239</v>
      </c>
      <c r="V39" s="115" t="s">
        <v>215</v>
      </c>
    </row>
    <row r="40" spans="1:22" s="2" customFormat="1" ht="14.25" customHeight="1" thickBot="1">
      <c r="A40" s="183" t="s">
        <v>6</v>
      </c>
      <c r="B40" s="379"/>
      <c r="C40" s="178" t="s">
        <v>453</v>
      </c>
      <c r="D40" s="180" t="str">
        <f>"Other"&amp;IF(B40&gt;1,"s",)&amp;" (Carrying Statutory Benefits)"</f>
        <v>Other (Carrying Statutory Benefits)</v>
      </c>
      <c r="E40" s="180"/>
      <c r="F40" s="180"/>
      <c r="G40" s="433">
        <v>12</v>
      </c>
      <c r="H40" s="196">
        <f t="shared" si="8"/>
        <v>0</v>
      </c>
      <c r="I40" s="197"/>
      <c r="J40" s="197"/>
      <c r="K40" s="138">
        <f t="shared" si="9"/>
        <v>0</v>
      </c>
      <c r="L40" s="139">
        <f>K40*IF(K2="Federal",LOOKUP($K$8,Lists!$A$2:$A$812,Lists!$E$2:$E$812),0.065)</f>
        <v>0</v>
      </c>
      <c r="M40" s="232"/>
      <c r="N40" s="138">
        <f t="shared" si="10"/>
        <v>0</v>
      </c>
      <c r="O40" s="139">
        <f>N40*IF(K2="Federal",LOOKUP($K$8,Lists!$A$2:$A$812,Lists!$E$2:$E$812),0.065)</f>
        <v>0</v>
      </c>
      <c r="P40" s="203"/>
      <c r="Q40" s="595"/>
      <c r="R40" s="603"/>
      <c r="S40" s="603"/>
      <c r="T40" s="603"/>
      <c r="U40" s="369" t="s">
        <v>243</v>
      </c>
      <c r="V40" s="115" t="s">
        <v>215</v>
      </c>
    </row>
    <row r="41" spans="1:22" s="2" customFormat="1" ht="14.25" customHeight="1" thickBot="1">
      <c r="A41" s="161"/>
      <c r="B41" s="178" t="s">
        <v>86</v>
      </c>
      <c r="C41" s="162"/>
      <c r="D41" s="156"/>
      <c r="E41" s="156"/>
      <c r="F41" s="156"/>
      <c r="G41" s="156"/>
      <c r="H41" s="163"/>
      <c r="I41" s="164"/>
      <c r="J41" s="162"/>
      <c r="K41" s="697">
        <f>SUM(K30:K40)</f>
        <v>0</v>
      </c>
      <c r="L41" s="698"/>
      <c r="M41" s="229"/>
      <c r="N41" s="711">
        <f>SUM(N30:N40)</f>
        <v>0</v>
      </c>
      <c r="O41" s="712"/>
      <c r="P41" s="106"/>
      <c r="Q41" s="323"/>
      <c r="R41" s="323"/>
      <c r="S41" s="175"/>
      <c r="T41" s="367"/>
      <c r="U41" s="107"/>
      <c r="V41" s="115" t="s">
        <v>215</v>
      </c>
    </row>
    <row r="42" spans="1:22" s="2" customFormat="1" ht="14.25" customHeight="1" thickBot="1">
      <c r="A42" s="183" t="s">
        <v>87</v>
      </c>
      <c r="B42" s="162"/>
      <c r="C42" s="162"/>
      <c r="D42" s="154"/>
      <c r="E42" s="154"/>
      <c r="F42" s="165"/>
      <c r="G42" s="166"/>
      <c r="H42" s="167"/>
      <c r="I42" s="164"/>
      <c r="J42" s="162"/>
      <c r="K42" s="697">
        <f>SUM(L30:L40)</f>
        <v>0</v>
      </c>
      <c r="L42" s="698"/>
      <c r="M42" s="229"/>
      <c r="N42" s="711">
        <f>SUM(O30:O40)</f>
        <v>0</v>
      </c>
      <c r="O42" s="712"/>
      <c r="P42" s="108"/>
      <c r="Q42" s="109"/>
      <c r="R42" s="109"/>
      <c r="S42" s="109"/>
      <c r="T42" s="109"/>
      <c r="U42" s="110"/>
      <c r="V42" s="115" t="s">
        <v>215</v>
      </c>
    </row>
    <row r="43" spans="1:22" s="2" customFormat="1" ht="14.25" customHeight="1" thickBot="1">
      <c r="A43" s="146"/>
      <c r="B43" s="184" t="s">
        <v>202</v>
      </c>
      <c r="C43" s="147"/>
      <c r="D43" s="148"/>
      <c r="E43" s="148"/>
      <c r="F43" s="148"/>
      <c r="G43" s="148"/>
      <c r="H43" s="147"/>
      <c r="I43" s="147"/>
      <c r="J43" s="147"/>
      <c r="K43" s="697">
        <f>SUM(K41:K42)</f>
        <v>0</v>
      </c>
      <c r="L43" s="698"/>
      <c r="M43" s="229"/>
      <c r="N43" s="711">
        <f>SUM(N41:N42)</f>
        <v>0</v>
      </c>
      <c r="O43" s="712"/>
      <c r="P43" s="108"/>
      <c r="Q43" s="109"/>
      <c r="R43" s="109"/>
      <c r="S43" s="109"/>
      <c r="T43" s="109"/>
      <c r="U43" s="107"/>
      <c r="V43" s="115" t="s">
        <v>215</v>
      </c>
    </row>
    <row r="44" spans="1:22" s="2" customFormat="1" ht="14.25" customHeight="1" thickBot="1">
      <c r="A44" s="181" t="s">
        <v>203</v>
      </c>
      <c r="B44" s="142"/>
      <c r="C44" s="142"/>
      <c r="D44" s="143"/>
      <c r="E44" s="143"/>
      <c r="F44" s="143"/>
      <c r="G44" s="143"/>
      <c r="H44" s="142"/>
      <c r="I44" s="157"/>
      <c r="J44" s="142"/>
      <c r="K44" s="28"/>
      <c r="L44" s="29"/>
      <c r="M44" s="229"/>
      <c r="N44" s="28"/>
      <c r="O44" s="29"/>
      <c r="P44" s="730" t="s">
        <v>151</v>
      </c>
      <c r="Q44" s="730"/>
      <c r="R44" s="730"/>
      <c r="S44" s="730"/>
      <c r="T44" s="730"/>
      <c r="U44" s="368" t="s">
        <v>226</v>
      </c>
      <c r="V44" s="115" t="s">
        <v>215</v>
      </c>
    </row>
    <row r="45" spans="1:22" s="2" customFormat="1" ht="14.25" customHeight="1" thickBot="1">
      <c r="A45" s="160"/>
      <c r="B45" s="688"/>
      <c r="C45" s="689"/>
      <c r="D45" s="689"/>
      <c r="E45" s="689"/>
      <c r="F45" s="690"/>
      <c r="G45" s="158"/>
      <c r="H45" s="158"/>
      <c r="I45" s="185" t="s">
        <v>156</v>
      </c>
      <c r="J45" s="159"/>
      <c r="K45" s="608"/>
      <c r="L45" s="609"/>
      <c r="M45" s="229"/>
      <c r="N45" s="608"/>
      <c r="O45" s="609"/>
      <c r="P45" s="603"/>
      <c r="Q45" s="603"/>
      <c r="R45" s="603"/>
      <c r="S45" s="603"/>
      <c r="T45" s="603"/>
      <c r="U45" s="369" t="s">
        <v>240</v>
      </c>
      <c r="V45" s="115" t="s">
        <v>215</v>
      </c>
    </row>
    <row r="46" spans="1:22" s="2" customFormat="1" ht="14.25" hidden="1" customHeight="1" thickBot="1">
      <c r="A46" s="160"/>
      <c r="B46" s="688"/>
      <c r="C46" s="689"/>
      <c r="D46" s="689"/>
      <c r="E46" s="689"/>
      <c r="F46" s="690"/>
      <c r="G46" s="158"/>
      <c r="H46" s="158"/>
      <c r="I46" s="185" t="s">
        <v>157</v>
      </c>
      <c r="J46" s="159"/>
      <c r="K46" s="608"/>
      <c r="L46" s="609"/>
      <c r="M46" s="229"/>
      <c r="N46" s="608"/>
      <c r="O46" s="609"/>
      <c r="P46" s="109"/>
      <c r="Q46" s="109"/>
      <c r="R46" s="109"/>
      <c r="S46" s="109"/>
      <c r="T46" s="109"/>
      <c r="U46" s="107"/>
      <c r="V46" s="115" t="s">
        <v>483</v>
      </c>
    </row>
    <row r="47" spans="1:22" s="2" customFormat="1" ht="14.25" hidden="1" customHeight="1" thickBot="1">
      <c r="A47" s="160"/>
      <c r="B47" s="688"/>
      <c r="C47" s="689"/>
      <c r="D47" s="689"/>
      <c r="E47" s="689"/>
      <c r="F47" s="690"/>
      <c r="G47" s="158"/>
      <c r="H47" s="158"/>
      <c r="I47" s="185" t="s">
        <v>158</v>
      </c>
      <c r="J47" s="159"/>
      <c r="K47" s="608"/>
      <c r="L47" s="609"/>
      <c r="M47" s="229"/>
      <c r="N47" s="608"/>
      <c r="O47" s="609"/>
      <c r="P47" s="109"/>
      <c r="Q47" s="109"/>
      <c r="R47" s="109"/>
      <c r="S47" s="109"/>
      <c r="T47" s="109"/>
      <c r="U47" s="107"/>
      <c r="V47" s="115" t="s">
        <v>483</v>
      </c>
    </row>
    <row r="48" spans="1:22" s="2" customFormat="1" ht="14.25" hidden="1" customHeight="1" thickBot="1">
      <c r="A48" s="160"/>
      <c r="B48" s="688"/>
      <c r="C48" s="689"/>
      <c r="D48" s="689"/>
      <c r="E48" s="689"/>
      <c r="F48" s="690"/>
      <c r="G48" s="158"/>
      <c r="H48" s="158"/>
      <c r="I48" s="185" t="s">
        <v>159</v>
      </c>
      <c r="J48" s="159"/>
      <c r="K48" s="608"/>
      <c r="L48" s="609"/>
      <c r="M48" s="229"/>
      <c r="N48" s="608"/>
      <c r="O48" s="609"/>
      <c r="P48" s="109"/>
      <c r="Q48" s="109"/>
      <c r="R48" s="109"/>
      <c r="S48" s="109"/>
      <c r="T48" s="109"/>
      <c r="U48" s="107"/>
      <c r="V48" s="115" t="s">
        <v>483</v>
      </c>
    </row>
    <row r="49" spans="1:22" s="2" customFormat="1" ht="14.25" hidden="1" customHeight="1" thickBot="1">
      <c r="A49" s="160"/>
      <c r="B49" s="688"/>
      <c r="C49" s="689"/>
      <c r="D49" s="689"/>
      <c r="E49" s="689"/>
      <c r="F49" s="690"/>
      <c r="G49" s="158"/>
      <c r="H49" s="158"/>
      <c r="I49" s="185" t="s">
        <v>160</v>
      </c>
      <c r="J49" s="159"/>
      <c r="K49" s="608"/>
      <c r="L49" s="609"/>
      <c r="M49" s="229"/>
      <c r="N49" s="608"/>
      <c r="O49" s="609"/>
      <c r="P49" s="109"/>
      <c r="Q49" s="109"/>
      <c r="R49" s="109"/>
      <c r="S49" s="109"/>
      <c r="T49" s="109"/>
      <c r="U49" s="107"/>
      <c r="V49" s="115" t="s">
        <v>483</v>
      </c>
    </row>
    <row r="50" spans="1:22" s="2" customFormat="1" ht="14.25" customHeight="1" thickBot="1">
      <c r="A50" s="141"/>
      <c r="B50" s="189" t="s">
        <v>204</v>
      </c>
      <c r="C50" s="142"/>
      <c r="D50" s="143"/>
      <c r="E50" s="143"/>
      <c r="F50" s="143"/>
      <c r="G50" s="143"/>
      <c r="H50" s="154"/>
      <c r="I50" s="154"/>
      <c r="J50" s="365"/>
      <c r="K50" s="695">
        <f>SUM(K45:K49)</f>
        <v>0</v>
      </c>
      <c r="L50" s="696"/>
      <c r="M50" s="229"/>
      <c r="N50" s="738">
        <f>SUM(N45:N49)</f>
        <v>0</v>
      </c>
      <c r="O50" s="739"/>
      <c r="P50" s="109"/>
      <c r="Q50" s="109"/>
      <c r="R50" s="109"/>
      <c r="S50" s="109"/>
      <c r="T50" s="109"/>
      <c r="U50" s="107"/>
      <c r="V50" s="115" t="s">
        <v>215</v>
      </c>
    </row>
    <row r="51" spans="1:22" s="2" customFormat="1" ht="14.25" customHeight="1">
      <c r="A51" s="186" t="s">
        <v>205</v>
      </c>
      <c r="B51" s="184"/>
      <c r="C51" s="184"/>
      <c r="D51" s="187"/>
      <c r="E51" s="187"/>
      <c r="F51" s="364"/>
      <c r="G51" s="366" t="s">
        <v>454</v>
      </c>
      <c r="H51" s="691" t="s">
        <v>88</v>
      </c>
      <c r="I51" s="692"/>
      <c r="J51" s="692"/>
      <c r="K51" s="701">
        <f>IF(AND($A$5&lt;=$K$5,SUM('Travel Calculator'!$L$14:$M$14)&gt;0),('Travel Calculator'!$L$9*(1-'Travel Calculator'!$N$4)),)</f>
        <v>0</v>
      </c>
      <c r="L51" s="702"/>
      <c r="M51" s="229"/>
      <c r="N51" s="701"/>
      <c r="O51" s="702"/>
      <c r="P51" s="109"/>
      <c r="Q51" s="109"/>
      <c r="R51" s="109"/>
      <c r="S51" s="109"/>
      <c r="T51" s="109"/>
      <c r="U51" s="107"/>
      <c r="V51" s="115" t="s">
        <v>215</v>
      </c>
    </row>
    <row r="52" spans="1:22" s="2" customFormat="1" ht="14.25" customHeight="1" thickBot="1">
      <c r="A52" s="186"/>
      <c r="B52" s="184"/>
      <c r="C52" s="184"/>
      <c r="D52" s="187"/>
      <c r="E52" s="187"/>
      <c r="F52" s="364"/>
      <c r="G52" s="366" t="s">
        <v>455</v>
      </c>
      <c r="H52" s="691" t="s">
        <v>89</v>
      </c>
      <c r="I52" s="692"/>
      <c r="J52" s="692"/>
      <c r="K52" s="699">
        <f>IF(AND($A$5&lt;=$K$5,SUM('Travel Calculator'!$L$14:$M$14)&gt;0),('Travel Calculator'!$M$9*(1-'Travel Calculator'!$N$4)),)</f>
        <v>0</v>
      </c>
      <c r="L52" s="700"/>
      <c r="M52" s="229"/>
      <c r="N52" s="699">
        <f>IF(AND($A$5&lt;=$K$5,SUM('Travel Calculator'!$L$14:$M$14)&gt;0),('Travel Calculator'!$M$9*('Travel Calculator'!$N$4)),)</f>
        <v>0</v>
      </c>
      <c r="O52" s="700"/>
      <c r="P52" s="730" t="s">
        <v>152</v>
      </c>
      <c r="Q52" s="730"/>
      <c r="R52" s="730"/>
      <c r="S52" s="730"/>
      <c r="T52" s="730"/>
      <c r="U52" s="368" t="s">
        <v>226</v>
      </c>
      <c r="V52" s="115" t="s">
        <v>215</v>
      </c>
    </row>
    <row r="53" spans="1:22" s="2" customFormat="1" ht="14.25" customHeight="1" thickBot="1">
      <c r="A53" s="170"/>
      <c r="B53" s="176"/>
      <c r="C53" s="176"/>
      <c r="D53" s="190"/>
      <c r="E53" s="190"/>
      <c r="F53" s="190"/>
      <c r="G53" s="190"/>
      <c r="H53" s="693" t="s">
        <v>104</v>
      </c>
      <c r="I53" s="693"/>
      <c r="J53" s="694"/>
      <c r="K53" s="697">
        <f>K51+K52</f>
        <v>0</v>
      </c>
      <c r="L53" s="698"/>
      <c r="M53" s="229"/>
      <c r="N53" s="711">
        <f>N51+N52</f>
        <v>0</v>
      </c>
      <c r="O53" s="740"/>
      <c r="P53" s="603"/>
      <c r="Q53" s="603"/>
      <c r="R53" s="603"/>
      <c r="S53" s="603"/>
      <c r="T53" s="603"/>
      <c r="U53" s="369" t="s">
        <v>242</v>
      </c>
      <c r="V53" s="115" t="s">
        <v>215</v>
      </c>
    </row>
    <row r="54" spans="1:22" s="2" customFormat="1" ht="14.25" customHeight="1">
      <c r="A54" s="186" t="s">
        <v>206</v>
      </c>
      <c r="B54" s="184"/>
      <c r="C54" s="184"/>
      <c r="D54" s="187"/>
      <c r="E54" s="187"/>
      <c r="F54" s="187"/>
      <c r="G54" s="187"/>
      <c r="H54" s="184"/>
      <c r="I54" s="191"/>
      <c r="J54" s="184"/>
      <c r="K54" s="30"/>
      <c r="L54" s="31"/>
      <c r="M54" s="229"/>
      <c r="N54" s="30"/>
      <c r="O54" s="370"/>
      <c r="P54" s="730" t="s">
        <v>220</v>
      </c>
      <c r="Q54" s="730"/>
      <c r="R54" s="730"/>
      <c r="S54" s="730"/>
      <c r="T54" s="730"/>
      <c r="U54" s="368" t="s">
        <v>226</v>
      </c>
      <c r="V54" s="115" t="s">
        <v>215</v>
      </c>
    </row>
    <row r="55" spans="1:22" s="2" customFormat="1" ht="14.25" customHeight="1">
      <c r="A55" s="186"/>
      <c r="B55" s="192">
        <v>1</v>
      </c>
      <c r="C55" s="622" t="s">
        <v>207</v>
      </c>
      <c r="D55" s="622"/>
      <c r="E55" s="622"/>
      <c r="F55" s="622"/>
      <c r="G55" s="622"/>
      <c r="H55" s="622"/>
      <c r="I55" s="622"/>
      <c r="J55" s="691"/>
      <c r="K55" s="608"/>
      <c r="L55" s="609"/>
      <c r="M55" s="229"/>
      <c r="N55" s="608"/>
      <c r="O55" s="706"/>
      <c r="P55" s="603"/>
      <c r="Q55" s="603"/>
      <c r="R55" s="603"/>
      <c r="S55" s="603"/>
      <c r="T55" s="603"/>
      <c r="U55" s="369" t="s">
        <v>232</v>
      </c>
      <c r="V55" s="115" t="s">
        <v>215</v>
      </c>
    </row>
    <row r="56" spans="1:22" s="2" customFormat="1" ht="14.25" customHeight="1">
      <c r="A56" s="186"/>
      <c r="B56" s="192">
        <v>2</v>
      </c>
      <c r="C56" s="622" t="s">
        <v>208</v>
      </c>
      <c r="D56" s="622"/>
      <c r="E56" s="622"/>
      <c r="F56" s="622"/>
      <c r="G56" s="622"/>
      <c r="H56" s="622"/>
      <c r="I56" s="622"/>
      <c r="J56" s="691"/>
      <c r="K56" s="608"/>
      <c r="L56" s="609"/>
      <c r="M56" s="229"/>
      <c r="N56" s="608"/>
      <c r="O56" s="706"/>
      <c r="P56" s="603"/>
      <c r="Q56" s="603"/>
      <c r="R56" s="603"/>
      <c r="S56" s="603"/>
      <c r="T56" s="603"/>
      <c r="U56" s="369" t="s">
        <v>233</v>
      </c>
      <c r="V56" s="115" t="s">
        <v>215</v>
      </c>
    </row>
    <row r="57" spans="1:22" s="2" customFormat="1" ht="14.25" customHeight="1">
      <c r="A57" s="186"/>
      <c r="B57" s="192">
        <v>3</v>
      </c>
      <c r="C57" s="622" t="s">
        <v>209</v>
      </c>
      <c r="D57" s="622"/>
      <c r="E57" s="622"/>
      <c r="F57" s="622"/>
      <c r="G57" s="622"/>
      <c r="H57" s="622"/>
      <c r="I57" s="622"/>
      <c r="J57" s="691"/>
      <c r="K57" s="608"/>
      <c r="L57" s="609"/>
      <c r="M57" s="229"/>
      <c r="N57" s="608"/>
      <c r="O57" s="706"/>
      <c r="P57" s="603"/>
      <c r="Q57" s="603"/>
      <c r="R57" s="603"/>
      <c r="S57" s="603"/>
      <c r="T57" s="603"/>
      <c r="U57" s="369" t="s">
        <v>234</v>
      </c>
      <c r="V57" s="115" t="s">
        <v>215</v>
      </c>
    </row>
    <row r="58" spans="1:22" s="2" customFormat="1" ht="14.25" customHeight="1">
      <c r="A58" s="186"/>
      <c r="B58" s="192">
        <v>4</v>
      </c>
      <c r="C58" s="622" t="s">
        <v>210</v>
      </c>
      <c r="D58" s="622"/>
      <c r="E58" s="622"/>
      <c r="F58" s="622"/>
      <c r="G58" s="622"/>
      <c r="H58" s="622"/>
      <c r="I58" s="622"/>
      <c r="J58" s="691"/>
      <c r="K58" s="608"/>
      <c r="L58" s="609"/>
      <c r="M58" s="229"/>
      <c r="N58" s="608"/>
      <c r="O58" s="706"/>
      <c r="P58" s="603"/>
      <c r="Q58" s="603"/>
      <c r="R58" s="603"/>
      <c r="S58" s="603"/>
      <c r="T58" s="603"/>
      <c r="U58" s="369" t="s">
        <v>235</v>
      </c>
      <c r="V58" s="115" t="s">
        <v>215</v>
      </c>
    </row>
    <row r="59" spans="1:22" s="2" customFormat="1" ht="14.25" customHeight="1">
      <c r="A59" s="186"/>
      <c r="B59" s="192">
        <v>5</v>
      </c>
      <c r="C59" s="622" t="s">
        <v>211</v>
      </c>
      <c r="D59" s="622"/>
      <c r="E59" s="622"/>
      <c r="F59" s="622"/>
      <c r="G59" s="622"/>
      <c r="H59" s="622"/>
      <c r="I59" s="622"/>
      <c r="J59" s="691"/>
      <c r="K59" s="707">
        <f>SUM((H38/12)*LOOKUP(K8,Lists!A2:A812,Lists!K2:K812))</f>
        <v>0</v>
      </c>
      <c r="L59" s="708"/>
      <c r="M59" s="229"/>
      <c r="N59" s="756">
        <f>SUM((M38/12)*LOOKUP(K8,Lists!A2:A812,Lists!K2:K812))</f>
        <v>0</v>
      </c>
      <c r="O59" s="757"/>
      <c r="P59" s="730" t="s">
        <v>154</v>
      </c>
      <c r="Q59" s="730"/>
      <c r="R59" s="730"/>
      <c r="S59" s="730"/>
      <c r="T59" s="730"/>
      <c r="U59" s="368" t="s">
        <v>226</v>
      </c>
      <c r="V59" s="115" t="s">
        <v>215</v>
      </c>
    </row>
    <row r="60" spans="1:22" s="2" customFormat="1" ht="14.25" customHeight="1">
      <c r="A60" s="186"/>
      <c r="B60" s="192">
        <v>6</v>
      </c>
      <c r="C60" s="622" t="s">
        <v>212</v>
      </c>
      <c r="D60" s="622"/>
      <c r="E60" s="622"/>
      <c r="F60" s="622"/>
      <c r="G60" s="622"/>
      <c r="H60" s="622"/>
      <c r="I60" s="622"/>
      <c r="J60" s="691"/>
      <c r="K60" s="608"/>
      <c r="L60" s="609"/>
      <c r="M60" s="229"/>
      <c r="N60" s="608"/>
      <c r="O60" s="706"/>
      <c r="P60" s="603"/>
      <c r="Q60" s="603"/>
      <c r="R60" s="603"/>
      <c r="S60" s="603"/>
      <c r="T60" s="603"/>
      <c r="U60" s="369" t="s">
        <v>236</v>
      </c>
      <c r="V60" s="115" t="s">
        <v>215</v>
      </c>
    </row>
    <row r="61" spans="1:22" s="2" customFormat="1" ht="14.25" customHeight="1" thickBot="1">
      <c r="A61" s="186"/>
      <c r="B61" s="192">
        <v>7</v>
      </c>
      <c r="C61" s="622" t="s">
        <v>279</v>
      </c>
      <c r="D61" s="622"/>
      <c r="E61" s="622"/>
      <c r="F61" s="622"/>
      <c r="G61" s="622"/>
      <c r="H61" s="622"/>
      <c r="I61" s="622"/>
      <c r="J61" s="691"/>
      <c r="K61" s="608"/>
      <c r="L61" s="609"/>
      <c r="M61" s="229"/>
      <c r="N61" s="608"/>
      <c r="O61" s="706"/>
      <c r="P61" s="193" t="s">
        <v>143</v>
      </c>
      <c r="Q61" s="193"/>
      <c r="R61" s="730" t="s">
        <v>153</v>
      </c>
      <c r="S61" s="730"/>
      <c r="T61" s="730"/>
      <c r="U61" s="368" t="s">
        <v>226</v>
      </c>
      <c r="V61" s="115" t="s">
        <v>215</v>
      </c>
    </row>
    <row r="62" spans="1:22" s="2" customFormat="1" ht="14.25" customHeight="1" thickBot="1">
      <c r="A62" s="170"/>
      <c r="B62" s="231">
        <v>8</v>
      </c>
      <c r="C62" s="622" t="s">
        <v>561</v>
      </c>
      <c r="D62" s="622"/>
      <c r="E62" s="620" t="s">
        <v>288</v>
      </c>
      <c r="F62" s="621"/>
      <c r="G62" s="610">
        <f>'Subaward Calculator'!B8</f>
        <v>0</v>
      </c>
      <c r="H62" s="611"/>
      <c r="I62" s="612"/>
      <c r="J62" s="371">
        <f>IF(K62&lt;25000,25000-K62,0)</f>
        <v>25000</v>
      </c>
      <c r="K62" s="613">
        <f>'Subaward Calculator'!E9</f>
        <v>0</v>
      </c>
      <c r="L62" s="703"/>
      <c r="M62" s="229"/>
      <c r="N62" s="613">
        <f>'Subaward Calculator'!G9</f>
        <v>0</v>
      </c>
      <c r="O62" s="614"/>
      <c r="P62" s="482">
        <f>'Subaward Calculator'!B9</f>
        <v>0</v>
      </c>
      <c r="Q62" s="482"/>
      <c r="R62" s="603"/>
      <c r="S62" s="603"/>
      <c r="T62" s="603"/>
      <c r="U62" s="369" t="s">
        <v>237</v>
      </c>
      <c r="V62" s="115" t="s">
        <v>215</v>
      </c>
    </row>
    <row r="63" spans="1:22" s="2" customFormat="1" ht="14.25" hidden="1" customHeight="1" thickBot="1">
      <c r="A63" s="186"/>
      <c r="B63" s="231">
        <v>9</v>
      </c>
      <c r="C63" s="622" t="s">
        <v>562</v>
      </c>
      <c r="D63" s="622"/>
      <c r="E63" s="620" t="s">
        <v>288</v>
      </c>
      <c r="F63" s="621"/>
      <c r="G63" s="610">
        <f>'Subaward Calculator'!B11</f>
        <v>0</v>
      </c>
      <c r="H63" s="611"/>
      <c r="I63" s="612"/>
      <c r="J63" s="371">
        <f t="shared" ref="J63:J73" si="11">IF(K63&lt;25000,25000-K63,0)</f>
        <v>25000</v>
      </c>
      <c r="K63" s="613">
        <f>'Subaward Calculator'!E12</f>
        <v>0</v>
      </c>
      <c r="L63" s="703"/>
      <c r="M63" s="229"/>
      <c r="N63" s="613">
        <f>'Subaward Calculator'!G12</f>
        <v>0</v>
      </c>
      <c r="O63" s="614"/>
      <c r="P63" s="482">
        <f>'Subaward Calculator'!B12</f>
        <v>0</v>
      </c>
      <c r="Q63" s="482"/>
      <c r="R63" s="603"/>
      <c r="S63" s="603"/>
      <c r="T63" s="603"/>
      <c r="U63" s="369" t="s">
        <v>238</v>
      </c>
      <c r="V63" s="115" t="s">
        <v>218</v>
      </c>
    </row>
    <row r="64" spans="1:22" s="2" customFormat="1" ht="14.25" hidden="1" customHeight="1" thickBot="1">
      <c r="A64" s="186"/>
      <c r="B64" s="231">
        <v>10</v>
      </c>
      <c r="C64" s="622" t="s">
        <v>563</v>
      </c>
      <c r="D64" s="622"/>
      <c r="E64" s="620" t="s">
        <v>288</v>
      </c>
      <c r="F64" s="621"/>
      <c r="G64" s="610">
        <f>'Subaward Calculator'!B14</f>
        <v>0</v>
      </c>
      <c r="H64" s="611"/>
      <c r="I64" s="612"/>
      <c r="J64" s="371">
        <f t="shared" si="11"/>
        <v>25000</v>
      </c>
      <c r="K64" s="613">
        <f>'Subaward Calculator'!E15</f>
        <v>0</v>
      </c>
      <c r="L64" s="703"/>
      <c r="M64" s="229"/>
      <c r="N64" s="613">
        <f>'Subaward Calculator'!G15</f>
        <v>0</v>
      </c>
      <c r="O64" s="614"/>
      <c r="P64" s="482">
        <f>'Subaward Calculator'!B15</f>
        <v>0</v>
      </c>
      <c r="Q64" s="482"/>
      <c r="R64" s="603"/>
      <c r="S64" s="603"/>
      <c r="T64" s="603"/>
      <c r="U64" s="369" t="s">
        <v>241</v>
      </c>
      <c r="V64" s="115" t="s">
        <v>218</v>
      </c>
    </row>
    <row r="65" spans="1:22" s="2" customFormat="1" ht="14.25" hidden="1" customHeight="1" thickBot="1">
      <c r="A65" s="186"/>
      <c r="B65" s="231">
        <v>11</v>
      </c>
      <c r="C65" s="622" t="s">
        <v>564</v>
      </c>
      <c r="D65" s="622"/>
      <c r="E65" s="620" t="s">
        <v>288</v>
      </c>
      <c r="F65" s="621"/>
      <c r="G65" s="610">
        <f>'Subaward Calculator'!B17</f>
        <v>0</v>
      </c>
      <c r="H65" s="611"/>
      <c r="I65" s="612"/>
      <c r="J65" s="371">
        <f t="shared" si="11"/>
        <v>25000</v>
      </c>
      <c r="K65" s="613">
        <f>'Subaward Calculator'!E18</f>
        <v>0</v>
      </c>
      <c r="L65" s="703"/>
      <c r="M65" s="229"/>
      <c r="N65" s="613">
        <f>'Subaward Calculator'!G18</f>
        <v>0</v>
      </c>
      <c r="O65" s="614"/>
      <c r="P65" s="482">
        <f>'Subaward Calculator'!B18</f>
        <v>0</v>
      </c>
      <c r="Q65" s="482"/>
      <c r="R65" s="603"/>
      <c r="S65" s="603"/>
      <c r="T65" s="603"/>
      <c r="U65" s="369" t="s">
        <v>237</v>
      </c>
      <c r="V65" s="115" t="s">
        <v>218</v>
      </c>
    </row>
    <row r="66" spans="1:22" s="2" customFormat="1" ht="14.25" hidden="1" customHeight="1" thickBot="1">
      <c r="A66" s="186"/>
      <c r="B66" s="231">
        <v>12</v>
      </c>
      <c r="C66" s="622" t="s">
        <v>565</v>
      </c>
      <c r="D66" s="622"/>
      <c r="E66" s="620" t="s">
        <v>288</v>
      </c>
      <c r="F66" s="621"/>
      <c r="G66" s="610">
        <f>'Subaward Calculator'!B20</f>
        <v>0</v>
      </c>
      <c r="H66" s="611"/>
      <c r="I66" s="612"/>
      <c r="J66" s="371">
        <f t="shared" si="11"/>
        <v>25000</v>
      </c>
      <c r="K66" s="613">
        <f>'Subaward Calculator'!E21</f>
        <v>0</v>
      </c>
      <c r="L66" s="703"/>
      <c r="M66" s="229"/>
      <c r="N66" s="613">
        <f>'Subaward Calculator'!G21</f>
        <v>0</v>
      </c>
      <c r="O66" s="614"/>
      <c r="P66" s="482">
        <f>'Subaward Calculator'!B21</f>
        <v>0</v>
      </c>
      <c r="Q66" s="482"/>
      <c r="R66" s="603"/>
      <c r="S66" s="603"/>
      <c r="T66" s="603"/>
      <c r="U66" s="369" t="s">
        <v>238</v>
      </c>
      <c r="V66" s="115" t="s">
        <v>218</v>
      </c>
    </row>
    <row r="67" spans="1:22" s="2" customFormat="1" ht="14.25" hidden="1" customHeight="1" thickBot="1">
      <c r="A67" s="186"/>
      <c r="B67" s="231">
        <v>13</v>
      </c>
      <c r="C67" s="622" t="s">
        <v>566</v>
      </c>
      <c r="D67" s="622"/>
      <c r="E67" s="620" t="s">
        <v>288</v>
      </c>
      <c r="F67" s="621"/>
      <c r="G67" s="610">
        <f>'Subaward Calculator'!B23</f>
        <v>0</v>
      </c>
      <c r="H67" s="611"/>
      <c r="I67" s="612"/>
      <c r="J67" s="371">
        <f t="shared" si="11"/>
        <v>25000</v>
      </c>
      <c r="K67" s="613">
        <f>'Subaward Calculator'!E24</f>
        <v>0</v>
      </c>
      <c r="L67" s="703"/>
      <c r="M67" s="229"/>
      <c r="N67" s="613">
        <f>'Subaward Calculator'!G24</f>
        <v>0</v>
      </c>
      <c r="O67" s="614"/>
      <c r="P67" s="482">
        <f>'Subaward Calculator'!B24</f>
        <v>0</v>
      </c>
      <c r="Q67" s="482"/>
      <c r="R67" s="603"/>
      <c r="S67" s="603"/>
      <c r="T67" s="603"/>
      <c r="U67" s="369" t="s">
        <v>241</v>
      </c>
      <c r="V67" s="115" t="s">
        <v>218</v>
      </c>
    </row>
    <row r="68" spans="1:22" s="2" customFormat="1" ht="14.25" hidden="1" customHeight="1" thickBot="1">
      <c r="A68" s="186"/>
      <c r="B68" s="231">
        <v>14</v>
      </c>
      <c r="C68" s="622" t="s">
        <v>567</v>
      </c>
      <c r="D68" s="622"/>
      <c r="E68" s="620" t="s">
        <v>288</v>
      </c>
      <c r="F68" s="621"/>
      <c r="G68" s="610">
        <f>'Subaward Calculator'!B26</f>
        <v>0</v>
      </c>
      <c r="H68" s="611"/>
      <c r="I68" s="612"/>
      <c r="J68" s="371">
        <f t="shared" si="11"/>
        <v>25000</v>
      </c>
      <c r="K68" s="613">
        <f>'Subaward Calculator'!E27</f>
        <v>0</v>
      </c>
      <c r="L68" s="703"/>
      <c r="M68" s="229"/>
      <c r="N68" s="613">
        <f>'Subaward Calculator'!G27</f>
        <v>0</v>
      </c>
      <c r="O68" s="614"/>
      <c r="P68" s="482">
        <f>'Subaward Calculator'!B27</f>
        <v>0</v>
      </c>
      <c r="Q68" s="482"/>
      <c r="R68" s="603"/>
      <c r="S68" s="603"/>
      <c r="T68" s="603"/>
      <c r="U68" s="369" t="s">
        <v>237</v>
      </c>
      <c r="V68" s="115" t="s">
        <v>219</v>
      </c>
    </row>
    <row r="69" spans="1:22" s="2" customFormat="1" ht="14.25" hidden="1" customHeight="1" thickBot="1">
      <c r="A69" s="186"/>
      <c r="B69" s="231">
        <v>15</v>
      </c>
      <c r="C69" s="622" t="s">
        <v>568</v>
      </c>
      <c r="D69" s="622"/>
      <c r="E69" s="620" t="s">
        <v>288</v>
      </c>
      <c r="F69" s="621"/>
      <c r="G69" s="610">
        <f>'Subaward Calculator'!B29</f>
        <v>0</v>
      </c>
      <c r="H69" s="611"/>
      <c r="I69" s="612"/>
      <c r="J69" s="371">
        <f t="shared" si="11"/>
        <v>25000</v>
      </c>
      <c r="K69" s="613">
        <f>'Subaward Calculator'!E30</f>
        <v>0</v>
      </c>
      <c r="L69" s="703"/>
      <c r="M69" s="229"/>
      <c r="N69" s="613">
        <f>'Subaward Calculator'!G30</f>
        <v>0</v>
      </c>
      <c r="O69" s="614"/>
      <c r="P69" s="482">
        <f>'Subaward Calculator'!B30</f>
        <v>0</v>
      </c>
      <c r="Q69" s="482"/>
      <c r="R69" s="603"/>
      <c r="S69" s="603"/>
      <c r="T69" s="603"/>
      <c r="U69" s="369" t="s">
        <v>238</v>
      </c>
      <c r="V69" s="115" t="s">
        <v>219</v>
      </c>
    </row>
    <row r="70" spans="1:22" s="2" customFormat="1" ht="14.25" hidden="1" customHeight="1" thickBot="1">
      <c r="A70" s="186"/>
      <c r="B70" s="231">
        <v>16</v>
      </c>
      <c r="C70" s="622" t="s">
        <v>569</v>
      </c>
      <c r="D70" s="622"/>
      <c r="E70" s="620" t="s">
        <v>288</v>
      </c>
      <c r="F70" s="621"/>
      <c r="G70" s="610">
        <f>'Subaward Calculator'!B32</f>
        <v>0</v>
      </c>
      <c r="H70" s="611"/>
      <c r="I70" s="612"/>
      <c r="J70" s="371">
        <f t="shared" si="11"/>
        <v>25000</v>
      </c>
      <c r="K70" s="613">
        <f>'Subaward Calculator'!E33</f>
        <v>0</v>
      </c>
      <c r="L70" s="703"/>
      <c r="M70" s="229"/>
      <c r="N70" s="613">
        <f>'Subaward Calculator'!G33</f>
        <v>0</v>
      </c>
      <c r="O70" s="614"/>
      <c r="P70" s="482">
        <f>'Subaward Calculator'!B33</f>
        <v>0</v>
      </c>
      <c r="Q70" s="482"/>
      <c r="R70" s="603"/>
      <c r="S70" s="603"/>
      <c r="T70" s="603"/>
      <c r="U70" s="369" t="s">
        <v>241</v>
      </c>
      <c r="V70" s="115" t="s">
        <v>219</v>
      </c>
    </row>
    <row r="71" spans="1:22" s="2" customFormat="1" ht="14.25" hidden="1" customHeight="1" thickBot="1">
      <c r="A71" s="186"/>
      <c r="B71" s="231">
        <v>17</v>
      </c>
      <c r="C71" s="622" t="s">
        <v>570</v>
      </c>
      <c r="D71" s="622"/>
      <c r="E71" s="620" t="s">
        <v>288</v>
      </c>
      <c r="F71" s="621"/>
      <c r="G71" s="610">
        <f>'Subaward Calculator'!B35</f>
        <v>0</v>
      </c>
      <c r="H71" s="611"/>
      <c r="I71" s="612"/>
      <c r="J71" s="371">
        <f t="shared" si="11"/>
        <v>25000</v>
      </c>
      <c r="K71" s="613">
        <f>'Subaward Calculator'!E36</f>
        <v>0</v>
      </c>
      <c r="L71" s="703"/>
      <c r="M71" s="229"/>
      <c r="N71" s="613">
        <f>'Subaward Calculator'!G36</f>
        <v>0</v>
      </c>
      <c r="O71" s="614"/>
      <c r="P71" s="482">
        <f>'Subaward Calculator'!B36</f>
        <v>0</v>
      </c>
      <c r="Q71" s="482"/>
      <c r="R71" s="603"/>
      <c r="S71" s="603"/>
      <c r="T71" s="603"/>
      <c r="U71" s="369" t="s">
        <v>237</v>
      </c>
      <c r="V71" s="115" t="s">
        <v>219</v>
      </c>
    </row>
    <row r="72" spans="1:22" s="2" customFormat="1" ht="14.25" hidden="1" customHeight="1" thickBot="1">
      <c r="A72" s="186"/>
      <c r="B72" s="231">
        <v>18</v>
      </c>
      <c r="C72" s="622" t="s">
        <v>571</v>
      </c>
      <c r="D72" s="622"/>
      <c r="E72" s="620" t="s">
        <v>288</v>
      </c>
      <c r="F72" s="621"/>
      <c r="G72" s="610">
        <f>'Subaward Calculator'!B38</f>
        <v>0</v>
      </c>
      <c r="H72" s="611"/>
      <c r="I72" s="612"/>
      <c r="J72" s="371">
        <f t="shared" si="11"/>
        <v>25000</v>
      </c>
      <c r="K72" s="613">
        <f>'Subaward Calculator'!E39</f>
        <v>0</v>
      </c>
      <c r="L72" s="703"/>
      <c r="M72" s="229"/>
      <c r="N72" s="613">
        <f>'Subaward Calculator'!G39</f>
        <v>0</v>
      </c>
      <c r="O72" s="614"/>
      <c r="P72" s="482">
        <f>'Subaward Calculator'!B39</f>
        <v>0</v>
      </c>
      <c r="Q72" s="482"/>
      <c r="R72" s="603"/>
      <c r="S72" s="603"/>
      <c r="T72" s="603"/>
      <c r="U72" s="369" t="s">
        <v>238</v>
      </c>
      <c r="V72" s="115" t="s">
        <v>219</v>
      </c>
    </row>
    <row r="73" spans="1:22" s="2" customFormat="1" ht="14.25" hidden="1" customHeight="1" thickBot="1">
      <c r="A73" s="186"/>
      <c r="B73" s="231">
        <v>19</v>
      </c>
      <c r="C73" s="622" t="s">
        <v>572</v>
      </c>
      <c r="D73" s="622"/>
      <c r="E73" s="620" t="s">
        <v>288</v>
      </c>
      <c r="F73" s="621"/>
      <c r="G73" s="610">
        <f>'Subaward Calculator'!B41</f>
        <v>0</v>
      </c>
      <c r="H73" s="611"/>
      <c r="I73" s="612"/>
      <c r="J73" s="371">
        <f t="shared" si="11"/>
        <v>25000</v>
      </c>
      <c r="K73" s="613">
        <f>'Subaward Calculator'!E42</f>
        <v>0</v>
      </c>
      <c r="L73" s="703"/>
      <c r="M73" s="229"/>
      <c r="N73" s="613">
        <f>'Subaward Calculator'!G42</f>
        <v>0</v>
      </c>
      <c r="O73" s="614"/>
      <c r="P73" s="482">
        <f>'Subaward Calculator'!B42</f>
        <v>0</v>
      </c>
      <c r="Q73" s="482"/>
      <c r="R73" s="603"/>
      <c r="S73" s="603"/>
      <c r="T73" s="603"/>
      <c r="U73" s="369" t="s">
        <v>241</v>
      </c>
      <c r="V73" s="115" t="s">
        <v>219</v>
      </c>
    </row>
    <row r="74" spans="1:22" s="2" customFormat="1" ht="14.25" customHeight="1" thickBot="1">
      <c r="A74" s="186" t="s">
        <v>90</v>
      </c>
      <c r="B74" s="147"/>
      <c r="C74" s="147"/>
      <c r="D74" s="150"/>
      <c r="E74" s="151"/>
      <c r="F74" s="151"/>
      <c r="G74" s="151"/>
      <c r="H74" s="147"/>
      <c r="I74" s="149"/>
      <c r="J74" s="147"/>
      <c r="K74" s="697">
        <f>SUM(K55:K73)</f>
        <v>0</v>
      </c>
      <c r="L74" s="698"/>
      <c r="M74" s="229"/>
      <c r="N74" s="711">
        <f>SUM(N55:N73)</f>
        <v>0</v>
      </c>
      <c r="O74" s="712"/>
      <c r="P74" s="236"/>
      <c r="Q74" s="229"/>
      <c r="R74" s="229"/>
      <c r="S74" s="229"/>
      <c r="T74" s="229"/>
      <c r="U74" s="237"/>
      <c r="V74" s="115" t="s">
        <v>215</v>
      </c>
    </row>
    <row r="75" spans="1:22" s="2" customFormat="1" ht="14.25" customHeight="1" thickBot="1">
      <c r="A75" s="186" t="s">
        <v>577</v>
      </c>
      <c r="B75" s="147"/>
      <c r="C75" s="147"/>
      <c r="D75" s="148"/>
      <c r="E75" s="148"/>
      <c r="F75" s="148"/>
      <c r="G75" s="148"/>
      <c r="H75" s="147"/>
      <c r="I75" s="149"/>
      <c r="J75" s="147"/>
      <c r="K75" s="697">
        <f>SUM(K43+K50+K53+K74)</f>
        <v>0</v>
      </c>
      <c r="L75" s="698"/>
      <c r="M75" s="229"/>
      <c r="N75" s="711">
        <f>SUM(N43+N50+N53+N74)</f>
        <v>0</v>
      </c>
      <c r="O75" s="712"/>
      <c r="P75" s="236"/>
      <c r="Q75" s="229"/>
      <c r="R75" s="229"/>
      <c r="S75" s="229"/>
      <c r="T75" s="229"/>
      <c r="U75" s="238"/>
      <c r="V75" s="115" t="s">
        <v>215</v>
      </c>
    </row>
    <row r="76" spans="1:22"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Calculator'!AD46=0),"",SUM(K43+K50+K53+K74)-'Subaward Calculator'!E46+'Subaward Calculator'!E44),"")</f>
        <v/>
      </c>
      <c r="L76" s="698"/>
      <c r="M76" s="229"/>
      <c r="N76" s="239"/>
      <c r="O76" s="240"/>
      <c r="P76" s="229"/>
      <c r="Q76" s="229"/>
      <c r="R76" s="229"/>
      <c r="S76" s="229"/>
      <c r="T76" s="229"/>
      <c r="U76" s="238"/>
      <c r="V76" s="115" t="s">
        <v>215</v>
      </c>
    </row>
    <row r="77" spans="1:22"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v>0.1</v>
      </c>
      <c r="J77" s="687"/>
      <c r="K77" s="372"/>
      <c r="L77" s="52"/>
      <c r="M77" s="229"/>
      <c r="N77" s="239"/>
      <c r="O77" s="240"/>
      <c r="P77" s="229"/>
      <c r="Q77" s="229"/>
      <c r="R77" s="229"/>
      <c r="S77" s="229"/>
      <c r="T77" s="229"/>
      <c r="U77" s="5"/>
      <c r="V77" s="115" t="s">
        <v>215</v>
      </c>
    </row>
    <row r="78" spans="1:22"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BP1'!K5&gt;0,K75-K50-K62-K63-K64-K65-K66-K67-K68-K69-K70-K71-K72-K73-K59-K61+IF(K62&lt;25000,K62,25000)+IF(K63&lt;25000,K63,25000)+IF(K64&lt;25000,K64,25000)+IF(K65&lt;25000,K65,25000)+IF(K66&lt;25000,K66,25000)+IF(K67&lt;25000,K67,25000)+IF(K68&lt;25000,K68,25000)+IF(K69&lt;25000,K69,25000)+IF(K70&lt;25000,K70,25000)+IF(K71&lt;25000,K71,25000)+IF(K72&lt;25000,K72,25000)+IF(K73&lt;25000,K73,25000),0),IF('BP1'!K5&gt;(A5-1),(K75-K61),0))</f>
        <v>0</v>
      </c>
      <c r="H78" s="600" t="s">
        <v>989</v>
      </c>
      <c r="I78" s="704">
        <f ca="1">IFERROR($K$79/$G$78,)</f>
        <v>0</v>
      </c>
      <c r="J78" s="705"/>
      <c r="K78" s="372"/>
      <c r="L78" s="373"/>
      <c r="M78" s="229"/>
      <c r="N78" s="737" t="s">
        <v>285</v>
      </c>
      <c r="O78" s="737"/>
      <c r="P78" s="229"/>
      <c r="Q78" s="229"/>
      <c r="R78" s="229"/>
      <c r="S78" s="229"/>
      <c r="T78" s="229"/>
      <c r="U78" s="5"/>
      <c r="V78" s="115" t="s">
        <v>215</v>
      </c>
    </row>
    <row r="79" spans="1:22" s="2" customFormat="1" ht="14.25" customHeight="1" thickBot="1">
      <c r="A79" s="733">
        <f>IF(K3="MTDC",IF(G79&gt;0,"Modified Total Direct Costs (MTDC) Cost-Share Base =",),IF(G79&gt;0,"Total Direct Costs (TDC) Cost-Share Base =",))</f>
        <v>0</v>
      </c>
      <c r="B79" s="734"/>
      <c r="C79" s="734"/>
      <c r="D79" s="734"/>
      <c r="E79" s="734"/>
      <c r="F79" s="734"/>
      <c r="G79" s="500">
        <f>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P79" s="229"/>
      <c r="Q79" s="229"/>
      <c r="R79" s="229"/>
      <c r="S79" s="229"/>
      <c r="T79" s="229"/>
      <c r="U79" s="5"/>
      <c r="V79" s="115" t="s">
        <v>215</v>
      </c>
    </row>
    <row r="80" spans="1:22" s="2" customFormat="1" ht="14.25" customHeight="1" thickBot="1">
      <c r="A80" s="186" t="s">
        <v>92</v>
      </c>
      <c r="B80" s="147"/>
      <c r="C80" s="147"/>
      <c r="D80" s="148"/>
      <c r="E80" s="148"/>
      <c r="F80" s="148"/>
      <c r="G80" s="148"/>
      <c r="H80" s="147"/>
      <c r="I80" s="149"/>
      <c r="J80" s="147"/>
      <c r="K80" s="697">
        <f ca="1">ROUND(K75,0)+ROUND(K79,0)</f>
        <v>0</v>
      </c>
      <c r="L80" s="698"/>
      <c r="M80" s="354"/>
      <c r="N80" s="709">
        <f ca="1">ROUND(N75,0)+ROUND(N79,0)</f>
        <v>0</v>
      </c>
      <c r="O80" s="710"/>
      <c r="P80" s="236"/>
      <c r="Q80" s="229"/>
      <c r="R80" s="229"/>
      <c r="S80" s="229"/>
      <c r="T80" s="229"/>
      <c r="U80" s="5"/>
      <c r="V80" s="115" t="s">
        <v>215</v>
      </c>
    </row>
    <row r="81" spans="1:22" ht="14.25" customHeight="1" thickBot="1">
      <c r="M81" s="229"/>
      <c r="P81" s="1"/>
      <c r="Q81" s="1"/>
      <c r="R81" s="1"/>
      <c r="S81" s="1"/>
      <c r="T81" s="1"/>
      <c r="U81" s="1"/>
      <c r="V81" s="115" t="s">
        <v>215</v>
      </c>
    </row>
    <row r="82" spans="1:22" ht="14.25" customHeight="1" thickBot="1">
      <c r="A82" s="186" t="s">
        <v>579</v>
      </c>
      <c r="B82" s="147"/>
      <c r="C82" s="147"/>
      <c r="D82" s="148"/>
      <c r="E82" s="148"/>
      <c r="F82" s="148"/>
      <c r="G82" s="148"/>
      <c r="H82" s="147"/>
      <c r="I82" s="149"/>
      <c r="J82" s="147"/>
      <c r="K82" s="697">
        <f>'BP1'!K75+'BP2'!K75+'BP3'!K75+'BP4'!K75+'BP5'!K75</f>
        <v>0</v>
      </c>
      <c r="L82" s="698"/>
      <c r="M82" s="229"/>
      <c r="N82" s="711">
        <f ca="1">'BP1'!N75+'BP2'!N75+'BP3'!N75+'BP4'!N75+'BP5'!N75</f>
        <v>0</v>
      </c>
      <c r="O82" s="712"/>
      <c r="P82" s="1"/>
      <c r="Q82" s="1"/>
      <c r="R82" s="1"/>
      <c r="S82" s="1"/>
      <c r="T82" s="1"/>
      <c r="U82" s="1"/>
      <c r="V82" s="115" t="s">
        <v>215</v>
      </c>
    </row>
    <row r="83" spans="1:22"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697">
        <f>IF(AND(SUM(K62:K73)&gt;0,'Subaward Calculator'!AD46=0),"",'BP1'!K75+'BP2'!K75+'BP3'!K75+'BP4'!K75+'BP5'!K75-'Subaward Calculator'!AD46+'Subaward Calculator'!AD44)</f>
        <v>0</v>
      </c>
      <c r="L83" s="698"/>
      <c r="M83" s="229"/>
      <c r="N83" s="498"/>
      <c r="O83" s="498"/>
      <c r="P83" s="1"/>
      <c r="Q83" s="1"/>
      <c r="R83" s="1"/>
      <c r="S83" s="1"/>
      <c r="T83" s="1"/>
      <c r="U83" s="1"/>
      <c r="V83" s="115" t="s">
        <v>215</v>
      </c>
    </row>
    <row r="84" spans="1:22" ht="14.25" customHeight="1" thickBot="1">
      <c r="A84" s="186" t="s">
        <v>460</v>
      </c>
      <c r="B84" s="147"/>
      <c r="C84" s="147"/>
      <c r="D84" s="148"/>
      <c r="E84" s="148"/>
      <c r="F84" s="148"/>
      <c r="G84" s="148"/>
      <c r="H84" s="147"/>
      <c r="I84" s="149"/>
      <c r="J84" s="147"/>
      <c r="K84" s="697">
        <f ca="1">'BP1'!K80+'BP2'!K80+'BP3'!K80+'BP4'!K80+'BP5'!K80</f>
        <v>0</v>
      </c>
      <c r="L84" s="698"/>
      <c r="M84" s="229"/>
      <c r="N84" s="711">
        <f ca="1">'BP1'!N80+'BP2'!N80+'BP3'!N80+'BP4'!N80+'BP5'!N80</f>
        <v>0</v>
      </c>
      <c r="O84" s="712"/>
      <c r="P84" s="1"/>
      <c r="Q84" s="1"/>
      <c r="R84" s="1"/>
      <c r="S84" s="1"/>
      <c r="T84" s="1"/>
      <c r="U84" s="1"/>
      <c r="V84" s="115" t="s">
        <v>215</v>
      </c>
    </row>
    <row r="85" spans="1:22" ht="14.25" customHeight="1" thickBot="1">
      <c r="A85" s="260"/>
      <c r="B85" s="261"/>
      <c r="C85" s="261"/>
      <c r="D85" s="259"/>
      <c r="E85" s="259"/>
      <c r="F85" s="259"/>
      <c r="G85" s="259"/>
      <c r="H85" s="261"/>
      <c r="I85" s="262"/>
      <c r="J85" s="261"/>
      <c r="K85" s="235"/>
      <c r="L85" s="235"/>
      <c r="M85" s="229"/>
      <c r="N85" s="235"/>
      <c r="O85" s="235"/>
      <c r="P85" s="1"/>
      <c r="Q85" s="1"/>
      <c r="R85" s="1"/>
      <c r="S85" s="1"/>
      <c r="T85" s="1"/>
      <c r="U85" s="1"/>
      <c r="V85" s="115" t="s">
        <v>215</v>
      </c>
    </row>
    <row r="86" spans="1:22" ht="14.25" customHeight="1" thickBot="1">
      <c r="A86" s="1"/>
      <c r="K86" s="717"/>
      <c r="L86" s="717"/>
      <c r="N86" s="718">
        <f>$A$5</f>
        <v>1</v>
      </c>
      <c r="O86" s="719"/>
      <c r="P86" s="720" t="s">
        <v>419</v>
      </c>
      <c r="Q86" s="721"/>
      <c r="R86" s="722"/>
      <c r="V86" s="115" t="s">
        <v>215</v>
      </c>
    </row>
    <row r="87" spans="1:22" ht="14.25" customHeight="1" thickBot="1">
      <c r="A87" s="1"/>
      <c r="G87" s="727" t="str">
        <f ca="1">IF(('BP1'!$N$80+'BP2'!$N$80+'BP3'!$N$80+'BP4'!$N$80+'BP5'!$N$80)&gt;0,"NORTHWESTERN COST-SHARE","")</f>
        <v/>
      </c>
      <c r="H87" s="727"/>
      <c r="I87" s="727"/>
      <c r="J87" s="727"/>
      <c r="K87" s="727"/>
      <c r="L87" s="727" t="str">
        <f ca="1">IF(('BP1'!$N$80+'BP2'!$N$80+'BP3'!$N$80+'BP4'!$N$80+'BP5'!$N$80)&gt;0,"NORTHWESTERN COST-SHARE","")</f>
        <v/>
      </c>
      <c r="N87" s="697">
        <f ca="1">N80-SUM(N62:N73)</f>
        <v>0</v>
      </c>
      <c r="O87" s="698"/>
      <c r="P87" s="723">
        <f ca="1">'BP1'!$N$87+'BP2'!$N$87+'BP3'!$N$87+'BP4'!$N$87+'BP5'!$N$87</f>
        <v>0</v>
      </c>
      <c r="Q87" s="724"/>
      <c r="R87" s="724">
        <f>'BP1'!R78+'BP2'!Q78+'BP3'!Q78+'BP4'!Q78+'BP5'!Q78</f>
        <v>0</v>
      </c>
      <c r="V87" s="115" t="s">
        <v>215</v>
      </c>
    </row>
    <row r="88" spans="1:22" ht="14.25" customHeight="1" thickBot="1">
      <c r="A88" s="1"/>
      <c r="G88" s="727" t="str">
        <f ca="1">IF(('BP1'!$N$80+'BP2'!$N$80+'BP3'!$N$80+'BP4'!$N$80+'BP5'!$N$80)&gt;0,"SUBAWARD COST-SHARE","")</f>
        <v/>
      </c>
      <c r="H88" s="727"/>
      <c r="I88" s="727"/>
      <c r="J88" s="727"/>
      <c r="K88" s="727"/>
      <c r="L88" s="727"/>
      <c r="M88" s="1"/>
      <c r="N88" s="697">
        <f>SUM(N62:N73)</f>
        <v>0</v>
      </c>
      <c r="O88" s="698"/>
      <c r="P88" s="723">
        <f>'BP1'!$N$88+'BP2'!$N$88+'BP3'!$N$88+'BP4'!$N$88+'BP5'!$N$88</f>
        <v>0</v>
      </c>
      <c r="Q88" s="724"/>
      <c r="R88" s="724">
        <f>'BP1'!R79+'BP2'!Q79+'BP3'!Q79+'BP4'!Q79+'BP5'!Q79</f>
        <v>0</v>
      </c>
      <c r="V88" s="115" t="s">
        <v>215</v>
      </c>
    </row>
    <row r="89" spans="1:22" ht="14.25" customHeight="1" thickBot="1">
      <c r="A89" s="1"/>
      <c r="F89" s="259"/>
      <c r="G89" s="727" t="str">
        <f ca="1">IF(('BP1'!$N$80+'BP2'!$N$80+'BP3'!$N$80+'BP4'!$N$80+'BP5'!$N$80)&gt;0,"THIRD PARTY COST-SHARE","")</f>
        <v/>
      </c>
      <c r="H89" s="727"/>
      <c r="I89" s="727"/>
      <c r="J89" s="727"/>
      <c r="K89" s="727"/>
      <c r="L89" s="727"/>
      <c r="M89" s="1"/>
      <c r="N89" s="728"/>
      <c r="O89" s="729"/>
      <c r="P89" s="723">
        <f>'BP1'!$N$89+'BP2'!$N$89+'BP3'!$N$89+'BP4'!$N$89+'BP5'!$N$89</f>
        <v>0</v>
      </c>
      <c r="Q89" s="724"/>
      <c r="R89" s="724">
        <f>'BP1'!R78+'BP2'!Q78+'BP3'!Q78+'BP4'!Q78+'BP5'!Q78</f>
        <v>0</v>
      </c>
      <c r="V89" s="115" t="s">
        <v>215</v>
      </c>
    </row>
    <row r="90" spans="1:22" ht="14.25" customHeight="1" thickBot="1">
      <c r="A90" s="1"/>
      <c r="F90" s="257"/>
      <c r="G90" s="727" t="str">
        <f ca="1">IF(('BP1'!$N$80+'BP2'!$N$80+'BP3'!$N$80+'BP4'!$N$80+'BP5'!$N$80)&gt;0,"TOTAL COST-SHARED","")</f>
        <v/>
      </c>
      <c r="H90" s="727"/>
      <c r="I90" s="727"/>
      <c r="J90" s="727"/>
      <c r="K90" s="727"/>
      <c r="L90" s="727"/>
      <c r="M90" s="1"/>
      <c r="N90" s="697">
        <f ca="1">$N$80+$N$89</f>
        <v>0</v>
      </c>
      <c r="O90" s="698"/>
      <c r="P90" s="723">
        <f ca="1">'BP1'!$N$90+'BP2'!$N$90+'BP3'!$N$90+'BP4'!$N$90+'BP5'!$N$90</f>
        <v>0</v>
      </c>
      <c r="Q90" s="724"/>
      <c r="R90" s="724">
        <f>'BP1'!R79+'BP2'!Q79+'BP3'!Q79+'BP4'!Q79+'BP5'!Q79</f>
        <v>0</v>
      </c>
      <c r="V90" s="115" t="s">
        <v>215</v>
      </c>
    </row>
    <row r="91" spans="1:22" ht="14.25" customHeight="1" thickBot="1">
      <c r="A91" s="1"/>
      <c r="F91" s="725" t="str">
        <f ca="1">IF(('BP1'!$N$80+'BP2'!$N$80+'BP3'!$N$80+'BP4'!$N$80+'BP5'!$N$80)&gt;0,"TOTAL SPONSOR COSTS","")</f>
        <v/>
      </c>
      <c r="G91" s="725"/>
      <c r="H91" s="725"/>
      <c r="I91" s="725"/>
      <c r="J91" s="725"/>
      <c r="K91" s="725"/>
      <c r="L91" s="725"/>
      <c r="M91" s="1"/>
      <c r="N91" s="697">
        <f ca="1">IF(('BP1'!$N$80+'BP2'!$N$80+'BP3'!$N$80+'BP4'!$N$80+'BP5'!$N$80)&gt;0,$K$80,)</f>
        <v>0</v>
      </c>
      <c r="O91" s="698"/>
      <c r="P91" s="723">
        <f ca="1">'BP1'!$N$91+'BP2'!$N$91+'BP3'!$N$91+'BP4'!$N$91+'BP5'!$N$91</f>
        <v>0</v>
      </c>
      <c r="Q91" s="724"/>
      <c r="R91" s="724">
        <f>'BP1'!R80+'BP2'!Q80+'BP3'!Q80+'BP4'!Q80+'BP5'!Q80</f>
        <v>0</v>
      </c>
      <c r="S91" s="319"/>
      <c r="T91" s="319"/>
      <c r="V91" s="115" t="s">
        <v>215</v>
      </c>
    </row>
    <row r="92" spans="1:22" ht="14.25" customHeight="1" thickBot="1">
      <c r="A92" s="1"/>
      <c r="F92" s="570"/>
      <c r="G92" s="570"/>
      <c r="H92" s="570"/>
      <c r="I92" s="570"/>
      <c r="J92" s="570"/>
      <c r="K92" s="570"/>
      <c r="L92" s="570" t="str">
        <f ca="1">IF(('BP1'!$N$80+'BP2'!$N$80+'BP3'!$N$80+'BP4'!$N$80+'BP5'!$N$80)&gt;0,"NORTHWESTERN SPONSOR COSTS","")</f>
        <v/>
      </c>
      <c r="M92" s="1"/>
      <c r="N92" s="697">
        <f ca="1">IF(('BP1'!$N$80+'BP2'!$N$80+'BP3'!$N$80+'BP4'!$N$80+'BP5'!$N$80)&gt;0,$K$80-SUM(K62:L73),)</f>
        <v>0</v>
      </c>
      <c r="O92" s="698"/>
      <c r="P92" s="723">
        <f ca="1">'BP1'!$N$92+'BP2'!$N$92+'BP3'!$N$92+'BP4'!$N$92+'BP5'!$N$92</f>
        <v>0</v>
      </c>
      <c r="Q92" s="724"/>
      <c r="R92" s="724">
        <f>'BP1'!R81+'BP2'!Q81+'BP3'!Q81+'BP4'!Q81+'BP5'!Q81</f>
        <v>0</v>
      </c>
      <c r="S92" s="319"/>
      <c r="T92" s="319"/>
      <c r="V92" s="115" t="s">
        <v>215</v>
      </c>
    </row>
    <row r="93" spans="1:22" ht="14.25" customHeight="1" thickBot="1">
      <c r="A93" s="1"/>
      <c r="F93" s="257"/>
      <c r="G93" s="725" t="str">
        <f ca="1">IF(('BP1'!$N$80+'BP2'!$N$80+'BP3'!$N$80+'BP4'!$N$80+'BP5'!$N$80)&gt;0,"PROJECT COSTS","")</f>
        <v/>
      </c>
      <c r="H93" s="725"/>
      <c r="I93" s="725"/>
      <c r="J93" s="725"/>
      <c r="K93" s="725"/>
      <c r="L93" s="725"/>
      <c r="M93" s="1"/>
      <c r="N93" s="697">
        <f ca="1">IF(('BP1'!$N$80+'BP2'!$N$80+'BP3'!$N$80+'BP4'!$N$80+'BP5'!$N$80)&gt;0,$N$91+$N$90,)</f>
        <v>0</v>
      </c>
      <c r="O93" s="698"/>
      <c r="P93" s="723">
        <f ca="1">'BP1'!$N$93+'BP2'!$N$93+'BP3'!$N$93+'BP4'!$N$93+'BP5'!$N$93</f>
        <v>0</v>
      </c>
      <c r="Q93" s="724"/>
      <c r="R93" s="724">
        <f>'BP1'!R81+'BP2'!Q81+'BP3'!Q81+'BP4'!Q81+'BP5'!Q81</f>
        <v>0</v>
      </c>
      <c r="S93" s="319"/>
      <c r="T93" s="319"/>
      <c r="V93" s="115" t="s">
        <v>215</v>
      </c>
    </row>
    <row r="94" spans="1:22" ht="14.25" customHeight="1" thickBot="1">
      <c r="A94" s="1"/>
      <c r="F94" s="258"/>
      <c r="G94" s="726" t="str">
        <f ca="1">IF(('BP1'!$N$80+'BP2'!$N$80+'BP3'!$N$80+'BP4'!$N$80+'BP5'!$N$80)&gt;0,"COST-SHARE AS % OF SPONSOR COSTS","")</f>
        <v/>
      </c>
      <c r="H94" s="726"/>
      <c r="I94" s="726"/>
      <c r="J94" s="726"/>
      <c r="K94" s="726"/>
      <c r="L94" s="726"/>
      <c r="M94" s="1"/>
      <c r="N94" s="715">
        <f ca="1">IFERROR($N$90/$N$91,)</f>
        <v>0</v>
      </c>
      <c r="O94" s="716"/>
      <c r="P94" s="713">
        <f ca="1">IFERROR($P$90/$P$91,)</f>
        <v>0</v>
      </c>
      <c r="Q94" s="714"/>
      <c r="R94" s="714"/>
      <c r="S94" s="319"/>
      <c r="T94" s="319"/>
      <c r="V94" s="115" t="s">
        <v>215</v>
      </c>
    </row>
    <row r="95" spans="1:22" ht="14.25" customHeight="1" thickBot="1">
      <c r="A95" s="1"/>
      <c r="F95" s="725" t="str">
        <f ca="1">IF(('BP1'!$N$80+'BP2'!$N$80+'BP3'!$N$80+'BP4'!$N$80+'BP5'!$N$80)&gt;0,"COST-SHARE AS % OF PROJECT COSTS","")</f>
        <v/>
      </c>
      <c r="G95" s="725"/>
      <c r="H95" s="725"/>
      <c r="I95" s="725"/>
      <c r="J95" s="725"/>
      <c r="K95" s="725"/>
      <c r="L95" s="725"/>
      <c r="M95" s="1"/>
      <c r="N95" s="715">
        <f ca="1">IFERROR($N$90/$N$93,)</f>
        <v>0</v>
      </c>
      <c r="O95" s="716"/>
      <c r="P95" s="713">
        <f ca="1">IFERROR($P$90/$P$93,)</f>
        <v>0</v>
      </c>
      <c r="Q95" s="714"/>
      <c r="R95" s="714"/>
      <c r="S95" s="321"/>
      <c r="T95" s="321"/>
      <c r="V95" s="115" t="s">
        <v>215</v>
      </c>
    </row>
    <row r="96" spans="1:22" ht="14.4">
      <c r="A96" s="1"/>
      <c r="S96" s="320"/>
      <c r="T96" s="320"/>
      <c r="V96" s="115"/>
    </row>
    <row r="97" spans="1:22">
      <c r="A97" s="1"/>
      <c r="V97" s="115"/>
    </row>
    <row r="98" spans="1:22">
      <c r="A98" s="1"/>
    </row>
    <row r="99" spans="1:22">
      <c r="A99" s="1"/>
    </row>
    <row r="100" spans="1:22">
      <c r="A100" s="1"/>
    </row>
    <row r="101" spans="1:22">
      <c r="A101" s="1"/>
    </row>
    <row r="102" spans="1:22">
      <c r="A102" s="1"/>
    </row>
    <row r="103" spans="1:22">
      <c r="A103" s="1"/>
    </row>
    <row r="104" spans="1:22">
      <c r="A104" s="1"/>
    </row>
    <row r="105" spans="1:22">
      <c r="A105" s="1"/>
    </row>
    <row r="106" spans="1:22">
      <c r="A106" s="1"/>
    </row>
    <row r="107" spans="1:22">
      <c r="A107" s="1"/>
    </row>
    <row r="108" spans="1:22">
      <c r="A108" s="1"/>
    </row>
    <row r="109" spans="1:22">
      <c r="A109" s="1"/>
    </row>
    <row r="110" spans="1:22">
      <c r="A110" s="1"/>
    </row>
    <row r="111" spans="1:22">
      <c r="A111" s="1"/>
    </row>
    <row r="112" spans="1:22">
      <c r="A112" s="1"/>
    </row>
    <row r="113" spans="1:1">
      <c r="A113" s="1"/>
    </row>
  </sheetData>
  <autoFilter ref="V1:V95" xr:uid="{00000000-0009-0000-0000-000002000000}">
    <filterColumn colId="0">
      <filters>
        <filter val="A) Condensed"/>
      </filters>
    </filterColumn>
  </autoFilter>
  <mergeCells count="257">
    <mergeCell ref="G87:L87"/>
    <mergeCell ref="N87:O87"/>
    <mergeCell ref="P1:T2"/>
    <mergeCell ref="P3:U13"/>
    <mergeCell ref="G77:H77"/>
    <mergeCell ref="N84:O84"/>
    <mergeCell ref="N58:O58"/>
    <mergeCell ref="N59:O59"/>
    <mergeCell ref="N60:O60"/>
    <mergeCell ref="N61:O61"/>
    <mergeCell ref="N62:O62"/>
    <mergeCell ref="N63:O63"/>
    <mergeCell ref="N64:O64"/>
    <mergeCell ref="N65:O65"/>
    <mergeCell ref="N66:O66"/>
    <mergeCell ref="G62:I62"/>
    <mergeCell ref="K73:L73"/>
    <mergeCell ref="K71:L71"/>
    <mergeCell ref="K80:L80"/>
    <mergeCell ref="K74:L74"/>
    <mergeCell ref="R32:T32"/>
    <mergeCell ref="R33:T33"/>
    <mergeCell ref="R38:T38"/>
    <mergeCell ref="R39:T39"/>
    <mergeCell ref="N52:O52"/>
    <mergeCell ref="N53:O53"/>
    <mergeCell ref="N55:O55"/>
    <mergeCell ref="R14:S14"/>
    <mergeCell ref="R15:S15"/>
    <mergeCell ref="R16:S16"/>
    <mergeCell ref="R17:S17"/>
    <mergeCell ref="R18:S18"/>
    <mergeCell ref="R19:S19"/>
    <mergeCell ref="R20:S20"/>
    <mergeCell ref="R21:S21"/>
    <mergeCell ref="R31:T31"/>
    <mergeCell ref="R40:T40"/>
    <mergeCell ref="P45:T45"/>
    <mergeCell ref="P44:T44"/>
    <mergeCell ref="N41:O41"/>
    <mergeCell ref="N42:O42"/>
    <mergeCell ref="N43:O43"/>
    <mergeCell ref="R34:T34"/>
    <mergeCell ref="R35:T35"/>
    <mergeCell ref="R36:T36"/>
    <mergeCell ref="R37:T37"/>
    <mergeCell ref="P52:T52"/>
    <mergeCell ref="P53:T53"/>
    <mergeCell ref="R63:T63"/>
    <mergeCell ref="N92:O92"/>
    <mergeCell ref="P92:R92"/>
    <mergeCell ref="P87:R87"/>
    <mergeCell ref="B26:D26"/>
    <mergeCell ref="N74:O74"/>
    <mergeCell ref="N75:O75"/>
    <mergeCell ref="K76:L76"/>
    <mergeCell ref="A78:F78"/>
    <mergeCell ref="A79:F79"/>
    <mergeCell ref="H79:J79"/>
    <mergeCell ref="N78:O78"/>
    <mergeCell ref="N45:O45"/>
    <mergeCell ref="N46:O46"/>
    <mergeCell ref="N47:O47"/>
    <mergeCell ref="N48:O48"/>
    <mergeCell ref="N49:O49"/>
    <mergeCell ref="N50:O50"/>
    <mergeCell ref="N51:O51"/>
    <mergeCell ref="N71:O71"/>
    <mergeCell ref="N72:O72"/>
    <mergeCell ref="N79:O79"/>
    <mergeCell ref="E66:F66"/>
    <mergeCell ref="E67:F67"/>
    <mergeCell ref="P54:T54"/>
    <mergeCell ref="P55:T55"/>
    <mergeCell ref="P56:T56"/>
    <mergeCell ref="P57:T57"/>
    <mergeCell ref="P58:T58"/>
    <mergeCell ref="P60:T60"/>
    <mergeCell ref="R62:T62"/>
    <mergeCell ref="R61:T61"/>
    <mergeCell ref="P59:T59"/>
    <mergeCell ref="P95:R95"/>
    <mergeCell ref="N91:O91"/>
    <mergeCell ref="N93:O93"/>
    <mergeCell ref="N94:O94"/>
    <mergeCell ref="N95:O95"/>
    <mergeCell ref="K86:L86"/>
    <mergeCell ref="N86:O86"/>
    <mergeCell ref="P86:R86"/>
    <mergeCell ref="P89:R89"/>
    <mergeCell ref="P90:R90"/>
    <mergeCell ref="P91:R91"/>
    <mergeCell ref="P93:R93"/>
    <mergeCell ref="P94:R94"/>
    <mergeCell ref="N90:O90"/>
    <mergeCell ref="F91:L91"/>
    <mergeCell ref="G93:L93"/>
    <mergeCell ref="G94:L94"/>
    <mergeCell ref="G89:L89"/>
    <mergeCell ref="N89:O89"/>
    <mergeCell ref="G88:L88"/>
    <mergeCell ref="P88:R88"/>
    <mergeCell ref="N88:O88"/>
    <mergeCell ref="G90:L90"/>
    <mergeCell ref="F95:L95"/>
    <mergeCell ref="C69:D69"/>
    <mergeCell ref="C70:D70"/>
    <mergeCell ref="N80:O80"/>
    <mergeCell ref="K79:L79"/>
    <mergeCell ref="K72:L72"/>
    <mergeCell ref="K65:L65"/>
    <mergeCell ref="K82:L82"/>
    <mergeCell ref="N82:O82"/>
    <mergeCell ref="K75:L75"/>
    <mergeCell ref="G72:I72"/>
    <mergeCell ref="G73:I73"/>
    <mergeCell ref="N69:O69"/>
    <mergeCell ref="N70:O70"/>
    <mergeCell ref="N56:O56"/>
    <mergeCell ref="N57:O57"/>
    <mergeCell ref="K60:L60"/>
    <mergeCell ref="C68:D68"/>
    <mergeCell ref="C56:J56"/>
    <mergeCell ref="C57:J57"/>
    <mergeCell ref="K62:L62"/>
    <mergeCell ref="K59:L59"/>
    <mergeCell ref="K58:L58"/>
    <mergeCell ref="E62:F62"/>
    <mergeCell ref="C62:D62"/>
    <mergeCell ref="G63:I63"/>
    <mergeCell ref="N67:O67"/>
    <mergeCell ref="N68:O68"/>
    <mergeCell ref="K84:L84"/>
    <mergeCell ref="K63:L63"/>
    <mergeCell ref="K64:L64"/>
    <mergeCell ref="K70:L70"/>
    <mergeCell ref="K83:L83"/>
    <mergeCell ref="E70:F70"/>
    <mergeCell ref="C71:D71"/>
    <mergeCell ref="E63:F63"/>
    <mergeCell ref="E64:F64"/>
    <mergeCell ref="E65:F65"/>
    <mergeCell ref="G65:I65"/>
    <mergeCell ref="G66:I66"/>
    <mergeCell ref="G69:I69"/>
    <mergeCell ref="G67:I67"/>
    <mergeCell ref="G68:I68"/>
    <mergeCell ref="K66:L66"/>
    <mergeCell ref="K67:L67"/>
    <mergeCell ref="K68:L68"/>
    <mergeCell ref="K69:L69"/>
    <mergeCell ref="I78:J78"/>
    <mergeCell ref="G71:I71"/>
    <mergeCell ref="G70:I70"/>
    <mergeCell ref="E68:F68"/>
    <mergeCell ref="E69:F69"/>
    <mergeCell ref="K41:L41"/>
    <mergeCell ref="B47:F47"/>
    <mergeCell ref="K45:L45"/>
    <mergeCell ref="K49:L49"/>
    <mergeCell ref="K51:L51"/>
    <mergeCell ref="K47:L47"/>
    <mergeCell ref="K42:L42"/>
    <mergeCell ref="K48:L48"/>
    <mergeCell ref="C55:J55"/>
    <mergeCell ref="B46:F46"/>
    <mergeCell ref="K43:L43"/>
    <mergeCell ref="B45:F45"/>
    <mergeCell ref="E14:F14"/>
    <mergeCell ref="B15:D15"/>
    <mergeCell ref="G12:G14"/>
    <mergeCell ref="H12:J12"/>
    <mergeCell ref="I77:J77"/>
    <mergeCell ref="K46:L46"/>
    <mergeCell ref="B48:F48"/>
    <mergeCell ref="B49:F49"/>
    <mergeCell ref="C58:J58"/>
    <mergeCell ref="C61:J61"/>
    <mergeCell ref="K61:L61"/>
    <mergeCell ref="C59:J59"/>
    <mergeCell ref="C60:J60"/>
    <mergeCell ref="H51:J51"/>
    <mergeCell ref="H52:J52"/>
    <mergeCell ref="H53:J53"/>
    <mergeCell ref="K50:L50"/>
    <mergeCell ref="K56:L56"/>
    <mergeCell ref="K53:L53"/>
    <mergeCell ref="K52:L52"/>
    <mergeCell ref="K55:L55"/>
    <mergeCell ref="E71:F71"/>
    <mergeCell ref="C66:D66"/>
    <mergeCell ref="C67:D67"/>
    <mergeCell ref="B25:D25"/>
    <mergeCell ref="B16:D16"/>
    <mergeCell ref="B17:D17"/>
    <mergeCell ref="B18:D18"/>
    <mergeCell ref="B19:D19"/>
    <mergeCell ref="B20:D20"/>
    <mergeCell ref="B21:D21"/>
    <mergeCell ref="B22:D22"/>
    <mergeCell ref="B23:D23"/>
    <mergeCell ref="B24:D24"/>
    <mergeCell ref="M1:O9"/>
    <mergeCell ref="K12:L13"/>
    <mergeCell ref="E11:G11"/>
    <mergeCell ref="K7:L7"/>
    <mergeCell ref="K3:L3"/>
    <mergeCell ref="A9:D9"/>
    <mergeCell ref="A11:D11"/>
    <mergeCell ref="A5:J6"/>
    <mergeCell ref="A1:J4"/>
    <mergeCell ref="K1:L1"/>
    <mergeCell ref="K4:L4"/>
    <mergeCell ref="K5:L5"/>
    <mergeCell ref="K6:L6"/>
    <mergeCell ref="K8:L9"/>
    <mergeCell ref="K10:L11"/>
    <mergeCell ref="H10:J11"/>
    <mergeCell ref="H8:J9"/>
    <mergeCell ref="E9:G9"/>
    <mergeCell ref="N12:O13"/>
    <mergeCell ref="M10:O11"/>
    <mergeCell ref="H13:J13"/>
    <mergeCell ref="B29:D29"/>
    <mergeCell ref="A30:F30"/>
    <mergeCell ref="K57:L57"/>
    <mergeCell ref="G64:I64"/>
    <mergeCell ref="B27:D27"/>
    <mergeCell ref="B28:D28"/>
    <mergeCell ref="N73:O73"/>
    <mergeCell ref="R22:S22"/>
    <mergeCell ref="D77:F77"/>
    <mergeCell ref="A77:C77"/>
    <mergeCell ref="R23:S23"/>
    <mergeCell ref="R24:S24"/>
    <mergeCell ref="R25:S25"/>
    <mergeCell ref="R26:S26"/>
    <mergeCell ref="R27:S27"/>
    <mergeCell ref="R28:S28"/>
    <mergeCell ref="R29:S29"/>
    <mergeCell ref="E72:F72"/>
    <mergeCell ref="E73:F73"/>
    <mergeCell ref="C72:D72"/>
    <mergeCell ref="C73:D73"/>
    <mergeCell ref="C63:D63"/>
    <mergeCell ref="C64:D64"/>
    <mergeCell ref="C65:D65"/>
    <mergeCell ref="R73:T73"/>
    <mergeCell ref="R64:T64"/>
    <mergeCell ref="R65:T65"/>
    <mergeCell ref="R66:T66"/>
    <mergeCell ref="R67:T67"/>
    <mergeCell ref="R68:T68"/>
    <mergeCell ref="R69:T69"/>
    <mergeCell ref="R70:T70"/>
    <mergeCell ref="R71:T71"/>
    <mergeCell ref="R72:T72"/>
  </mergeCells>
  <phoneticPr fontId="10" type="noConversion"/>
  <conditionalFormatting sqref="B15:B29 E15:E29">
    <cfRule type="expression" dxfId="32" priority="29">
      <formula>"IF($F$11&gt;0)"</formula>
    </cfRule>
  </conditionalFormatting>
  <conditionalFormatting sqref="H78:J78">
    <cfRule type="expression" dxfId="31" priority="1">
      <formula>$K$3="TC"</formula>
    </cfRule>
  </conditionalFormatting>
  <conditionalFormatting sqref="I77:J77">
    <cfRule type="expression" dxfId="30" priority="10">
      <formula>$L$2&lt;&gt;"Custom"</formula>
    </cfRule>
    <cfRule type="expression" dxfId="29" priority="11">
      <formula>$L$2="Custom"</formula>
    </cfRule>
  </conditionalFormatting>
  <conditionalFormatting sqref="P86:R86">
    <cfRule type="expression" dxfId="28" priority="5">
      <formula>$N$80&gt;0</formula>
    </cfRule>
  </conditionalFormatting>
  <conditionalFormatting sqref="P87:R95">
    <cfRule type="expression" dxfId="27" priority="4">
      <formula>$N$80&gt;0</formula>
    </cfRule>
  </conditionalFormatting>
  <conditionalFormatting sqref="T15:T29">
    <cfRule type="cellIs" dxfId="26" priority="6" operator="greaterThan">
      <formula>0</formula>
    </cfRule>
  </conditionalFormatting>
  <dataValidations count="7">
    <dataValidation type="list" allowBlank="1" showInputMessage="1" showErrorMessage="1" promptTitle="Project Start" prompt="Please enter your project start date; all subsequent project dates will auto-fill." sqref="K8:L9" xr:uid="{00000000-0002-0000-0200-000000000000}">
      <formula1>StartDateList</formula1>
    </dataValidation>
    <dataValidation errorStyle="warning" allowBlank="1" showInputMessage="1" sqref="K7" xr:uid="{00000000-0002-0000-0200-000001000000}"/>
    <dataValidation type="list" allowBlank="1" showInputMessage="1" showErrorMessage="1" sqref="K5" xr:uid="{00000000-0002-0000-0200-000002000000}">
      <formula1>"1,2,3,4,5"</formula1>
    </dataValidation>
    <dataValidation type="list" allowBlank="1" showInputMessage="1" showErrorMessage="1" sqref="L2" xr:uid="{00000000-0002-0000-0200-000003000000}">
      <formula1>INDIRECT((SUBSTITUTE(SUBSTITUTE(K2," ",""),"-","")))</formula1>
    </dataValidation>
    <dataValidation type="list" allowBlank="1" showErrorMessage="1" sqref="K2" xr:uid="{00000000-0002-0000-0200-000004000000}">
      <formula1>"Federal,Non-Federal"</formula1>
    </dataValidation>
    <dataValidation type="whole" allowBlank="1" showInputMessage="1" showErrorMessage="1" sqref="A5:J6" xr:uid="{00000000-0002-0000-0200-000005000000}">
      <formula1>1</formula1>
      <formula2>20</formula2>
    </dataValidation>
    <dataValidation type="list" allowBlank="1" showInputMessage="1" showErrorMessage="1" sqref="K3:L3" xr:uid="{00000000-0002-0000-0200-000006000000}">
      <formula1>"MTDC,TDC,TC"</formula1>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30:O31 A53:O54 A51:F52 H51:J52 A41:O43 E35:F35 C35 C15:D15 A15:A29 K15:L29 N15:O29 C33:F34 A32:A40 C36:F40 N32:O37 A45:A50 G45:J49 M45:M49 A59:O59 A55:J55 A56:J56 M55:M56 A57:J57 A58:J58 M58 O52 M51 L52:M52 K51:K52 N52 A85:O86 B78:F78 B79:F79 H79 H89:M89 A93:O93 A89:F90 H90:M90 A95:E95 A94:G94 H94:O94 G95:O95 A11 A77:F77 J62:J73 A61:J61 A60:J60 M60:M73 C50:O50 B44:O44 A81:O81 B82:J82 D62:F62 A62:B73 E63:F63 E64:F73 K62:L73 L82:M82 G62:I73 B80:J80 A74:J74 B75:J75 L75:O75 O74 N62:O73 O90 O82 A84:M84 O84 J77:O77 H32:L37 A91:E91 G91:M91 O91 C32 E32:F32 H39:L39 H38:K38 H40:K40 N39:O39 N38 N40 L79:O79 K78:O78 L80:O80 L74:M74 H77" unlockedFormula="1"/>
    <ignoredError sqref="G51:G52"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'Appendix A-Boilerplate Language'!$O$3:$O$7</xm:f>
          </x14:formula1>
          <xm:sqref>G15:G29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tabColor theme="4" tint="0.59999389629810485"/>
    <pageSetUpPr fitToPage="1"/>
  </sheetPr>
  <dimension ref="A1:S96"/>
  <sheetViews>
    <sheetView showGridLines="0" showZeros="0" zoomScaleNormal="100" zoomScaleSheetLayoutView="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customWidth="1" outlineLevel="1"/>
    <col min="14" max="14" width="12.109375" customWidth="1" outlineLevel="1"/>
    <col min="15" max="15" width="12.109375" style="79" customWidth="1" outlineLevel="1"/>
    <col min="16" max="17" width="14.44140625" style="1" customWidth="1"/>
    <col min="18" max="18" width="35.6640625" style="1" customWidth="1"/>
    <col min="19" max="23" width="10.6640625" style="1" customWidth="1"/>
    <col min="24"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'BP1'!A5+1</f>
        <v>2</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EDATE('BP1'!K10,0)+1</f>
        <v>45169</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45534</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IF($G15&gt;0,'BP1'!H15,)</f>
        <v>0</v>
      </c>
      <c r="I15" s="218">
        <f>IF($G15&gt;0,'BP1'!I15,)</f>
        <v>0</v>
      </c>
      <c r="J15" s="218">
        <f>IF($G15&gt;0,'BP1'!J15,)</f>
        <v>0</v>
      </c>
      <c r="K15" s="138">
        <f ca="1">IFERROR(IF(Q15&gt;0,Q15/G15*(SUM(H15:J15)),P15/G15*(SUM(H15:J15))),)</f>
        <v>0</v>
      </c>
      <c r="L15" s="139">
        <f ca="1">IF(K15&gt;1,K15*LOOKUP($K$8,Lists!$A$2:$A$812,IF($K$2="Non-Federal",Lists!$D$2:$D$812,Lists!$C$2:$C$812)),0)</f>
        <v>0</v>
      </c>
      <c r="M15" s="232">
        <f>IF(G15&gt;0,'BP1'!M15,)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IF($G16&gt;0,'BP1'!H16,)</f>
        <v>0</v>
      </c>
      <c r="I16" s="218">
        <f>IF($G16&gt;0,'BP1'!I16,)</f>
        <v>0</v>
      </c>
      <c r="J16" s="218">
        <f>IF($G16&gt;0,'BP1'!J16,)</f>
        <v>0</v>
      </c>
      <c r="K16" s="138">
        <f ca="1">IFERROR(IF(Q16&gt;0,Q16/G16*(SUM(H16:J16)),P16/G16*(SUM(H16:J16))),)</f>
        <v>0</v>
      </c>
      <c r="L16" s="139">
        <f ca="1">IF(K16&gt;1,K16*LOOKUP($K$8,Lists!$A$2:$A$812,IF($K$2="Non-Federal",Lists!$D$2:$D$812,Lists!$C$2:$C$812)),0)</f>
        <v>0</v>
      </c>
      <c r="M16" s="232">
        <f>IF(G16&gt;0,'BP1'!M16,)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IF($G17&gt;0,'BP1'!H17,)</f>
        <v>0</v>
      </c>
      <c r="I17" s="218">
        <f>IF($G17&gt;0,'BP1'!I17,)</f>
        <v>0</v>
      </c>
      <c r="J17" s="218">
        <f>IF($G17&gt;0,'BP1'!J17,)</f>
        <v>0</v>
      </c>
      <c r="K17" s="138">
        <f t="shared" ref="K17:K29" ca="1" si="2">IFERROR(IF(Q17&gt;0,Q17/G17*(SUM(H17:J17)),P17/G17*(SUM(H17:J17))),)</f>
        <v>0</v>
      </c>
      <c r="L17" s="139">
        <f ca="1">IF(K17&gt;1,K17*LOOKUP($K$8,Lists!$A$2:$A$812,IF($K$2="Non-Federal",Lists!$D$2:$D$812,Lists!$C$2:$C$812)),0)</f>
        <v>0</v>
      </c>
      <c r="M17" s="232">
        <f>IF(G17&gt;0,'BP1'!M17,)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IF($G18&gt;0,'BP1'!H18,)</f>
        <v>0</v>
      </c>
      <c r="I18" s="218">
        <f>IF($G18&gt;0,'BP1'!I18,)</f>
        <v>0</v>
      </c>
      <c r="J18" s="218">
        <f>IF($G18&gt;0,'BP1'!J18,)</f>
        <v>0</v>
      </c>
      <c r="K18" s="138">
        <f t="shared" ca="1" si="2"/>
        <v>0</v>
      </c>
      <c r="L18" s="139">
        <f ca="1">IF(K18&gt;1,K18*LOOKUP($K$8,Lists!$A$2:$A$812,IF($K$2="Non-Federal",Lists!$D$2:$D$812,Lists!$C$2:$C$812)),0)</f>
        <v>0</v>
      </c>
      <c r="M18" s="232">
        <f>IF(G18&gt;0,'BP1'!M18,)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221">
        <v>5</v>
      </c>
      <c r="B19" s="842">
        <f>IF($A$5&lt;=$K$5,'BP1'!B19,)</f>
        <v>0</v>
      </c>
      <c r="C19" s="843"/>
      <c r="D19" s="843"/>
      <c r="E19" s="843"/>
      <c r="F19" s="844"/>
      <c r="G19" s="227">
        <f>IF($A$5&lt;=$K$5,'BP1'!G19,)</f>
        <v>0</v>
      </c>
      <c r="H19" s="217">
        <f>IF($G19&gt;0,'BP1'!H19,)</f>
        <v>0</v>
      </c>
      <c r="I19" s="218">
        <f>IF($G19&gt;0,'BP1'!I19,)</f>
        <v>0</v>
      </c>
      <c r="J19" s="218">
        <f>IF($G19&gt;0,'BP1'!J19,)</f>
        <v>0</v>
      </c>
      <c r="K19" s="138">
        <f t="shared" ca="1" si="2"/>
        <v>0</v>
      </c>
      <c r="L19" s="139">
        <f ca="1">IF(K19&gt;1,K19*LOOKUP($K$8,Lists!$A$2:$A$812,IF($K$2="Non-Federal",Lists!$D$2:$D$812,Lists!$C$2:$C$812)),0)</f>
        <v>0</v>
      </c>
      <c r="M19" s="232">
        <f>IF(G19&gt;0,'BP1'!M19,)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IF($G20&gt;0,'BP1'!H20,)</f>
        <v>0</v>
      </c>
      <c r="I20" s="218">
        <f>IF($G20&gt;0,'BP1'!I20,)</f>
        <v>0</v>
      </c>
      <c r="J20" s="218">
        <f>IF($G20&gt;0,'BP1'!J20,)</f>
        <v>0</v>
      </c>
      <c r="K20" s="138">
        <f t="shared" ca="1" si="2"/>
        <v>0</v>
      </c>
      <c r="L20" s="139">
        <f ca="1">IF(K20&gt;1,K20*LOOKUP($K$8,Lists!$A$2:$A$812,IF($K$2="Non-Federal",Lists!$D$2:$D$812,Lists!$C$2:$C$812)),0)</f>
        <v>0</v>
      </c>
      <c r="M20" s="232">
        <f>IF(G20&gt;0,'BP1'!M20,)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IF($G21&gt;0,'BP1'!H21,)</f>
        <v>0</v>
      </c>
      <c r="I21" s="218">
        <f>IF($G21&gt;0,'BP1'!I21,)</f>
        <v>0</v>
      </c>
      <c r="J21" s="218">
        <f>IF($G21&gt;0,'BP1'!J21,)</f>
        <v>0</v>
      </c>
      <c r="K21" s="138">
        <f t="shared" ca="1" si="2"/>
        <v>0</v>
      </c>
      <c r="L21" s="139">
        <f ca="1">IF(K21&gt;1,K21*LOOKUP($K$8,Lists!$A$2:$A$812,IF($K$2="Non-Federal",Lists!$D$2:$D$812,Lists!$C$2:$C$812)),0)</f>
        <v>0</v>
      </c>
      <c r="M21" s="232">
        <f>IF(G21&gt;0,'BP1'!M21,)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IF($G22&gt;0,'BP1'!H22,)</f>
        <v>0</v>
      </c>
      <c r="I22" s="218">
        <f>IF($G22&gt;0,'BP1'!I22,)</f>
        <v>0</v>
      </c>
      <c r="J22" s="218">
        <f>IF($G22&gt;0,'BP1'!J22,)</f>
        <v>0</v>
      </c>
      <c r="K22" s="138">
        <f t="shared" ca="1" si="2"/>
        <v>0</v>
      </c>
      <c r="L22" s="139">
        <f ca="1">IF(K22&gt;1,K22*LOOKUP($K$8,Lists!$A$2:$A$812,IF($K$2="Non-Federal",Lists!$D$2:$D$812,Lists!$C$2:$C$812)),0)</f>
        <v>0</v>
      </c>
      <c r="M22" s="232">
        <f>IF(G22&gt;0,'BP1'!M22,)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IF($G23&gt;0,'BP1'!H23,)</f>
        <v>0</v>
      </c>
      <c r="I23" s="218">
        <f>IF($G23&gt;0,'BP1'!I23,)</f>
        <v>0</v>
      </c>
      <c r="J23" s="218">
        <f>IF($G23&gt;0,'BP1'!J23,)</f>
        <v>0</v>
      </c>
      <c r="K23" s="138">
        <f t="shared" ca="1" si="2"/>
        <v>0</v>
      </c>
      <c r="L23" s="139">
        <f ca="1">IF(K23&gt;1,K23*LOOKUP($K$8,Lists!$A$2:$A$812,IF($K$2="Non-Federal",Lists!$D$2:$D$812,Lists!$C$2:$C$812)),0)</f>
        <v>0</v>
      </c>
      <c r="M23" s="232">
        <f>IF(G23&gt;0,'BP1'!M23,)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IF($G24&gt;0,'BP1'!H24,)</f>
        <v>0</v>
      </c>
      <c r="I24" s="218">
        <f>IF($G24&gt;0,'BP1'!I24,)</f>
        <v>0</v>
      </c>
      <c r="J24" s="218">
        <f>IF($G24&gt;0,'BP1'!J24,)</f>
        <v>0</v>
      </c>
      <c r="K24" s="138">
        <f t="shared" ca="1" si="2"/>
        <v>0</v>
      </c>
      <c r="L24" s="139">
        <f ca="1">IF(K24&gt;1,K24*LOOKUP($K$8,Lists!$A$2:$A$812,IF($K$2="Non-Federal",Lists!$D$2:$D$812,Lists!$C$2:$C$812)),0)</f>
        <v>0</v>
      </c>
      <c r="M24" s="232">
        <f>IF(G24&gt;0,'BP1'!M24,)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IF($G25&gt;0,'BP1'!H25,)</f>
        <v>0</v>
      </c>
      <c r="I25" s="218">
        <f>IF($G25&gt;0,'BP1'!I25,)</f>
        <v>0</v>
      </c>
      <c r="J25" s="218">
        <f>IF($G25&gt;0,'BP1'!J25,)</f>
        <v>0</v>
      </c>
      <c r="K25" s="138">
        <f t="shared" ca="1" si="2"/>
        <v>0</v>
      </c>
      <c r="L25" s="139">
        <f ca="1">IF(K25&gt;1,K25*LOOKUP($K$8,Lists!$A$2:$A$812,IF($K$2="Non-Federal",Lists!$D$2:$D$812,Lists!$C$2:$C$812)),0)</f>
        <v>0</v>
      </c>
      <c r="M25" s="232">
        <f>IF(G25&gt;0,'BP1'!M25,)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IF($G26&gt;0,'BP1'!H26,)</f>
        <v>0</v>
      </c>
      <c r="I26" s="218">
        <f>IF($G26&gt;0,'BP1'!I26,)</f>
        <v>0</v>
      </c>
      <c r="J26" s="218">
        <f>IF($G26&gt;0,'BP1'!J26,)</f>
        <v>0</v>
      </c>
      <c r="K26" s="138">
        <f t="shared" ca="1" si="2"/>
        <v>0</v>
      </c>
      <c r="L26" s="139">
        <f ca="1">IF(K26&gt;1,K26*LOOKUP($K$8,Lists!$A$2:$A$812,IF($K$2="Non-Federal",Lists!$D$2:$D$812,Lists!$C$2:$C$812)),0)</f>
        <v>0</v>
      </c>
      <c r="M26" s="232">
        <f>IF(G26&gt;0,'BP1'!M26,)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IF($G27&gt;0,'BP1'!H27,)</f>
        <v>0</v>
      </c>
      <c r="I27" s="218">
        <f>IF($G27&gt;0,'BP1'!I27,)</f>
        <v>0</v>
      </c>
      <c r="J27" s="218">
        <f>IF($G27&gt;0,'BP1'!J27,)</f>
        <v>0</v>
      </c>
      <c r="K27" s="138">
        <f t="shared" ca="1" si="2"/>
        <v>0</v>
      </c>
      <c r="L27" s="139">
        <f ca="1">IF(K27&gt;1,K27*LOOKUP($K$8,Lists!$A$2:$A$812,IF($K$2="Non-Federal",Lists!$D$2:$D$812,Lists!$C$2:$C$812)),0)</f>
        <v>0</v>
      </c>
      <c r="M27" s="232">
        <f>IF(G27&gt;0,'BP1'!M27,)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IF($G28&gt;0,'BP1'!H28,)</f>
        <v>0</v>
      </c>
      <c r="I28" s="218">
        <f>IF($G28&gt;0,'BP1'!I28,)</f>
        <v>0</v>
      </c>
      <c r="J28" s="218">
        <f>IF($G28&gt;0,'BP1'!J28,)</f>
        <v>0</v>
      </c>
      <c r="K28" s="138">
        <f t="shared" ca="1" si="2"/>
        <v>0</v>
      </c>
      <c r="L28" s="139">
        <f ca="1">IF(K28&gt;1,K28*LOOKUP($K$8,Lists!$A$2:$A$812,IF($K$2="Non-Federal",Lists!$D$2:$D$812,Lists!$C$2:$C$812)),0)</f>
        <v>0</v>
      </c>
      <c r="M28" s="232">
        <f>IF(G28&gt;0,'BP1'!M28,)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IF($G29&gt;0,'BP1'!H29,)</f>
        <v>0</v>
      </c>
      <c r="I29" s="218">
        <f>IF($G29&gt;0,'BP1'!I29,)</f>
        <v>0</v>
      </c>
      <c r="J29" s="218">
        <f>IF($G29&gt;0,'BP1'!J29,)</f>
        <v>0</v>
      </c>
      <c r="K29" s="138">
        <f t="shared" ca="1" si="2"/>
        <v>0</v>
      </c>
      <c r="L29" s="139">
        <f ca="1">IF(K29&gt;1,K29*LOOKUP($K$8,Lists!$A$2:$A$812,IF($K$2="Non-Federal",Lists!$D$2:$D$812,Lists!$C$2:$C$812)),0)</f>
        <v>0</v>
      </c>
      <c r="M29" s="232">
        <f>IF(G29&gt;0,'BP1'!M29,)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40">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26"/>
      <c r="L31" s="355"/>
      <c r="M31" s="356"/>
      <c r="N31" s="26"/>
      <c r="O31" s="27"/>
      <c r="P31" s="193" t="s">
        <v>105</v>
      </c>
      <c r="Q31" s="326"/>
      <c r="R31" s="115" t="s">
        <v>215</v>
      </c>
    </row>
    <row r="32" spans="1:18" s="2" customFormat="1" ht="14.25" customHeight="1">
      <c r="A32" s="183" t="s">
        <v>3</v>
      </c>
      <c r="B32" s="378">
        <f>IF($A$5&lt;=$K$5,'BP1'!B32,0)</f>
        <v>0</v>
      </c>
      <c r="C32" s="178" t="s">
        <v>453</v>
      </c>
      <c r="D32" s="180" t="str">
        <f>'BP1'!D32</f>
        <v>Postdoctoral Scholar</v>
      </c>
      <c r="E32" s="180"/>
      <c r="F32" s="180"/>
      <c r="G32" s="433">
        <v>12</v>
      </c>
      <c r="H32" s="196">
        <f>IF($A$5&lt;=$K$5,(IF('BP1'!H32&lt;&gt;'BP1'!B32*12,'BP1'!H32,B32*12)),0)</f>
        <v>0</v>
      </c>
      <c r="I32" s="103"/>
      <c r="J32" s="103"/>
      <c r="K32" s="138">
        <f t="shared" ref="K32:K40" ca="1" si="4">IFERROR(P32/12*H32,)</f>
        <v>0</v>
      </c>
      <c r="L32" s="139">
        <f>IF($A$5&lt;=$K$5,K32*LOOKUP($K$8,Lists!$A$2:$A$812,IF('BP1'!$K$2="Non-Federal",Lists!$D$2:$D$812,Lists!$C$2:$C$812)),0)</f>
        <v>0</v>
      </c>
      <c r="M32" s="232">
        <f>IF(B32&gt;0,'BP1'!M32,)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IF($A$5&lt;=$K$5,'BP1'!B33,0)</f>
        <v>0</v>
      </c>
      <c r="C33" s="178" t="s">
        <v>453</v>
      </c>
      <c r="D33" s="180" t="str">
        <f>'BP1'!D33</f>
        <v>Other Professional</v>
      </c>
      <c r="E33" s="180"/>
      <c r="F33" s="180"/>
      <c r="G33" s="433">
        <v>12</v>
      </c>
      <c r="H33" s="196">
        <f>IF($A$5&lt;=$K$5,(IF('BP1'!H33&lt;&gt;'BP1'!B33*12,'BP1'!H33,B33*12)),0)</f>
        <v>0</v>
      </c>
      <c r="I33" s="103"/>
      <c r="J33" s="103"/>
      <c r="K33" s="138">
        <f t="shared" ca="1" si="4"/>
        <v>0</v>
      </c>
      <c r="L33" s="139">
        <f>IF($A$5&lt;=$K$5,K33*LOOKUP($K$8,Lists!$A$2:$A$812,IF('BP1'!$K$2="Non-Federal",Lists!$D$2:$D$812,Lists!$C$2:$C$812)),0)</f>
        <v>0</v>
      </c>
      <c r="M33" s="232">
        <f>IF(B33&gt;0,'BP1'!M33,)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IF($A$5&lt;=$K$5,'BP1'!B34,0)</f>
        <v>0</v>
      </c>
      <c r="C34" s="178" t="s">
        <v>453</v>
      </c>
      <c r="D34" s="180" t="str">
        <f>'BP1'!D34</f>
        <v>Other Professional</v>
      </c>
      <c r="E34" s="180"/>
      <c r="F34" s="180"/>
      <c r="G34" s="433">
        <v>12</v>
      </c>
      <c r="H34" s="196">
        <f>IF($A$5&lt;=$K$5,(IF('BP1'!H34&lt;&gt;'BP1'!B34*12,'BP1'!H34,B34*12)),0)</f>
        <v>0</v>
      </c>
      <c r="I34" s="103"/>
      <c r="J34" s="103"/>
      <c r="K34" s="138">
        <f t="shared" ca="1" si="4"/>
        <v>0</v>
      </c>
      <c r="L34" s="139">
        <f>IF($A$5&lt;=$K$5,K34*LOOKUP($K$8,Lists!$A$2:$A$812,IF('BP1'!$K$2="Non-Federal",Lists!$D$2:$D$812,Lists!$C$2:$C$812)),0)</f>
        <v>0</v>
      </c>
      <c r="M34" s="232">
        <f>IF(B34&gt;0,'BP1'!M34,)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IF($A$5&lt;=$K$5,'BP1'!B35,0)</f>
        <v>0</v>
      </c>
      <c r="C35" s="178" t="s">
        <v>453</v>
      </c>
      <c r="D35" s="180" t="str">
        <f>'BP1'!D35</f>
        <v>Other Professional</v>
      </c>
      <c r="E35" s="180"/>
      <c r="F35" s="180"/>
      <c r="G35" s="433">
        <v>12</v>
      </c>
      <c r="H35" s="196">
        <f>IF($A$5&lt;=$K$5,(IF('BP1'!H35&lt;&gt;'BP1'!B35*12,'BP1'!H35,B35*12)),0)</f>
        <v>0</v>
      </c>
      <c r="I35" s="103"/>
      <c r="J35" s="103"/>
      <c r="K35" s="138">
        <f t="shared" ca="1" si="4"/>
        <v>0</v>
      </c>
      <c r="L35" s="139">
        <f>IF($A$5&lt;=$K$5,K35*LOOKUP($K$8,Lists!$A$2:$A$812,IF('BP1'!$K$2="Non-Federal",Lists!$D$2:$D$812,Lists!$C$2:$C$812)),0)</f>
        <v>0</v>
      </c>
      <c r="M35" s="232">
        <f>IF(B35&gt;0,'BP1'!M35,)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IF($A$5&lt;=$K$5,'BP1'!B36,0)</f>
        <v>0</v>
      </c>
      <c r="C36" s="178" t="s">
        <v>453</v>
      </c>
      <c r="D36" s="180" t="str">
        <f>'BP1'!D36</f>
        <v>Other Professional</v>
      </c>
      <c r="E36" s="180"/>
      <c r="F36" s="180"/>
      <c r="G36" s="433">
        <v>12</v>
      </c>
      <c r="H36" s="196">
        <f>IF($A$5&lt;=$K$5,(IF('BP1'!H36&lt;&gt;'BP1'!B36*12,'BP1'!H36,B36*12)),0)</f>
        <v>0</v>
      </c>
      <c r="I36" s="103"/>
      <c r="J36" s="103"/>
      <c r="K36" s="138">
        <f t="shared" ca="1" si="4"/>
        <v>0</v>
      </c>
      <c r="L36" s="139">
        <f>IF($A$5&lt;=$K$5,K36*LOOKUP($K$8,Lists!$A$2:$A$812,IF('BP1'!$K$2="Non-Federal",Lists!$D$2:$D$812,Lists!$C$2:$C$812)),0)</f>
        <v>0</v>
      </c>
      <c r="M36" s="232">
        <f>IF(B36&gt;0,'BP1'!M36,)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IF($A$5&lt;=$K$5,'BP1'!B37,0)</f>
        <v>0</v>
      </c>
      <c r="C37" s="178" t="s">
        <v>453</v>
      </c>
      <c r="D37" s="180" t="str">
        <f>'BP1'!D37</f>
        <v>Other Professional</v>
      </c>
      <c r="E37" s="180"/>
      <c r="F37" s="180"/>
      <c r="G37" s="433">
        <v>12</v>
      </c>
      <c r="H37" s="196">
        <f>IF($A$5&lt;=$K$5,(IF('BP1'!H37&lt;&gt;'BP1'!B37*12,'BP1'!H37,B37*12)),0)</f>
        <v>0</v>
      </c>
      <c r="I37" s="103"/>
      <c r="J37" s="103"/>
      <c r="K37" s="138">
        <f t="shared" ca="1" si="4"/>
        <v>0</v>
      </c>
      <c r="L37" s="139">
        <f>IF($A$5&lt;=$K$5,K37*LOOKUP($K$8,Lists!$A$2:$A$812,IF('BP1'!$K$2="Non-Federal",Lists!$D$2:$D$812,Lists!$C$2:$C$812)),0)</f>
        <v>0</v>
      </c>
      <c r="M37" s="232">
        <f>IF(B37&gt;0,'BP1'!M37,)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IF($A$5&lt;=$K$5,'BP1'!B38,0)</f>
        <v>0</v>
      </c>
      <c r="C38" s="178" t="s">
        <v>453</v>
      </c>
      <c r="D38" s="180" t="str">
        <f>"Graduate Student"&amp;IF(B38&gt;0,"s",)</f>
        <v>Graduate Student</v>
      </c>
      <c r="E38" s="180"/>
      <c r="F38" s="180"/>
      <c r="G38" s="433">
        <v>12</v>
      </c>
      <c r="H38" s="196">
        <f>IF($A$5&lt;=$K$5,(IF('BP1'!H38&lt;&gt;'BP1'!B38*12,'BP1'!H38,B38*12)),0)</f>
        <v>0</v>
      </c>
      <c r="I38" s="103"/>
      <c r="J38" s="103"/>
      <c r="K38" s="138">
        <f t="shared" ca="1" si="4"/>
        <v>0</v>
      </c>
      <c r="L38" s="139">
        <f ca="1">K38*IF(K2="Federal",LOOKUP($K$8,Lists!$A$2:$A$812,Lists!$F$2:$F$812),0.1)</f>
        <v>0</v>
      </c>
      <c r="M38" s="232">
        <f>IF(B38&gt;0,'BP1'!M38,)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IF($A$5&lt;=$K$5,'BP1'!B39,0)</f>
        <v>0</v>
      </c>
      <c r="C39" s="178" t="s">
        <v>453</v>
      </c>
      <c r="D39" s="180" t="str">
        <f>"Undergraduate Student"&amp;IF(B39&gt;0,"s",)</f>
        <v>Undergraduate Student</v>
      </c>
      <c r="E39" s="180"/>
      <c r="F39" s="180"/>
      <c r="G39" s="433">
        <v>12</v>
      </c>
      <c r="H39" s="196">
        <f>IF($A$5&lt;=$K$5,(IF('BP1'!H39&lt;&gt;'BP1'!B39*12,'BP1'!H39,B39*12)),0)</f>
        <v>0</v>
      </c>
      <c r="I39" s="103"/>
      <c r="J39" s="103"/>
      <c r="K39" s="138">
        <f t="shared" ca="1" si="4"/>
        <v>0</v>
      </c>
      <c r="L39" s="103"/>
      <c r="M39" s="232">
        <f>IF(B39&gt;0,'BP1'!M39,)</f>
        <v>0</v>
      </c>
      <c r="N39" s="138">
        <f t="shared" ca="1" si="5"/>
        <v>0</v>
      </c>
      <c r="O39" s="197"/>
      <c r="P39" s="203">
        <f ca="1">IF($A$5&lt;=$K$5,INDIRECT("BP"&amp;$A$5-1&amp;"!P39")*(1+$K$7),0)</f>
        <v>0</v>
      </c>
      <c r="Q39" s="324"/>
      <c r="R39" s="115" t="s">
        <v>215</v>
      </c>
    </row>
    <row r="40" spans="1:18" s="2" customFormat="1" ht="14.25" customHeight="1" thickBot="1">
      <c r="A40" s="183" t="s">
        <v>6</v>
      </c>
      <c r="B40" s="378">
        <f>IF($A$5&lt;=$K$5,'BP1'!B40,0)</f>
        <v>0</v>
      </c>
      <c r="C40" s="178" t="s">
        <v>453</v>
      </c>
      <c r="D40" s="180" t="str">
        <f>"Other"&amp;IF(B40&gt;0,"s",)&amp;" (Carrying Statutory Benefits)"</f>
        <v>Other (Carrying Statutory Benefits)</v>
      </c>
      <c r="E40" s="180"/>
      <c r="F40" s="180"/>
      <c r="G40" s="433">
        <v>12</v>
      </c>
      <c r="H40" s="196">
        <f>IF($A$5&lt;=$K$5,(IF('BP1'!H40&lt;&gt;'BP1'!B40*12,'BP1'!H40,B40*12)),0)</f>
        <v>0</v>
      </c>
      <c r="I40" s="103"/>
      <c r="J40" s="103"/>
      <c r="K40" s="138">
        <f t="shared" ca="1" si="4"/>
        <v>0</v>
      </c>
      <c r="L40" s="139">
        <f ca="1">K40*IF(K2="Federal",LOOKUP($K$8,Lists!$A$2:$A$812,Lists!$E$2:$E$812),0.065)</f>
        <v>0</v>
      </c>
      <c r="M40" s="232">
        <f>IF(B40&gt;0,'BP1'!M40,)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9"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9"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9" s="2" customFormat="1" ht="14.25" customHeight="1">
      <c r="A51" s="186" t="s">
        <v>205</v>
      </c>
      <c r="B51" s="184"/>
      <c r="C51" s="184"/>
      <c r="D51" s="187"/>
      <c r="E51" s="187"/>
      <c r="F51" s="188"/>
      <c r="G51" s="366" t="s">
        <v>454</v>
      </c>
      <c r="H51" s="691" t="s">
        <v>88</v>
      </c>
      <c r="I51" s="692"/>
      <c r="J51" s="692"/>
      <c r="K51" s="701">
        <f>IF($A$5&lt;=$K$5,(IF(SUM('Travel Calculator'!$L$14:$M$14)&gt;0,('Travel Calculator'!$L$10*(1-'Travel Calculator'!$N$4)),'BP1'!$K$51)),)</f>
        <v>0</v>
      </c>
      <c r="L51" s="702"/>
      <c r="M51" s="229"/>
      <c r="N51" s="701">
        <f>IF($A$5&lt;=$K$5,(IF(SUM('Travel Calculator'!$L$14:$M$14)&gt;0,('Travel Calculator'!$L$10*('Travel Calculator'!$N$4)),'BP1'!$N$51)),)</f>
        <v>0</v>
      </c>
      <c r="O51" s="702"/>
      <c r="R51" s="115" t="s">
        <v>215</v>
      </c>
    </row>
    <row r="52" spans="1:19" s="2" customFormat="1" ht="14.25" customHeight="1" thickBot="1">
      <c r="A52" s="186"/>
      <c r="B52" s="184"/>
      <c r="C52" s="184"/>
      <c r="D52" s="187"/>
      <c r="E52" s="187"/>
      <c r="F52" s="364"/>
      <c r="G52" s="366" t="s">
        <v>455</v>
      </c>
      <c r="H52" s="691" t="s">
        <v>89</v>
      </c>
      <c r="I52" s="692"/>
      <c r="J52" s="692"/>
      <c r="K52" s="699">
        <f>IF($A$5&lt;=$K$5,(IF(SUM('Travel Calculator'!$L$14:$M$14)&gt;0,('Travel Calculator'!$M$10*(1-'Travel Calculator'!$N$4)),'BP1'!$K$52)),)</f>
        <v>0</v>
      </c>
      <c r="L52" s="700"/>
      <c r="M52" s="229"/>
      <c r="N52" s="699">
        <f>IF($A$5&lt;=$K$5,(IF(SUM('Travel Calculator'!$L$14:$M$14)&gt;0,('Travel Calculator'!$M$10*('Travel Calculator'!$N$4)),'BP1'!$N$52)),)</f>
        <v>0</v>
      </c>
      <c r="O52" s="700"/>
      <c r="R52" s="115" t="s">
        <v>215</v>
      </c>
    </row>
    <row r="53" spans="1:19"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9" s="2" customFormat="1" ht="14.25" customHeight="1">
      <c r="A54" s="186" t="s">
        <v>206</v>
      </c>
      <c r="B54" s="184"/>
      <c r="C54" s="184"/>
      <c r="D54" s="187"/>
      <c r="E54" s="187"/>
      <c r="F54" s="187"/>
      <c r="G54" s="187"/>
      <c r="H54" s="184"/>
      <c r="I54" s="191"/>
      <c r="J54" s="184"/>
      <c r="K54" s="24"/>
      <c r="L54" s="21"/>
      <c r="M54" s="229"/>
      <c r="N54" s="30"/>
      <c r="O54" s="31"/>
      <c r="R54" s="115" t="s">
        <v>215</v>
      </c>
    </row>
    <row r="55" spans="1:19" s="2" customFormat="1" ht="14.25" customHeight="1">
      <c r="A55" s="186"/>
      <c r="B55" s="192">
        <v>1</v>
      </c>
      <c r="C55" s="622" t="str">
        <f>'BP1'!C55</f>
        <v>Materials and Supplies</v>
      </c>
      <c r="D55" s="622"/>
      <c r="E55" s="622"/>
      <c r="F55" s="622"/>
      <c r="G55" s="622"/>
      <c r="H55" s="622"/>
      <c r="I55" s="622"/>
      <c r="J55" s="691"/>
      <c r="K55" s="847">
        <f>IF($A$5&lt;=$K$5,'BP1'!K55:L55,0)</f>
        <v>0</v>
      </c>
      <c r="L55" s="848"/>
      <c r="M55" s="229"/>
      <c r="N55" s="608">
        <f>IF($A$5&lt;='BP1'!$K$5,'BP1'!N55,0)</f>
        <v>0</v>
      </c>
      <c r="O55" s="609"/>
      <c r="R55" s="115" t="s">
        <v>215</v>
      </c>
    </row>
    <row r="56" spans="1:19" s="2" customFormat="1" ht="14.25" customHeight="1">
      <c r="A56" s="186"/>
      <c r="B56" s="192">
        <v>2</v>
      </c>
      <c r="C56" s="622" t="str">
        <f>'BP1'!C56</f>
        <v>Publication Costs</v>
      </c>
      <c r="D56" s="622"/>
      <c r="E56" s="622"/>
      <c r="F56" s="622"/>
      <c r="G56" s="622"/>
      <c r="H56" s="622"/>
      <c r="I56" s="622"/>
      <c r="J56" s="691"/>
      <c r="K56" s="847">
        <f>IF($A$5&lt;=$K$5,'BP1'!K56:L56,0)</f>
        <v>0</v>
      </c>
      <c r="L56" s="848"/>
      <c r="M56" s="229"/>
      <c r="N56" s="608">
        <f>IF($A$5&lt;='BP1'!$K$5,'BP1'!N56,0)</f>
        <v>0</v>
      </c>
      <c r="O56" s="609"/>
      <c r="R56" s="115" t="s">
        <v>215</v>
      </c>
    </row>
    <row r="57" spans="1:19" s="2" customFormat="1" ht="14.25" customHeight="1">
      <c r="A57" s="186"/>
      <c r="B57" s="192">
        <v>3</v>
      </c>
      <c r="C57" s="622" t="str">
        <f>'BP1'!C57</f>
        <v>Consultant Services</v>
      </c>
      <c r="D57" s="622"/>
      <c r="E57" s="622"/>
      <c r="F57" s="622"/>
      <c r="G57" s="622"/>
      <c r="H57" s="622"/>
      <c r="I57" s="622"/>
      <c r="J57" s="691"/>
      <c r="K57" s="847">
        <f>IF($A$5&lt;=$K$5,'BP1'!K57:L57,0)</f>
        <v>0</v>
      </c>
      <c r="L57" s="848"/>
      <c r="M57" s="229"/>
      <c r="N57" s="608">
        <f>IF($A$5&lt;='BP1'!$K$5,'BP1'!N57,0)</f>
        <v>0</v>
      </c>
      <c r="O57" s="609"/>
      <c r="R57" s="115" t="s">
        <v>215</v>
      </c>
    </row>
    <row r="58" spans="1:19" s="2" customFormat="1" ht="14.25" customHeight="1">
      <c r="A58" s="186"/>
      <c r="B58" s="192">
        <v>4</v>
      </c>
      <c r="C58" s="622" t="str">
        <f>'BP1'!C58</f>
        <v>Computer Services</v>
      </c>
      <c r="D58" s="622"/>
      <c r="E58" s="622"/>
      <c r="F58" s="622"/>
      <c r="G58" s="622"/>
      <c r="H58" s="622"/>
      <c r="I58" s="622"/>
      <c r="J58" s="691"/>
      <c r="K58" s="847">
        <f>IF($A$5&lt;=$K$5,'BP1'!K58:L58,0)</f>
        <v>0</v>
      </c>
      <c r="L58" s="848"/>
      <c r="M58" s="229"/>
      <c r="N58" s="608">
        <f>IF($A$5&lt;='BP1'!$K$5,'BP1'!N58,0)</f>
        <v>0</v>
      </c>
      <c r="O58" s="609"/>
      <c r="R58" s="115" t="s">
        <v>215</v>
      </c>
    </row>
    <row r="59" spans="1:19"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9" s="2" customFormat="1" ht="14.25" customHeight="1">
      <c r="A60" s="186"/>
      <c r="B60" s="192">
        <v>6</v>
      </c>
      <c r="C60" s="622" t="str">
        <f>'BP1'!C60</f>
        <v>MTDC Other</v>
      </c>
      <c r="D60" s="622"/>
      <c r="E60" s="622"/>
      <c r="F60" s="622"/>
      <c r="G60" s="622"/>
      <c r="H60" s="622"/>
      <c r="I60" s="622"/>
      <c r="J60" s="691"/>
      <c r="K60" s="834">
        <f>IF($A$5&lt;=$K$5,'BP1'!K60:L60,0)</f>
        <v>0</v>
      </c>
      <c r="L60" s="834"/>
      <c r="M60" s="229"/>
      <c r="N60" s="608">
        <f>IF($A$5&lt;='BP1'!$K$5,'BP1'!N60,0)</f>
        <v>0</v>
      </c>
      <c r="O60" s="609"/>
      <c r="P60" s="5"/>
      <c r="Q60" s="5"/>
      <c r="R60" s="115" t="s">
        <v>215</v>
      </c>
    </row>
    <row r="61" spans="1:19" s="2" customFormat="1" ht="14.25" customHeight="1" thickBot="1">
      <c r="A61" s="186"/>
      <c r="B61" s="192">
        <v>7</v>
      </c>
      <c r="C61" s="622" t="str">
        <f>'BP1'!C61</f>
        <v>Non-MTDC Other (no indirect costs)</v>
      </c>
      <c r="D61" s="622"/>
      <c r="E61" s="622"/>
      <c r="F61" s="622"/>
      <c r="G61" s="622"/>
      <c r="H61" s="622"/>
      <c r="I61" s="622"/>
      <c r="J61" s="691"/>
      <c r="K61" s="849">
        <f>IF($A$5&lt;=$K$5,'BP1'!K61:L61,0)</f>
        <v>0</v>
      </c>
      <c r="L61" s="849"/>
      <c r="M61" s="229"/>
      <c r="N61" s="851">
        <f>IF($A$5&lt;='BP1'!$K$5,'BP1'!N61,0)</f>
        <v>0</v>
      </c>
      <c r="O61" s="852"/>
      <c r="P61" s="193" t="s">
        <v>143</v>
      </c>
      <c r="Q61" s="326"/>
      <c r="R61" s="115" t="s">
        <v>215</v>
      </c>
    </row>
    <row r="62" spans="1:19" s="2" customFormat="1" ht="14.25" customHeight="1" thickBot="1">
      <c r="A62" s="146"/>
      <c r="B62" s="211">
        <v>8</v>
      </c>
      <c r="C62" s="622" t="s">
        <v>561</v>
      </c>
      <c r="D62" s="622"/>
      <c r="E62" s="620" t="s">
        <v>288</v>
      </c>
      <c r="F62" s="621"/>
      <c r="G62" s="610">
        <f>'Subaward Calculator'!B8</f>
        <v>0</v>
      </c>
      <c r="H62" s="611"/>
      <c r="I62" s="612"/>
      <c r="J62" s="254">
        <f>IF('BP1'!K62&lt;25000,25000-('BP1'!K62),0)</f>
        <v>25000</v>
      </c>
      <c r="K62" s="707">
        <f>IF(AND(SUM('BP1'!K62)&gt;0,'Subaward Calculator'!AD9=0,'BP1'!K5&gt;1),'BP1'!K62,'Subaward Calculator'!J9)</f>
        <v>0</v>
      </c>
      <c r="L62" s="708"/>
      <c r="M62" s="229"/>
      <c r="N62" s="837">
        <f>IF(AND(SUM('BP1'!N62)&gt;0,'Subaward Calculator'!AF9=0,'BP1'!K5&gt;1),'BP1'!N62,'Subaward Calculator'!L9)</f>
        <v>0</v>
      </c>
      <c r="O62" s="838"/>
      <c r="P62" s="482">
        <f>'Subaward Calculator'!B9</f>
        <v>0</v>
      </c>
      <c r="Q62" s="332"/>
      <c r="R62" s="115" t="s">
        <v>215</v>
      </c>
      <c r="S62" s="58"/>
    </row>
    <row r="63" spans="1:19" s="2" customFormat="1" ht="14.25" hidden="1" customHeight="1" thickBot="1">
      <c r="A63" s="186"/>
      <c r="B63" s="211"/>
      <c r="C63" s="622" t="s">
        <v>562</v>
      </c>
      <c r="D63" s="622"/>
      <c r="E63" s="620" t="s">
        <v>288</v>
      </c>
      <c r="F63" s="621"/>
      <c r="G63" s="610">
        <f>'Subaward Calculator'!B11</f>
        <v>0</v>
      </c>
      <c r="H63" s="611"/>
      <c r="I63" s="612"/>
      <c r="J63" s="254">
        <f>IF('BP1'!K63&lt;25000,25000-('BP1'!K63),0)</f>
        <v>25000</v>
      </c>
      <c r="K63" s="707">
        <f>IF(AND(SUM('BP1'!K63)&gt;0,'Subaward Calculator'!AD12=0,'BP1'!K5&gt;1),'BP1'!K63,'Subaward Calculator'!J12)</f>
        <v>0</v>
      </c>
      <c r="L63" s="708"/>
      <c r="M63" s="229"/>
      <c r="N63" s="837">
        <f>IF(AND(SUM('BP1'!N63)&gt;0,'Subaward Calculator'!AF12=0,'BP1'!K5&gt;1),'BP1'!N63,'Subaward Calculator'!L12)</f>
        <v>0</v>
      </c>
      <c r="O63" s="838"/>
      <c r="P63" s="482">
        <f>'Subaward Calculator'!B12</f>
        <v>0</v>
      </c>
      <c r="Q63" s="332"/>
      <c r="R63" s="115" t="s">
        <v>218</v>
      </c>
      <c r="S63" s="58"/>
    </row>
    <row r="64" spans="1:19" s="2" customFormat="1" ht="14.25" hidden="1" customHeight="1" thickBot="1">
      <c r="A64" s="146"/>
      <c r="B64" s="211"/>
      <c r="C64" s="622" t="s">
        <v>563</v>
      </c>
      <c r="D64" s="622"/>
      <c r="E64" s="620" t="s">
        <v>288</v>
      </c>
      <c r="F64" s="621"/>
      <c r="G64" s="610">
        <f>'Subaward Calculator'!B14</f>
        <v>0</v>
      </c>
      <c r="H64" s="611"/>
      <c r="I64" s="612"/>
      <c r="J64" s="254">
        <f>IF('BP1'!K64&lt;25000,25000-('BP1'!K64),0)</f>
        <v>25000</v>
      </c>
      <c r="K64" s="707">
        <f>IF(AND(SUM('BP1'!K64)&gt;0,'Subaward Calculator'!AD15=0,'BP1'!K5&gt;1),'BP1'!K64,'Subaward Calculator'!J15)</f>
        <v>0</v>
      </c>
      <c r="L64" s="708"/>
      <c r="M64" s="229"/>
      <c r="N64" s="837">
        <f>IF(AND(SUM('BP1'!N64)&gt;0,'Subaward Calculator'!AF15=0,'BP1'!K5&gt;1),'BP1'!N64,'Subaward Calculator'!L15)</f>
        <v>0</v>
      </c>
      <c r="O64" s="838"/>
      <c r="P64" s="482">
        <f>'Subaward Calculator'!B15</f>
        <v>0</v>
      </c>
      <c r="Q64" s="332"/>
      <c r="R64" s="115" t="s">
        <v>218</v>
      </c>
      <c r="S64" s="58"/>
    </row>
    <row r="65" spans="1:19" s="2" customFormat="1" ht="14.25" hidden="1" customHeight="1" thickBot="1">
      <c r="A65" s="146"/>
      <c r="B65" s="211"/>
      <c r="C65" s="622" t="s">
        <v>564</v>
      </c>
      <c r="D65" s="622"/>
      <c r="E65" s="620" t="s">
        <v>288</v>
      </c>
      <c r="F65" s="621"/>
      <c r="G65" s="610">
        <f>'Subaward Calculator'!B17</f>
        <v>0</v>
      </c>
      <c r="H65" s="611"/>
      <c r="I65" s="612"/>
      <c r="J65" s="254">
        <f>IF('BP1'!$K$65&lt;25000,25000-('BP1'!$K$65),0)</f>
        <v>25000</v>
      </c>
      <c r="K65" s="707">
        <f>IF(AND(SUM('BP1'!K65)&gt;0,'Subaward Calculator'!AD18=0,'BP1'!K5&gt;1),'BP1'!K65,'Subaward Calculator'!J18)</f>
        <v>0</v>
      </c>
      <c r="L65" s="708"/>
      <c r="M65" s="229"/>
      <c r="N65" s="837">
        <f>IF(AND(SUM('BP1'!N65)&gt;0,'Subaward Calculator'!AF18=0,'BP1'!K5&gt;1),'BP1'!N65,'Subaward Calculator'!L18)</f>
        <v>0</v>
      </c>
      <c r="O65" s="838"/>
      <c r="P65" s="482">
        <f>'Subaward Calculator'!B18</f>
        <v>0</v>
      </c>
      <c r="Q65" s="332"/>
      <c r="R65" s="115" t="s">
        <v>218</v>
      </c>
      <c r="S65" s="58"/>
    </row>
    <row r="66" spans="1:19" s="2" customFormat="1" ht="14.25" hidden="1" customHeight="1" thickBot="1">
      <c r="A66" s="146"/>
      <c r="B66" s="211"/>
      <c r="C66" s="622" t="s">
        <v>565</v>
      </c>
      <c r="D66" s="622"/>
      <c r="E66" s="620" t="s">
        <v>288</v>
      </c>
      <c r="F66" s="621"/>
      <c r="G66" s="610">
        <f>'Subaward Calculator'!B20</f>
        <v>0</v>
      </c>
      <c r="H66" s="611"/>
      <c r="I66" s="612"/>
      <c r="J66" s="254">
        <f>IF('BP1'!$K$66&lt;25000,25000-('BP1'!$K$66),0)</f>
        <v>25000</v>
      </c>
      <c r="K66" s="707">
        <f>IF(AND(SUM('BP1'!K66)&gt;0,'Subaward Calculator'!AD21=0,'BP1'!K5&gt;1),'BP1'!K66,'Subaward Calculator'!J21)</f>
        <v>0</v>
      </c>
      <c r="L66" s="708"/>
      <c r="M66" s="229"/>
      <c r="N66" s="837">
        <f>IF(AND(SUM('BP1'!N66)&gt;0,'Subaward Calculator'!AF21=0,'BP1'!K5&gt;1),'BP1'!N66,'Subaward Calculator'!L21)</f>
        <v>0</v>
      </c>
      <c r="O66" s="838"/>
      <c r="P66" s="482">
        <f>'Subaward Calculator'!B21</f>
        <v>0</v>
      </c>
      <c r="Q66" s="332"/>
      <c r="R66" s="115" t="s">
        <v>218</v>
      </c>
      <c r="S66" s="58"/>
    </row>
    <row r="67" spans="1:19" s="2" customFormat="1" ht="14.25" hidden="1" customHeight="1" thickBot="1">
      <c r="A67" s="146"/>
      <c r="B67" s="211"/>
      <c r="C67" s="622" t="s">
        <v>566</v>
      </c>
      <c r="D67" s="622"/>
      <c r="E67" s="620" t="s">
        <v>288</v>
      </c>
      <c r="F67" s="621"/>
      <c r="G67" s="610">
        <f>'Subaward Calculator'!B23</f>
        <v>0</v>
      </c>
      <c r="H67" s="611"/>
      <c r="I67" s="612"/>
      <c r="J67" s="254">
        <f>IF('BP1'!$K$67&lt;25000,25000-('BP1'!$K$67),0)</f>
        <v>25000</v>
      </c>
      <c r="K67" s="707">
        <f>IF(AND(SUM('BP1'!K67)&gt;0,'Subaward Calculator'!AD24=0,'BP1'!K5&gt;1),'BP1'!K67,'Subaward Calculator'!J24)</f>
        <v>0</v>
      </c>
      <c r="L67" s="708"/>
      <c r="M67" s="229"/>
      <c r="N67" s="837">
        <f>IF(AND(SUM('BP1'!N67)&gt;0,'Subaward Calculator'!AF24=0,'BP1'!K5&gt;1),'BP1'!N67,'Subaward Calculator'!L24)</f>
        <v>0</v>
      </c>
      <c r="O67" s="838"/>
      <c r="P67" s="482">
        <f>'Subaward Calculator'!B24</f>
        <v>0</v>
      </c>
      <c r="Q67" s="332"/>
      <c r="R67" s="115" t="s">
        <v>218</v>
      </c>
      <c r="S67" s="58"/>
    </row>
    <row r="68" spans="1:19" s="2" customFormat="1" ht="14.25" hidden="1" customHeight="1" thickBot="1">
      <c r="A68" s="146"/>
      <c r="B68" s="211"/>
      <c r="C68" s="622" t="s">
        <v>567</v>
      </c>
      <c r="D68" s="622"/>
      <c r="E68" s="620" t="s">
        <v>288</v>
      </c>
      <c r="F68" s="621"/>
      <c r="G68" s="610">
        <f>'Subaward Calculator'!B26</f>
        <v>0</v>
      </c>
      <c r="H68" s="611"/>
      <c r="I68" s="612"/>
      <c r="J68" s="254">
        <f>IF('BP1'!$K$68&lt;25000,25000-('BP1'!$K$68),0)</f>
        <v>25000</v>
      </c>
      <c r="K68" s="707">
        <f>IF(AND(SUM('BP1'!K68)&gt;0,'Subaward Calculator'!AD27=0,'BP1'!K5&gt;1),'BP1'!K68,'Subaward Calculator'!J27)</f>
        <v>0</v>
      </c>
      <c r="L68" s="708"/>
      <c r="M68" s="229"/>
      <c r="N68" s="837">
        <f>IF(AND(SUM('BP1'!N68)&gt;0,'Subaward Calculator'!AF27=0,'BP1'!K5&gt;1),'BP1'!N68,'Subaward Calculator'!L27)</f>
        <v>0</v>
      </c>
      <c r="O68" s="838"/>
      <c r="P68" s="482">
        <f>'Subaward Calculator'!B27</f>
        <v>0</v>
      </c>
      <c r="Q68" s="332"/>
      <c r="R68" s="115" t="s">
        <v>219</v>
      </c>
      <c r="S68" s="58"/>
    </row>
    <row r="69" spans="1:19" s="2" customFormat="1" ht="14.25" hidden="1" customHeight="1" thickBot="1">
      <c r="A69" s="146"/>
      <c r="B69" s="211"/>
      <c r="C69" s="622" t="s">
        <v>568</v>
      </c>
      <c r="D69" s="622"/>
      <c r="E69" s="620" t="s">
        <v>288</v>
      </c>
      <c r="F69" s="621"/>
      <c r="G69" s="610">
        <f>'Subaward Calculator'!B29</f>
        <v>0</v>
      </c>
      <c r="H69" s="611"/>
      <c r="I69" s="612"/>
      <c r="J69" s="254">
        <f>IF('BP1'!$K$69&lt;25000,25000-('BP1'!$K$69),0)</f>
        <v>25000</v>
      </c>
      <c r="K69" s="707">
        <f>IF(AND(SUM('BP1'!K69)&gt;0,'Subaward Calculator'!AD30=0,'BP1'!K5&gt;1),'BP1'!K69,'Subaward Calculator'!J30)</f>
        <v>0</v>
      </c>
      <c r="L69" s="708"/>
      <c r="M69" s="229"/>
      <c r="N69" s="837">
        <f>IF(AND(SUM('BP1'!N69)&gt;0,'Subaward Calculator'!AF30=0,'BP1'!K5&gt;1),'BP1'!N69,'Subaward Calculator'!L30)</f>
        <v>0</v>
      </c>
      <c r="O69" s="838"/>
      <c r="P69" s="482">
        <f>'Subaward Calculator'!B30</f>
        <v>0</v>
      </c>
      <c r="Q69" s="332"/>
      <c r="R69" s="115" t="s">
        <v>219</v>
      </c>
      <c r="S69" s="58"/>
    </row>
    <row r="70" spans="1:19" s="2" customFormat="1" ht="14.25" hidden="1" customHeight="1" thickBot="1">
      <c r="A70" s="146"/>
      <c r="B70" s="211"/>
      <c r="C70" s="622" t="s">
        <v>569</v>
      </c>
      <c r="D70" s="622"/>
      <c r="E70" s="620" t="s">
        <v>288</v>
      </c>
      <c r="F70" s="621"/>
      <c r="G70" s="610">
        <f>'Subaward Calculator'!B32</f>
        <v>0</v>
      </c>
      <c r="H70" s="611"/>
      <c r="I70" s="612"/>
      <c r="J70" s="254">
        <f>IF('BP1'!$K$70&lt;25000,25000-('BP1'!$K$70),0)</f>
        <v>25000</v>
      </c>
      <c r="K70" s="707">
        <f>IF(AND(SUM('BP1'!K70)&gt;0,'Subaward Calculator'!AD33=0,'BP1'!K5&gt;1),'BP1'!K70,'Subaward Calculator'!J33)</f>
        <v>0</v>
      </c>
      <c r="L70" s="708"/>
      <c r="M70" s="229"/>
      <c r="N70" s="837">
        <f>IF(AND(SUM('BP1'!N70)&gt;0,'Subaward Calculator'!AF33=0,'BP1'!K5&gt;1),'BP1'!N70,'Subaward Calculator'!L33)</f>
        <v>0</v>
      </c>
      <c r="O70" s="838"/>
      <c r="P70" s="482">
        <f>'Subaward Calculator'!B33</f>
        <v>0</v>
      </c>
      <c r="Q70" s="332"/>
      <c r="R70" s="115" t="s">
        <v>219</v>
      </c>
      <c r="S70" s="58"/>
    </row>
    <row r="71" spans="1:19" s="2" customFormat="1" ht="14.25" hidden="1" customHeight="1" thickBot="1">
      <c r="A71" s="146"/>
      <c r="B71" s="211"/>
      <c r="C71" s="622" t="s">
        <v>570</v>
      </c>
      <c r="D71" s="622"/>
      <c r="E71" s="620" t="s">
        <v>288</v>
      </c>
      <c r="F71" s="621"/>
      <c r="G71" s="610">
        <f>'Subaward Calculator'!B35</f>
        <v>0</v>
      </c>
      <c r="H71" s="611"/>
      <c r="I71" s="612"/>
      <c r="J71" s="254">
        <f>IF('BP1'!$K$71&lt;25000,25000-('BP1'!$K$71),0)</f>
        <v>25000</v>
      </c>
      <c r="K71" s="707">
        <f>IF(AND(SUM('BP1'!K71)&gt;0,'Subaward Calculator'!AD36=0,'BP1'!K5&gt;1),'BP1'!K71,'Subaward Calculator'!J36)</f>
        <v>0</v>
      </c>
      <c r="L71" s="708"/>
      <c r="M71" s="229"/>
      <c r="N71" s="837">
        <f>IF(AND(SUM('BP1'!N71)&gt;0,'Subaward Calculator'!AF36=0,'BP1'!K5&gt;1),'BP1'!N71,'Subaward Calculator'!L36)</f>
        <v>0</v>
      </c>
      <c r="O71" s="838"/>
      <c r="P71" s="482">
        <f>'Subaward Calculator'!B36</f>
        <v>0</v>
      </c>
      <c r="Q71" s="332"/>
      <c r="R71" s="115" t="s">
        <v>219</v>
      </c>
      <c r="S71" s="58"/>
    </row>
    <row r="72" spans="1:19" s="2" customFormat="1" ht="14.25" hidden="1" customHeight="1" thickBot="1">
      <c r="A72" s="146"/>
      <c r="B72" s="211"/>
      <c r="C72" s="622" t="s">
        <v>571</v>
      </c>
      <c r="D72" s="622"/>
      <c r="E72" s="620" t="s">
        <v>288</v>
      </c>
      <c r="F72" s="621"/>
      <c r="G72" s="610">
        <f>'Subaward Calculator'!B38</f>
        <v>0</v>
      </c>
      <c r="H72" s="611"/>
      <c r="I72" s="612"/>
      <c r="J72" s="254">
        <f>IF('BP1'!$K$72&lt;25000,25000-('BP1'!$K$72),0)</f>
        <v>25000</v>
      </c>
      <c r="K72" s="707">
        <f>IF(AND(SUM('BP1'!K72)&gt;0,'Subaward Calculator'!AD39=0,'BP1'!K5&gt;1),'BP1'!K72,'Subaward Calculator'!J39)</f>
        <v>0</v>
      </c>
      <c r="L72" s="708"/>
      <c r="M72" s="229"/>
      <c r="N72" s="837">
        <f>IF(AND(SUM('BP1'!N72)&gt;0,'Subaward Calculator'!AF39=0,'BP1'!K5&gt;1),'BP1'!N72,'Subaward Calculator'!L39)</f>
        <v>0</v>
      </c>
      <c r="O72" s="838"/>
      <c r="P72" s="482">
        <f>'Subaward Calculator'!B39</f>
        <v>0</v>
      </c>
      <c r="Q72" s="332"/>
      <c r="R72" s="115" t="s">
        <v>219</v>
      </c>
      <c r="S72" s="58"/>
    </row>
    <row r="73" spans="1:19" s="2" customFormat="1" ht="14.25" hidden="1" customHeight="1" thickBot="1">
      <c r="A73" s="146"/>
      <c r="B73" s="211"/>
      <c r="C73" s="622" t="s">
        <v>572</v>
      </c>
      <c r="D73" s="622"/>
      <c r="E73" s="620" t="s">
        <v>288</v>
      </c>
      <c r="F73" s="621"/>
      <c r="G73" s="610">
        <f>'Subaward Calculator'!B41</f>
        <v>0</v>
      </c>
      <c r="H73" s="611"/>
      <c r="I73" s="612"/>
      <c r="J73" s="254">
        <f>IF('BP1'!$K$73&lt;25000,25000-('BP1'!$K$73),0)</f>
        <v>25000</v>
      </c>
      <c r="K73" s="707">
        <f>IF(AND(SUM('BP1'!K73)&gt;0,'Subaward Calculator'!AD42=0,'BP1'!K5&gt;1),'BP1'!K73,'Subaward Calculator'!J42)</f>
        <v>0</v>
      </c>
      <c r="L73" s="708"/>
      <c r="M73" s="229"/>
      <c r="N73" s="837">
        <f>IF(AND(SUM('BP1'!N73)&gt;0,'Subaward Calculator'!AF42=0,'BP1'!K5&gt;1),'BP1'!N73,'Subaward Calculator'!L42)</f>
        <v>0</v>
      </c>
      <c r="O73" s="838"/>
      <c r="P73" s="482">
        <f>'Subaward Calculator'!B42</f>
        <v>0</v>
      </c>
      <c r="Q73" s="332"/>
      <c r="R73" s="115" t="s">
        <v>219</v>
      </c>
      <c r="S73" s="58"/>
    </row>
    <row r="74" spans="1:19"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9"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9"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Calculator'!J46+'Subaward Calculator'!J44),"")</f>
        <v/>
      </c>
      <c r="L76" s="698"/>
      <c r="M76" s="229"/>
      <c r="N76"/>
      <c r="O76" s="79"/>
      <c r="P76" s="1"/>
      <c r="Q76" s="1"/>
      <c r="R76" s="115" t="s">
        <v>215</v>
      </c>
    </row>
    <row r="77" spans="1:19"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9"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9"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9"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2</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570"/>
      <c r="G92" s="570"/>
      <c r="H92" s="570"/>
      <c r="I92" s="570"/>
      <c r="J92" s="570"/>
      <c r="K92" s="570"/>
      <c r="L92" s="570" t="str">
        <f ca="1">IF(('BP1'!$N$80+'BP2'!$N$80+'BP3'!$N$80+'BP4'!$N$80+'BP5'!$N$80)&gt;0,"NORTHWESTERN SPONSOR COSTS","")</f>
        <v/>
      </c>
      <c r="M92" s="1"/>
      <c r="N92" s="697">
        <f ca="1">IF(('BP1'!$N$80+'BP2'!$N$80+'BP3'!$N$80+'BP4'!$N$80+'BP5'!$N$80)&gt;0,$K$80-SUM(K62:L73),)</f>
        <v>0</v>
      </c>
      <c r="O92" s="698"/>
      <c r="P92" s="835">
        <f ca="1">'BP1'!$N$92+'BP2'!$N$92+'BP3'!$N$92+'BP4'!$N$92+'BP5'!$N$92</f>
        <v>0</v>
      </c>
      <c r="Q92" s="836">
        <f>'BP1'!R81+'BP2'!Q81+'BP3'!Q81+'BP4'!Q81+'BP5'!Q81</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3000000}">
    <filterColumn colId="0">
      <filters>
        <filter val="A) Condensed"/>
      </filters>
    </filterColumn>
  </autoFilter>
  <mergeCells count="204">
    <mergeCell ref="N41:O41"/>
    <mergeCell ref="N48:O48"/>
    <mergeCell ref="N49:O49"/>
    <mergeCell ref="K41:L41"/>
    <mergeCell ref="K45:L45"/>
    <mergeCell ref="K46:L46"/>
    <mergeCell ref="K47:L47"/>
    <mergeCell ref="M1:O9"/>
    <mergeCell ref="G12:G14"/>
    <mergeCell ref="N12:O13"/>
    <mergeCell ref="M10:O11"/>
    <mergeCell ref="N42:O42"/>
    <mergeCell ref="H12:J12"/>
    <mergeCell ref="H13:J13"/>
    <mergeCell ref="K5:L5"/>
    <mergeCell ref="A1:J4"/>
    <mergeCell ref="K1:L1"/>
    <mergeCell ref="B16:F16"/>
    <mergeCell ref="B26:F26"/>
    <mergeCell ref="E9:G9"/>
    <mergeCell ref="B15:F15"/>
    <mergeCell ref="B18:F18"/>
    <mergeCell ref="B17:F17"/>
    <mergeCell ref="B21:F21"/>
    <mergeCell ref="C56:J56"/>
    <mergeCell ref="K56:L56"/>
    <mergeCell ref="K59:L59"/>
    <mergeCell ref="K58:L58"/>
    <mergeCell ref="N53:O53"/>
    <mergeCell ref="N55:O55"/>
    <mergeCell ref="K57:L57"/>
    <mergeCell ref="H51:J51"/>
    <mergeCell ref="H52:J52"/>
    <mergeCell ref="K52:L52"/>
    <mergeCell ref="K55:L55"/>
    <mergeCell ref="N52:O52"/>
    <mergeCell ref="K53:L53"/>
    <mergeCell ref="C55:J55"/>
    <mergeCell ref="H53:J53"/>
    <mergeCell ref="K4:L4"/>
    <mergeCell ref="K3:L3"/>
    <mergeCell ref="K12:L13"/>
    <mergeCell ref="K8:L9"/>
    <mergeCell ref="B25:F25"/>
    <mergeCell ref="A9:D9"/>
    <mergeCell ref="H8:J9"/>
    <mergeCell ref="H10:J11"/>
    <mergeCell ref="K10:L11"/>
    <mergeCell ref="E11:G11"/>
    <mergeCell ref="B19:F19"/>
    <mergeCell ref="B24:F24"/>
    <mergeCell ref="B20:F20"/>
    <mergeCell ref="P95:Q95"/>
    <mergeCell ref="N89:O89"/>
    <mergeCell ref="F91:L91"/>
    <mergeCell ref="F95:L95"/>
    <mergeCell ref="N90:O90"/>
    <mergeCell ref="N91:O91"/>
    <mergeCell ref="N93:O93"/>
    <mergeCell ref="N94:O94"/>
    <mergeCell ref="N95:O95"/>
    <mergeCell ref="P93:Q93"/>
    <mergeCell ref="P94:Q94"/>
    <mergeCell ref="G93:L93"/>
    <mergeCell ref="G94:L94"/>
    <mergeCell ref="G89:L89"/>
    <mergeCell ref="G90:L90"/>
    <mergeCell ref="N92:O92"/>
    <mergeCell ref="P92:Q92"/>
    <mergeCell ref="N86:O86"/>
    <mergeCell ref="P86:Q86"/>
    <mergeCell ref="P89:Q89"/>
    <mergeCell ref="P90:Q90"/>
    <mergeCell ref="P91:Q91"/>
    <mergeCell ref="A78:F78"/>
    <mergeCell ref="A79:F79"/>
    <mergeCell ref="H79:J79"/>
    <mergeCell ref="N84:O84"/>
    <mergeCell ref="N82:O82"/>
    <mergeCell ref="K84:L84"/>
    <mergeCell ref="K82:L82"/>
    <mergeCell ref="K86:L86"/>
    <mergeCell ref="K83:L83"/>
    <mergeCell ref="K80:L80"/>
    <mergeCell ref="K79:L79"/>
    <mergeCell ref="N87:O87"/>
    <mergeCell ref="G87:L87"/>
    <mergeCell ref="P87:Q87"/>
    <mergeCell ref="N43:O43"/>
    <mergeCell ref="N45:O45"/>
    <mergeCell ref="N46:O46"/>
    <mergeCell ref="N47:O47"/>
    <mergeCell ref="N56:O56"/>
    <mergeCell ref="N57:O57"/>
    <mergeCell ref="N58:O58"/>
    <mergeCell ref="N64:O64"/>
    <mergeCell ref="N59:O59"/>
    <mergeCell ref="N60:O60"/>
    <mergeCell ref="N61:O61"/>
    <mergeCell ref="N50:O50"/>
    <mergeCell ref="N51:O51"/>
    <mergeCell ref="K76:L76"/>
    <mergeCell ref="K74:L74"/>
    <mergeCell ref="K75:L75"/>
    <mergeCell ref="E71:F71"/>
    <mergeCell ref="G71:I71"/>
    <mergeCell ref="C57:J57"/>
    <mergeCell ref="K62:L62"/>
    <mergeCell ref="G72:I72"/>
    <mergeCell ref="G62:I62"/>
    <mergeCell ref="E62:F62"/>
    <mergeCell ref="C62:D62"/>
    <mergeCell ref="C61:J61"/>
    <mergeCell ref="K61:L61"/>
    <mergeCell ref="E63:F63"/>
    <mergeCell ref="G65:I65"/>
    <mergeCell ref="E66:F66"/>
    <mergeCell ref="G66:I66"/>
    <mergeCell ref="C70:D70"/>
    <mergeCell ref="C71:D71"/>
    <mergeCell ref="C72:D72"/>
    <mergeCell ref="C67:D67"/>
    <mergeCell ref="C68:D68"/>
    <mergeCell ref="C69:D69"/>
    <mergeCell ref="G67:I67"/>
    <mergeCell ref="B47:F47"/>
    <mergeCell ref="B49:F49"/>
    <mergeCell ref="K43:L43"/>
    <mergeCell ref="K51:L51"/>
    <mergeCell ref="B22:F22"/>
    <mergeCell ref="B28:F28"/>
    <mergeCell ref="A5:J6"/>
    <mergeCell ref="A30:F30"/>
    <mergeCell ref="B29:F29"/>
    <mergeCell ref="K42:L42"/>
    <mergeCell ref="B27:F27"/>
    <mergeCell ref="K6:L6"/>
    <mergeCell ref="A11:D11"/>
    <mergeCell ref="K7:L7"/>
    <mergeCell ref="B48:F48"/>
    <mergeCell ref="K48:L48"/>
    <mergeCell ref="K49:L49"/>
    <mergeCell ref="K50:L50"/>
    <mergeCell ref="B45:F45"/>
    <mergeCell ref="B46:F46"/>
    <mergeCell ref="B23:F23"/>
    <mergeCell ref="E69:F69"/>
    <mergeCell ref="G69:I69"/>
    <mergeCell ref="C58:J58"/>
    <mergeCell ref="C59:J59"/>
    <mergeCell ref="C60:J60"/>
    <mergeCell ref="C64:D64"/>
    <mergeCell ref="C65:D65"/>
    <mergeCell ref="C66:D66"/>
    <mergeCell ref="C63:D63"/>
    <mergeCell ref="E65:F65"/>
    <mergeCell ref="N74:O74"/>
    <mergeCell ref="N62:O62"/>
    <mergeCell ref="N63:O63"/>
    <mergeCell ref="C73:D73"/>
    <mergeCell ref="E72:F72"/>
    <mergeCell ref="E73:F73"/>
    <mergeCell ref="E70:F70"/>
    <mergeCell ref="G70:I70"/>
    <mergeCell ref="E64:F64"/>
    <mergeCell ref="G64:I64"/>
    <mergeCell ref="K70:L70"/>
    <mergeCell ref="K71:L71"/>
    <mergeCell ref="K73:L73"/>
    <mergeCell ref="G73:I73"/>
    <mergeCell ref="E67:F67"/>
    <mergeCell ref="K65:L65"/>
    <mergeCell ref="K63:L63"/>
    <mergeCell ref="K64:L64"/>
    <mergeCell ref="N71:O71"/>
    <mergeCell ref="N72:O72"/>
    <mergeCell ref="N73:O73"/>
    <mergeCell ref="N65:O65"/>
    <mergeCell ref="E68:F68"/>
    <mergeCell ref="G68:I68"/>
    <mergeCell ref="A77:C77"/>
    <mergeCell ref="D77:F77"/>
    <mergeCell ref="I78:J78"/>
    <mergeCell ref="G77:H77"/>
    <mergeCell ref="K60:L60"/>
    <mergeCell ref="G63:I63"/>
    <mergeCell ref="G88:L88"/>
    <mergeCell ref="N88:O88"/>
    <mergeCell ref="P88:Q88"/>
    <mergeCell ref="I77:J77"/>
    <mergeCell ref="N75:O75"/>
    <mergeCell ref="N78:O78"/>
    <mergeCell ref="N79:O79"/>
    <mergeCell ref="N80:O80"/>
    <mergeCell ref="K68:L68"/>
    <mergeCell ref="K69:L69"/>
    <mergeCell ref="N66:O66"/>
    <mergeCell ref="N67:O67"/>
    <mergeCell ref="N68:O68"/>
    <mergeCell ref="N69:O69"/>
    <mergeCell ref="N70:O70"/>
    <mergeCell ref="K72:L72"/>
    <mergeCell ref="K66:L66"/>
    <mergeCell ref="K67:L67"/>
  </mergeCells>
  <phoneticPr fontId="10" type="noConversion"/>
  <conditionalFormatting sqref="H78:J78">
    <cfRule type="expression" dxfId="25" priority="1">
      <formula>$K$3="TC"</formula>
    </cfRule>
  </conditionalFormatting>
  <conditionalFormatting sqref="I77:J77">
    <cfRule type="expression" dxfId="24" priority="4">
      <formula>$L$2&lt;&gt;"Custom"</formula>
    </cfRule>
    <cfRule type="expression" dxfId="23" priority="5">
      <formula>$L$2="Custom"</formula>
    </cfRule>
  </conditionalFormatting>
  <conditionalFormatting sqref="P86:Q86">
    <cfRule type="expression" dxfId="22" priority="7">
      <formula>$N$80&gt;1</formula>
    </cfRule>
  </conditionalFormatting>
  <conditionalFormatting sqref="P87:Q95">
    <cfRule type="expression" dxfId="21" priority="6">
      <formula>$N$80&gt;0</formula>
    </cfRule>
  </conditionalFormatting>
  <conditionalFormatting sqref="Q15:Q29">
    <cfRule type="cellIs" dxfId="20" priority="12" operator="greaterThan">
      <formula>0</formula>
    </cfRule>
  </conditionalFormatting>
  <dataValidations disablePrompts="1" count="3">
    <dataValidation errorStyle="warning" allowBlank="1" showInputMessage="1" sqref="K7" xr:uid="{00000000-0002-0000-0300-000000000000}"/>
    <dataValidation allowBlank="1" showErrorMessage="1" sqref="K2:K3 L2" xr:uid="{00000000-0002-0000-0300-000001000000}"/>
    <dataValidation type="whole" allowBlank="1" showInputMessage="1" showErrorMessage="1" sqref="A5:J6" xr:uid="{00000000-0002-0000-03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15:O16 A53:O61 A51:F52 H51:J52 A41:O50 A34:A37 C34:F37 A33:F33 A38:F40 H32:O37 L51:M51 L52:M52 K51 K52 N52:O52 N51:O51 A85:O86 M78:O78 M79:O79 H89:O89 A93:O93 A89:F90 H90:M90 A95:E95 A94:G94 H94:O94 G95:O95 A11 M77:O77 A81:O81 B82:M82 A74:O74 J62:J73 L62:M62 M63:M73 G62:I73 B80:O80 B75:J75 L75:O75 D62:F62 D63:F63 D64:F64 D65:F65 D66:F66 D67:F67 D68:F68 D69:F69 D70:F70 D71:F71 A62:B73 D72:F72 D73:F73 B84:M84 O82 O84 O72 O71 O70 O69 O68 O67 O66 O65 O64 O63 O73 O62 N72 N62 N73 N63 N64 N65 N66 N67 N68 N69 N70 N71 A18:O31 A17:F17 H17:O17 A91:E91 G91:M91 O91 A32:C32 E32:F32 H39:O39 H38:K38 M38:N38 H40:K40 M40:N40" unlockedFormula="1"/>
    <ignoredError sqref="G51:G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3" width="10.6640625" style="1" customWidth="1"/>
    <col min="24"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'BP2'!A5+1</f>
        <v>3</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EDATE('BP2'!K10,0)+1</f>
        <v>45535</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45899</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IF($G15&gt;0,'BP2'!H15,)</f>
        <v>0</v>
      </c>
      <c r="I15" s="218">
        <f>IF($G15&gt;0,'BP2'!I15,)</f>
        <v>0</v>
      </c>
      <c r="J15" s="218">
        <f>IF($G15&gt;0,'BP2'!J15,)</f>
        <v>0</v>
      </c>
      <c r="K15" s="138">
        <f ca="1">IFERROR(IF(Q15&gt;0,Q15/G15*(SUM(H15:J15)),P15/G15*(SUM(H15:J15))),)</f>
        <v>0</v>
      </c>
      <c r="L15" s="139">
        <f ca="1">IF(K15&gt;2,K15*LOOKUP($K$8,Lists!$A$2:$A$812,IF($K$2="Non-Federal",Lists!$D$2:$D$812,Lists!$C$2:$C$812)),0)</f>
        <v>0</v>
      </c>
      <c r="M15" s="232">
        <f>IF(G15&gt;0,'BP2'!M15,)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IF($G16&gt;0,'BP2'!H16,)</f>
        <v>0</v>
      </c>
      <c r="I16" s="218">
        <f>IF($G16&gt;0,'BP2'!I16,)</f>
        <v>0</v>
      </c>
      <c r="J16" s="218">
        <f>IF($G16&gt;0,'BP2'!J16,)</f>
        <v>0</v>
      </c>
      <c r="K16" s="138">
        <f ca="1">IFERROR(IF(Q16&gt;0,Q16/G16*(SUM(H16:J16)),P16/G16*(SUM(H16:J16))),)</f>
        <v>0</v>
      </c>
      <c r="L16" s="139">
        <f ca="1">IF(K16&gt;2,K16*LOOKUP($K$8,Lists!$A$2:$A$812,IF($K$2="Non-Federal",Lists!$D$2:$D$812,Lists!$C$2:$C$812)),0)</f>
        <v>0</v>
      </c>
      <c r="M16" s="232">
        <f>IF(G16&gt;0,'BP2'!M16,)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IF($G17&gt;0,'BP2'!H17,)</f>
        <v>0</v>
      </c>
      <c r="I17" s="218">
        <f>IF($G17&gt;0,'BP2'!I17,)</f>
        <v>0</v>
      </c>
      <c r="J17" s="218">
        <f>IF($G17&gt;0,'BP2'!J17,)</f>
        <v>0</v>
      </c>
      <c r="K17" s="138">
        <f t="shared" ref="K17:K29" ca="1" si="2">IFERROR(IF(Q17&gt;0,Q17/G17*(SUM(H17:J17)),P17/G17*(SUM(H17:J17))),)</f>
        <v>0</v>
      </c>
      <c r="L17" s="139">
        <f ca="1">IF(K17&gt;2,K17*LOOKUP($K$8,Lists!$A$2:$A$812,IF($K$2="Non-Federal",Lists!$D$2:$D$812,Lists!$C$2:$C$812)),0)</f>
        <v>0</v>
      </c>
      <c r="M17" s="232">
        <f>IF(G17&gt;0,'BP2'!M17,)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IF($G18&gt;0,'BP2'!H18,)</f>
        <v>0</v>
      </c>
      <c r="I18" s="218">
        <f>IF($G18&gt;0,'BP2'!I18,)</f>
        <v>0</v>
      </c>
      <c r="J18" s="218">
        <f>IF($G18&gt;0,'BP2'!J18,)</f>
        <v>0</v>
      </c>
      <c r="K18" s="138">
        <f t="shared" ca="1" si="2"/>
        <v>0</v>
      </c>
      <c r="L18" s="139">
        <f ca="1">IF(K18&gt;2,K18*LOOKUP($K$8,Lists!$A$2:$A$812,IF($K$2="Non-Federal",Lists!$D$2:$D$812,Lists!$C$2:$C$812)),0)</f>
        <v>0</v>
      </c>
      <c r="M18" s="232">
        <f>IF(G18&gt;0,'BP2'!M18,)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IF($G19&gt;0,'BP2'!H19,)</f>
        <v>0</v>
      </c>
      <c r="I19" s="218">
        <f>IF($G19&gt;0,'BP2'!I19,)</f>
        <v>0</v>
      </c>
      <c r="J19" s="218">
        <f>IF($G19&gt;0,'BP2'!J19,)</f>
        <v>0</v>
      </c>
      <c r="K19" s="138">
        <f t="shared" ca="1" si="2"/>
        <v>0</v>
      </c>
      <c r="L19" s="139">
        <f ca="1">IF(K19&gt;2,K19*LOOKUP($K$8,Lists!$A$2:$A$812,IF($K$2="Non-Federal",Lists!$D$2:$D$812,Lists!$C$2:$C$812)),0)</f>
        <v>0</v>
      </c>
      <c r="M19" s="232">
        <f>IF(G19&gt;0,'BP2'!M19,)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IF($G20&gt;0,'BP2'!H20,)</f>
        <v>0</v>
      </c>
      <c r="I20" s="218">
        <f>IF($G20&gt;0,'BP2'!I20,)</f>
        <v>0</v>
      </c>
      <c r="J20" s="218">
        <f>IF($G20&gt;0,'BP2'!J20,)</f>
        <v>0</v>
      </c>
      <c r="K20" s="138">
        <f t="shared" ca="1" si="2"/>
        <v>0</v>
      </c>
      <c r="L20" s="139">
        <f ca="1">IF(K20&gt;2,K20*LOOKUP($K$8,Lists!$A$2:$A$812,IF($K$2="Non-Federal",Lists!$D$2:$D$812,Lists!$C$2:$C$812)),0)</f>
        <v>0</v>
      </c>
      <c r="M20" s="232">
        <f>IF(G20&gt;0,'BP2'!M20,)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IF($G21&gt;0,'BP2'!H21,)</f>
        <v>0</v>
      </c>
      <c r="I21" s="218">
        <f>IF($G21&gt;0,'BP2'!I21,)</f>
        <v>0</v>
      </c>
      <c r="J21" s="218">
        <f>IF($G21&gt;0,'BP2'!J21,)</f>
        <v>0</v>
      </c>
      <c r="K21" s="138">
        <f t="shared" ca="1" si="2"/>
        <v>0</v>
      </c>
      <c r="L21" s="139">
        <f ca="1">IF(K21&gt;2,K21*LOOKUP($K$8,Lists!$A$2:$A$812,IF($K$2="Non-Federal",Lists!$D$2:$D$812,Lists!$C$2:$C$812)),0)</f>
        <v>0</v>
      </c>
      <c r="M21" s="232">
        <f>IF(G21&gt;0,'BP2'!M21,)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IF($G22&gt;0,'BP2'!H22,)</f>
        <v>0</v>
      </c>
      <c r="I22" s="218">
        <f>IF($G22&gt;0,'BP2'!I22,)</f>
        <v>0</v>
      </c>
      <c r="J22" s="218">
        <f>IF($G22&gt;0,'BP2'!J22,)</f>
        <v>0</v>
      </c>
      <c r="K22" s="138">
        <f t="shared" ca="1" si="2"/>
        <v>0</v>
      </c>
      <c r="L22" s="139">
        <f ca="1">IF(K22&gt;2,K22*LOOKUP($K$8,Lists!$A$2:$A$812,IF($K$2="Non-Federal",Lists!$D$2:$D$812,Lists!$C$2:$C$812)),0)</f>
        <v>0</v>
      </c>
      <c r="M22" s="232">
        <f>IF(G22&gt;0,'BP2'!M22,)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IF($G23&gt;0,'BP2'!H23,)</f>
        <v>0</v>
      </c>
      <c r="I23" s="218">
        <f>IF($G23&gt;0,'BP2'!I23,)</f>
        <v>0</v>
      </c>
      <c r="J23" s="218">
        <f>IF($G23&gt;0,'BP2'!J23,)</f>
        <v>0</v>
      </c>
      <c r="K23" s="138">
        <f t="shared" ca="1" si="2"/>
        <v>0</v>
      </c>
      <c r="L23" s="139">
        <f ca="1">IF(K23&gt;2,K23*LOOKUP($K$8,Lists!$A$2:$A$812,IF($K$2="Non-Federal",Lists!$D$2:$D$812,Lists!$C$2:$C$812)),0)</f>
        <v>0</v>
      </c>
      <c r="M23" s="232">
        <f>IF(G23&gt;0,'BP2'!M23,)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IF($G24&gt;0,'BP2'!H24,)</f>
        <v>0</v>
      </c>
      <c r="I24" s="218">
        <f>IF($G24&gt;0,'BP2'!I24,)</f>
        <v>0</v>
      </c>
      <c r="J24" s="218">
        <f>IF($G24&gt;0,'BP2'!J24,)</f>
        <v>0</v>
      </c>
      <c r="K24" s="138">
        <f t="shared" ca="1" si="2"/>
        <v>0</v>
      </c>
      <c r="L24" s="139">
        <f ca="1">IF(K24&gt;2,K24*LOOKUP($K$8,Lists!$A$2:$A$812,IF($K$2="Non-Federal",Lists!$D$2:$D$812,Lists!$C$2:$C$812)),0)</f>
        <v>0</v>
      </c>
      <c r="M24" s="232">
        <f>IF(G24&gt;0,'BP2'!M24,)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IF($G25&gt;0,'BP2'!H25,)</f>
        <v>0</v>
      </c>
      <c r="I25" s="218">
        <f>IF($G25&gt;0,'BP2'!I25,)</f>
        <v>0</v>
      </c>
      <c r="J25" s="218">
        <f>IF($G25&gt;0,'BP2'!J25,)</f>
        <v>0</v>
      </c>
      <c r="K25" s="138">
        <f t="shared" ca="1" si="2"/>
        <v>0</v>
      </c>
      <c r="L25" s="139">
        <f ca="1">IF(K25&gt;2,K25*LOOKUP($K$8,Lists!$A$2:$A$812,IF($K$2="Non-Federal",Lists!$D$2:$D$812,Lists!$C$2:$C$812)),0)</f>
        <v>0</v>
      </c>
      <c r="M25" s="232">
        <f>IF(G25&gt;0,'BP2'!M25,)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IF($G26&gt;0,'BP2'!H26,)</f>
        <v>0</v>
      </c>
      <c r="I26" s="218">
        <f>IF($G26&gt;0,'BP2'!I26,)</f>
        <v>0</v>
      </c>
      <c r="J26" s="218">
        <f>IF($G26&gt;0,'BP2'!J26,)</f>
        <v>0</v>
      </c>
      <c r="K26" s="138">
        <f t="shared" ca="1" si="2"/>
        <v>0</v>
      </c>
      <c r="L26" s="139">
        <f ca="1">IF(K26&gt;2,K26*LOOKUP($K$8,Lists!$A$2:$A$812,IF($K$2="Non-Federal",Lists!$D$2:$D$812,Lists!$C$2:$C$812)),0)</f>
        <v>0</v>
      </c>
      <c r="M26" s="232">
        <f>IF(G26&gt;0,'BP2'!M26,)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IF($G27&gt;0,'BP2'!H27,)</f>
        <v>0</v>
      </c>
      <c r="I27" s="218">
        <f>IF($G27&gt;0,'BP2'!I27,)</f>
        <v>0</v>
      </c>
      <c r="J27" s="218">
        <f>IF($G27&gt;0,'BP2'!J27,)</f>
        <v>0</v>
      </c>
      <c r="K27" s="138">
        <f t="shared" ca="1" si="2"/>
        <v>0</v>
      </c>
      <c r="L27" s="139">
        <f ca="1">IF(K27&gt;2,K27*LOOKUP($K$8,Lists!$A$2:$A$812,IF($K$2="Non-Federal",Lists!$D$2:$D$812,Lists!$C$2:$C$812)),0)</f>
        <v>0</v>
      </c>
      <c r="M27" s="232">
        <f>IF(G27&gt;0,'BP2'!M27,)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IF($G28&gt;0,'BP2'!H28,)</f>
        <v>0</v>
      </c>
      <c r="I28" s="218">
        <f>IF($G28&gt;0,'BP2'!I28,)</f>
        <v>0</v>
      </c>
      <c r="J28" s="218">
        <f>IF($G28&gt;0,'BP2'!J28,)</f>
        <v>0</v>
      </c>
      <c r="K28" s="138">
        <f t="shared" ca="1" si="2"/>
        <v>0</v>
      </c>
      <c r="L28" s="139">
        <f ca="1">IF(K28&gt;2,K28*LOOKUP($K$8,Lists!$A$2:$A$812,IF($K$2="Non-Federal",Lists!$D$2:$D$812,Lists!$C$2:$C$812)),0)</f>
        <v>0</v>
      </c>
      <c r="M28" s="232">
        <f>IF(G28&gt;0,'BP2'!M28,)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IF($G29&gt;0,'BP2'!H29,)</f>
        <v>0</v>
      </c>
      <c r="I29" s="218">
        <f>IF($G29&gt;0,'BP2'!I29,)</f>
        <v>0</v>
      </c>
      <c r="J29" s="218">
        <f>IF($G29&gt;0,'BP2'!J29,)</f>
        <v>0</v>
      </c>
      <c r="K29" s="138">
        <f t="shared" ca="1" si="2"/>
        <v>0</v>
      </c>
      <c r="L29" s="139">
        <f ca="1">IF(K29&gt;2,K29*LOOKUP($K$8,Lists!$A$2:$A$812,IF($K$2="Non-Federal",Lists!$D$2:$D$812,Lists!$C$2:$C$812)),0)</f>
        <v>0</v>
      </c>
      <c r="M29" s="232">
        <f>IF(G29&gt;0,'BP2'!M29,)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99"/>
      <c r="I31" s="200"/>
      <c r="J31" s="200"/>
      <c r="K31" s="26"/>
      <c r="L31" s="355"/>
      <c r="M31" s="356"/>
      <c r="N31" s="26"/>
      <c r="O31" s="27"/>
      <c r="P31" s="193" t="s">
        <v>105</v>
      </c>
      <c r="Q31" s="326"/>
      <c r="R31" s="115" t="s">
        <v>215</v>
      </c>
    </row>
    <row r="32" spans="1:18" s="2" customFormat="1" ht="14.25" customHeight="1">
      <c r="A32" s="183" t="s">
        <v>3</v>
      </c>
      <c r="B32" s="378">
        <f>IF($A$5&lt;=$K$5,'BP2'!B32,0)</f>
        <v>0</v>
      </c>
      <c r="C32" s="178" t="s">
        <v>453</v>
      </c>
      <c r="D32" s="180" t="str">
        <f>'BP1'!D32</f>
        <v>Postdoctoral Scholar</v>
      </c>
      <c r="E32" s="180"/>
      <c r="F32" s="180"/>
      <c r="G32" s="433">
        <v>12</v>
      </c>
      <c r="H32" s="196">
        <f>IF($A$5&lt;=$K$5,(IF('BP2'!H32&lt;&gt;'BP2'!B32*12,'BP2'!H32,B32*12)),0)</f>
        <v>0</v>
      </c>
      <c r="I32" s="197"/>
      <c r="J32" s="197"/>
      <c r="K32" s="138">
        <f t="shared" ref="K32:K40" ca="1" si="4">IFERROR(P32/12*H32,)</f>
        <v>0</v>
      </c>
      <c r="L32" s="139">
        <f>IF($A$5&lt;=$K$5,K32*LOOKUP($K$8,Lists!$A$2:$A$812,IF('BP1'!$K$2="Non-Federal",Lists!$D$2:$D$812,Lists!$C$2:$C$812)),0)</f>
        <v>0</v>
      </c>
      <c r="M32" s="232">
        <f>IF(B32&gt;0,'BP2'!M32,)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IF($A$5&lt;=$K$5,'BP2'!B33,0)</f>
        <v>0</v>
      </c>
      <c r="C33" s="178" t="s">
        <v>453</v>
      </c>
      <c r="D33" s="180" t="str">
        <f>'BP1'!D33</f>
        <v>Other Professional</v>
      </c>
      <c r="E33" s="180"/>
      <c r="F33" s="180"/>
      <c r="G33" s="433">
        <v>12</v>
      </c>
      <c r="H33" s="196">
        <f>IF($A$5&lt;=$K$5,(IF('BP2'!H33&lt;&gt;'BP2'!B33*12,'BP2'!H33,B33*12)),0)</f>
        <v>0</v>
      </c>
      <c r="I33" s="197"/>
      <c r="J33" s="197"/>
      <c r="K33" s="138">
        <f t="shared" ca="1" si="4"/>
        <v>0</v>
      </c>
      <c r="L33" s="139">
        <f>IF($A$5&lt;=$K$5,K33*LOOKUP($K$8,Lists!$A$2:$A$812,IF('BP1'!$K$2="Non-Federal",Lists!$D$2:$D$812,Lists!$C$2:$C$812)),0)</f>
        <v>0</v>
      </c>
      <c r="M33" s="232">
        <f>IF(B33&gt;0,'BP2'!M33,)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IF($A$5&lt;=$K$5,'BP2'!B34,0)</f>
        <v>0</v>
      </c>
      <c r="C34" s="178" t="s">
        <v>453</v>
      </c>
      <c r="D34" s="180" t="str">
        <f>'BP1'!D34</f>
        <v>Other Professional</v>
      </c>
      <c r="E34" s="180"/>
      <c r="F34" s="180"/>
      <c r="G34" s="433">
        <v>12</v>
      </c>
      <c r="H34" s="196">
        <f>IF($A$5&lt;=$K$5,(IF('BP2'!H34&lt;&gt;'BP2'!B34*12,'BP2'!H34,B34*12)),0)</f>
        <v>0</v>
      </c>
      <c r="I34" s="197"/>
      <c r="J34" s="197"/>
      <c r="K34" s="138">
        <f t="shared" ca="1" si="4"/>
        <v>0</v>
      </c>
      <c r="L34" s="139">
        <f>IF($A$5&lt;=$K$5,K34*LOOKUP($K$8,Lists!$A$2:$A$812,IF('BP1'!$K$2="Non-Federal",Lists!$D$2:$D$812,Lists!$C$2:$C$812)),0)</f>
        <v>0</v>
      </c>
      <c r="M34" s="232">
        <f>IF(B34&gt;0,'BP2'!M34,)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IF($A$5&lt;=$K$5,'BP2'!B35,0)</f>
        <v>0</v>
      </c>
      <c r="C35" s="178" t="s">
        <v>453</v>
      </c>
      <c r="D35" s="180" t="str">
        <f>'BP1'!D35</f>
        <v>Other Professional</v>
      </c>
      <c r="E35" s="180"/>
      <c r="F35" s="180"/>
      <c r="G35" s="433">
        <v>12</v>
      </c>
      <c r="H35" s="196">
        <f>IF($A$5&lt;=$K$5,(IF('BP2'!H35&lt;&gt;'BP2'!B35*12,'BP2'!H35,B35*12)),0)</f>
        <v>0</v>
      </c>
      <c r="I35" s="197"/>
      <c r="J35" s="197"/>
      <c r="K35" s="138">
        <f t="shared" ca="1" si="4"/>
        <v>0</v>
      </c>
      <c r="L35" s="139">
        <f>IF($A$5&lt;=$K$5,K35*LOOKUP($K$8,Lists!$A$2:$A$812,IF('BP1'!$K$2="Non-Federal",Lists!$D$2:$D$812,Lists!$C$2:$C$812)),0)</f>
        <v>0</v>
      </c>
      <c r="M35" s="232">
        <f>IF(B35&gt;0,'BP2'!M35,)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IF($A$5&lt;=$K$5,'BP2'!B36,0)</f>
        <v>0</v>
      </c>
      <c r="C36" s="178" t="s">
        <v>453</v>
      </c>
      <c r="D36" s="180" t="str">
        <f>'BP1'!D36</f>
        <v>Other Professional</v>
      </c>
      <c r="E36" s="180"/>
      <c r="F36" s="180"/>
      <c r="G36" s="433">
        <v>12</v>
      </c>
      <c r="H36" s="196">
        <f>IF($A$5&lt;=$K$5,(IF('BP2'!H36&lt;&gt;'BP2'!B36*12,'BP2'!H36,B36*12)),0)</f>
        <v>0</v>
      </c>
      <c r="I36" s="197"/>
      <c r="J36" s="197"/>
      <c r="K36" s="138">
        <f t="shared" ca="1" si="4"/>
        <v>0</v>
      </c>
      <c r="L36" s="139">
        <f>IF($A$5&lt;=$K$5,K36*LOOKUP($K$8,Lists!$A$2:$A$812,IF('BP1'!$K$2="Non-Federal",Lists!$D$2:$D$812,Lists!$C$2:$C$812)),0)</f>
        <v>0</v>
      </c>
      <c r="M36" s="232">
        <f>IF(B36&gt;0,'BP2'!M36,)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IF($A$5&lt;=$K$5,'BP2'!B37,0)</f>
        <v>0</v>
      </c>
      <c r="C37" s="178" t="s">
        <v>453</v>
      </c>
      <c r="D37" s="180" t="str">
        <f>'BP1'!D37</f>
        <v>Other Professional</v>
      </c>
      <c r="E37" s="180"/>
      <c r="F37" s="180"/>
      <c r="G37" s="433">
        <v>12</v>
      </c>
      <c r="H37" s="196">
        <f>IF($A$5&lt;=$K$5,(IF('BP2'!H37&lt;&gt;'BP2'!B37*12,'BP2'!H37,B37*12)),0)</f>
        <v>0</v>
      </c>
      <c r="I37" s="197"/>
      <c r="J37" s="197"/>
      <c r="K37" s="138">
        <f t="shared" ca="1" si="4"/>
        <v>0</v>
      </c>
      <c r="L37" s="139">
        <f>IF($A$5&lt;=$K$5,K37*LOOKUP($K$8,Lists!$A$2:$A$812,IF('BP1'!$K$2="Non-Federal",Lists!$D$2:$D$812,Lists!$C$2:$C$812)),0)</f>
        <v>0</v>
      </c>
      <c r="M37" s="232">
        <f>IF(B37&gt;0,'BP2'!M37,)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IF($A$5&lt;=$K$5,'BP2'!B38,0)</f>
        <v>0</v>
      </c>
      <c r="C38" s="178" t="s">
        <v>453</v>
      </c>
      <c r="D38" s="180" t="str">
        <f>"Graduate Student"&amp;IF(B38&gt;0,"s",)</f>
        <v>Graduate Student</v>
      </c>
      <c r="E38" s="180"/>
      <c r="F38" s="180"/>
      <c r="G38" s="433">
        <v>12</v>
      </c>
      <c r="H38" s="196">
        <f>IF($A$5&lt;=$K$5,(IF('BP2'!H38&lt;&gt;'BP2'!B38*12,'BP2'!H38,B38*12)),0)</f>
        <v>0</v>
      </c>
      <c r="I38" s="197"/>
      <c r="J38" s="197"/>
      <c r="K38" s="138">
        <f t="shared" ca="1" si="4"/>
        <v>0</v>
      </c>
      <c r="L38" s="139">
        <f ca="1">K38*IF(K2="Federal",LOOKUP($K$8,Lists!$A$2:$A$812,Lists!$F$2:$F$812),0.1)</f>
        <v>0</v>
      </c>
      <c r="M38" s="232">
        <f>IF(B38&gt;0,'BP2'!M38,)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IF($A$5&lt;=$K$5,'BP2'!B39,0)</f>
        <v>0</v>
      </c>
      <c r="C39" s="178" t="s">
        <v>453</v>
      </c>
      <c r="D39" s="180" t="str">
        <f>"Undergraduate Student"&amp;IF(B39&gt;0,"s",)</f>
        <v>Undergraduate Student</v>
      </c>
      <c r="E39" s="180"/>
      <c r="F39" s="180"/>
      <c r="G39" s="433">
        <v>12</v>
      </c>
      <c r="H39" s="196">
        <f>IF($A$5&lt;=$K$5,(IF('BP2'!H39&lt;&gt;'BP2'!B39*12,'BP2'!H39,B39*12)),0)</f>
        <v>0</v>
      </c>
      <c r="I39" s="197"/>
      <c r="J39" s="197"/>
      <c r="K39" s="138">
        <f t="shared" ca="1" si="4"/>
        <v>0</v>
      </c>
      <c r="L39" s="197"/>
      <c r="M39" s="232">
        <f>IF(B39&gt;0,'BP2'!M39,)</f>
        <v>0</v>
      </c>
      <c r="N39" s="138">
        <f ca="1">IFERROR(P39/12*M39,)</f>
        <v>0</v>
      </c>
      <c r="O39" s="197"/>
      <c r="P39" s="203">
        <f ca="1">IF($A$5&lt;=$K$5,INDIRECT("BP"&amp;$A$5-1&amp;"!P39")*(1+$K$7),0)</f>
        <v>0</v>
      </c>
      <c r="Q39" s="324"/>
      <c r="R39" s="115" t="s">
        <v>215</v>
      </c>
    </row>
    <row r="40" spans="1:18" s="2" customFormat="1" ht="14.25" customHeight="1" thickBot="1">
      <c r="A40" s="183" t="s">
        <v>6</v>
      </c>
      <c r="B40" s="378">
        <f>IF($A$5&lt;=$K$5,'BP2'!B40,0)</f>
        <v>0</v>
      </c>
      <c r="C40" s="178" t="s">
        <v>453</v>
      </c>
      <c r="D40" s="180" t="str">
        <f>"Other"&amp;IF(B40&gt;0,"s",)&amp;" (Carrying Statutory Benefits)"</f>
        <v>Other (Carrying Statutory Benefits)</v>
      </c>
      <c r="E40" s="180"/>
      <c r="F40" s="180"/>
      <c r="G40" s="433">
        <v>12</v>
      </c>
      <c r="H40" s="196">
        <f>IF($A$5&lt;=$K$5,(IF('BP2'!H40&lt;&gt;'BP2'!B40*12,'BP2'!H40,B40*12)),0)</f>
        <v>0</v>
      </c>
      <c r="I40" s="197"/>
      <c r="J40" s="197"/>
      <c r="K40" s="138">
        <f t="shared" ca="1" si="4"/>
        <v>0</v>
      </c>
      <c r="L40" s="139">
        <f ca="1">K40*IF(K2="Federal",LOOKUP($K$8,Lists!$A$2:$A$812,Lists!$E$2:$E$812),0.065)</f>
        <v>0</v>
      </c>
      <c r="M40" s="232">
        <f>IF(B40&gt;0,'BP2'!M40,)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Calculator'!$L$11*(1-'Travel Calculator'!$N$4)),'BP2'!$K$51)),)</f>
        <v>0</v>
      </c>
      <c r="L51" s="702"/>
      <c r="M51" s="229"/>
      <c r="N51" s="701">
        <f>IF($A$5&lt;=$K$5,(IF(SUM('Travel Calculator'!$L$14:$M$14)&gt;0,('Travel Calculator'!$L$11*('Travel Calculator'!$N$4)),'BP2'!$N$51)),)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Calculator'!$M$11*(1-'Travel Calculator'!$N$4)),'BP2'!$K$52)),)</f>
        <v>0</v>
      </c>
      <c r="L52" s="700"/>
      <c r="M52" s="229"/>
      <c r="N52" s="699">
        <f>IF($A$5&lt;=$K$5,(IF(SUM('Travel Calculator'!$L$14:$M$14)&gt;0,('Travel Calculator'!$M$11*('Travel Calculator'!$N$4)),'BP2'!$N$52)),)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22"/>
      <c r="L54" s="23"/>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IF($A$5&lt;=$K$5,'BP2'!K55,0)</f>
        <v>0</v>
      </c>
      <c r="L55" s="848"/>
      <c r="M55" s="229"/>
      <c r="N55" s="608">
        <f>IF($A$5&lt;='BP1'!$K$5,'BP2'!N55,0)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IF($A$5&lt;=$K$5,'BP2'!K56,0)</f>
        <v>0</v>
      </c>
      <c r="L56" s="848"/>
      <c r="M56" s="229"/>
      <c r="N56" s="608">
        <f>IF($A$5&lt;='BP1'!$K$5,'BP2'!N56,0)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IF($A$5&lt;=$K$5,'BP2'!K57,0)</f>
        <v>0</v>
      </c>
      <c r="L57" s="848"/>
      <c r="M57" s="229"/>
      <c r="N57" s="608">
        <f>IF($A$5&lt;='BP1'!$K$5,'BP2'!N57,0)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IF($A$5&lt;=$K$5,'BP2'!K58,0)</f>
        <v>0</v>
      </c>
      <c r="L58" s="848"/>
      <c r="M58" s="229"/>
      <c r="N58" s="608">
        <f>IF($A$5&lt;='BP1'!$K$5,'BP2'!N58,0)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IF($A$5&lt;=$K$5,'BP2'!K60,0)</f>
        <v>0</v>
      </c>
      <c r="L60" s="834"/>
      <c r="M60" s="229"/>
      <c r="N60" s="608">
        <f>IF($A$5&lt;='BP1'!$K$5,'BP2'!N60,0)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IF($A$5&lt;=$K$5,'BP2'!K61,0)</f>
        <v>0</v>
      </c>
      <c r="L61" s="848"/>
      <c r="M61" s="229"/>
      <c r="N61" s="608">
        <f>IF($A$5&lt;='BP1'!$K$5,'BP2'!N61,0)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IF('BP2'!K62+'BP1'!K62&lt;25000,25000-('BP2'!K62+'BP1'!K62),0)</f>
        <v>25000</v>
      </c>
      <c r="K62" s="707">
        <f>IF(AND(SUM('BP2'!K62)&gt;0,'Subaward Calculator'!AD9=0,'BP1'!K5&gt;2),'BP2'!K62,'Subaward Calculator'!O9)</f>
        <v>0</v>
      </c>
      <c r="L62" s="708"/>
      <c r="M62" s="229"/>
      <c r="N62" s="837">
        <f>IF(AND(SUM('BP2'!N62)&gt;0,'Subaward Calculator'!AF9=0,'BP1'!K5&gt;2),'BP2'!N62,'Subaward Calculator'!Q9)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IF('BP2'!K63+'BP1'!K63&lt;25000,25000-('BP2'!K63+'BP1'!K63),0)</f>
        <v>25000</v>
      </c>
      <c r="K63" s="707">
        <f>IF(AND(SUM('BP2'!K63)&gt;0,'Subaward Calculator'!AD12=0,'BP1'!K5&gt;2),'BP2'!K63,'Subaward Calculator'!O12)</f>
        <v>0</v>
      </c>
      <c r="L63" s="708"/>
      <c r="M63" s="229"/>
      <c r="N63" s="837">
        <f>IF(AND(SUM('BP2'!N63)&gt;0,'Subaward Calculator'!AF12=0,'BP1'!K5&gt;2),'BP2'!N63,'Subaward Calculator'!Q12)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IF('BP2'!K64+'BP1'!K64&lt;25000,25000-('BP2'!K64+'BP1'!K64),0)</f>
        <v>25000</v>
      </c>
      <c r="K64" s="707">
        <f>IF(AND(SUM('BP2'!K64)&gt;0,'Subaward Calculator'!AD15=0,'BP1'!K5&gt;2),'BP2'!K64,'Subaward Calculator'!O15)</f>
        <v>0</v>
      </c>
      <c r="L64" s="708"/>
      <c r="M64" s="229"/>
      <c r="N64" s="837">
        <f>IF(AND(SUM('BP2'!N64)&gt;0,'Subaward Calculator'!AF15=0,'BP1'!K5&gt;2),'BP2'!N64,'Subaward Calculator'!Q15)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IF('BP2'!$K$65+'BP1'!$K$65&lt;25000,25000-('BP2'!$K$65+'BP1'!$K$65),0)</f>
        <v>25000</v>
      </c>
      <c r="K65" s="707">
        <f>IF(AND(SUM('BP2'!K65)&gt;0,'Subaward Calculator'!AD18=0,'BP1'!K5&gt;2),'BP2'!K65,'Subaward Calculator'!O18)</f>
        <v>0</v>
      </c>
      <c r="L65" s="708"/>
      <c r="M65" s="229"/>
      <c r="N65" s="837">
        <f>IF(AND(SUM('BP2'!N65)&gt;0,'Subaward Calculator'!AF18=0,'BP1'!K5&gt;2),'BP2'!N65,'Subaward Calculator'!Q18)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IF('BP2'!$K$66+'BP1'!$K$66&lt;25000,25000-('BP2'!$K$66+'BP1'!$K$66),0)</f>
        <v>25000</v>
      </c>
      <c r="K66" s="707">
        <f>IF(AND(SUM('BP2'!K66)&gt;0,'Subaward Calculator'!AD21=0,'BP1'!K5&gt;2),'BP2'!K66,'Subaward Calculator'!O21)</f>
        <v>0</v>
      </c>
      <c r="L66" s="708"/>
      <c r="M66" s="229"/>
      <c r="N66" s="837">
        <f>IF(AND(SUM('BP2'!N66)&gt;0,'Subaward Calculator'!AF21=0,'BP1'!K5&gt;2),'BP2'!N66,'Subaward Calculator'!Q21)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IF('BP2'!$K$67+'BP1'!$K$67&lt;25000,25000-('BP2'!$K$67+'BP1'!$K$67),0)</f>
        <v>25000</v>
      </c>
      <c r="K67" s="707">
        <f>IF(AND(SUM('BP2'!K67)&gt;0,'Subaward Calculator'!AD24=0,'BP1'!K5&gt;2),'BP2'!K67,'Subaward Calculator'!O24)</f>
        <v>0</v>
      </c>
      <c r="L67" s="708"/>
      <c r="M67" s="229"/>
      <c r="N67" s="837">
        <f>IF(AND(SUM('BP2'!N67)&gt;0,'Subaward Calculator'!AF24=0,'BP1'!K5&gt;2),'BP2'!N67,'Subaward Calculator'!Q24)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IF('BP2'!$K$68+'BP1'!$K$68&lt;25000,25000-('BP2'!$K$68+'BP1'!$K$68),0)</f>
        <v>25000</v>
      </c>
      <c r="K68" s="707">
        <f>IF(AND(SUM('BP2'!K68)&gt;0,'Subaward Calculator'!AD27=0,'BP1'!K5&gt;2),'BP2'!K68,'Subaward Calculator'!O27)</f>
        <v>0</v>
      </c>
      <c r="L68" s="708"/>
      <c r="M68" s="229"/>
      <c r="N68" s="837">
        <f>IF(AND(SUM('BP2'!N68)&gt;0,'Subaward Calculator'!AF27=0,'BP1'!K5&gt;2),'BP2'!N68,'Subaward Calculator'!Q27)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IF('BP2'!$K$69+'BP1'!$K$69&lt;25000,25000-('BP2'!$K$69+'BP1'!$K$69),0)</f>
        <v>25000</v>
      </c>
      <c r="K69" s="707">
        <f>IF(AND(SUM('BP2'!K69)&gt;0,'Subaward Calculator'!AD30=0,'BP1'!K5&gt;2),'BP2'!K69,'Subaward Calculator'!O30)</f>
        <v>0</v>
      </c>
      <c r="L69" s="708"/>
      <c r="M69" s="229"/>
      <c r="N69" s="837">
        <f>IF(AND(SUM('BP2'!N69)&gt;0,'Subaward Calculator'!AF30=0,'BP1'!K5&gt;2),'BP2'!N69,'Subaward Calculator'!Q30)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IF('BP2'!$K$70+'BP1'!$K$70&lt;25000,25000-('BP2'!$K$70+'BP1'!$K$70),0)</f>
        <v>25000</v>
      </c>
      <c r="K70" s="707">
        <f>IF(AND(SUM('BP2'!K70)&gt;0,'Subaward Calculator'!AD33=0,'BP1'!K5&gt;2),'BP2'!K70,'Subaward Calculator'!O33)</f>
        <v>0</v>
      </c>
      <c r="L70" s="708"/>
      <c r="M70" s="229"/>
      <c r="N70" s="837">
        <f>IF(AND(SUM('BP2'!N70)&gt;0,'Subaward Calculator'!AF33=0,'BP1'!K5&gt;2),'BP2'!N70,'Subaward Calculator'!Q33)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IF('BP2'!$K$71+'BP1'!$K$71&lt;25000,25000-('BP2'!$K$71+'BP1'!$K$71),0)</f>
        <v>25000</v>
      </c>
      <c r="K71" s="707">
        <f>IF(AND(SUM('BP2'!K71)&gt;0,'Subaward Calculator'!AD36=0,'BP1'!K5&gt;2),'BP2'!K71,'Subaward Calculator'!O36)</f>
        <v>0</v>
      </c>
      <c r="L71" s="708"/>
      <c r="M71" s="229"/>
      <c r="N71" s="837">
        <f>IF(AND(SUM('BP2'!N71)&gt;0,'Subaward Calculator'!AF36=0,'BP1'!K5&gt;2),'BP2'!N71,'Subaward Calculator'!Q36)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IF('BP2'!$K$72+'BP1'!$K$72&lt;25000,25000-('BP2'!$K$72+'BP1'!$K$72),0)</f>
        <v>25000</v>
      </c>
      <c r="K72" s="707">
        <f>IF(AND(SUM('BP2'!K72)&gt;0,'Subaward Calculator'!AD39=0,'BP1'!K5&gt;2),'BP2'!K72,'Subaward Calculator'!O39)</f>
        <v>0</v>
      </c>
      <c r="L72" s="708"/>
      <c r="M72" s="229"/>
      <c r="N72" s="837">
        <f>IF(AND(SUM('BP2'!N72)&gt;0,'Subaward Calculator'!AF39=0,'BP1'!K5&gt;2),'BP2'!N72,'Subaward Calculator'!Q39)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IF('BP2'!$K$73+'BP1'!$K$73&lt;25000,25000-('BP2'!$K$73+'BP1'!$K$73),0)</f>
        <v>25000</v>
      </c>
      <c r="K73" s="707">
        <f>IF(AND(SUM('BP2'!K73)&gt;0,'Subaward Calculator'!AD42=0,'BP1'!K5&gt;2),'BP2'!K73,'Subaward Calculator'!O42)</f>
        <v>0</v>
      </c>
      <c r="L73" s="708"/>
      <c r="M73" s="229"/>
      <c r="N73" s="837">
        <f>IF(AND(SUM('BP2'!N73)&gt;0,'Subaward Calculator'!AF42=0,'BP1'!K5&gt;2),'BP2'!N73,'Subaward Calculator'!Q42)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Calculator'!O46+'Subaward Calculator'!O44),"")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3</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'BP1'!$N$92+'BP2'!$N$92+'BP3'!$N$92+'BP4'!$N$92+'BP5'!$N$92</f>
        <v>0</v>
      </c>
      <c r="Q92" s="836">
        <f>'BP1'!R81+'BP2'!Q81+'BP3'!Q81+'BP4'!Q81+'BP5'!Q81</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4000000}">
    <filterColumn colId="0">
      <filters>
        <filter val="A) Condensed"/>
      </filters>
    </filterColumn>
  </autoFilter>
  <mergeCells count="205">
    <mergeCell ref="C59:J59"/>
    <mergeCell ref="K55:L55"/>
    <mergeCell ref="K53:L53"/>
    <mergeCell ref="K70:L70"/>
    <mergeCell ref="K71:L71"/>
    <mergeCell ref="K59:L59"/>
    <mergeCell ref="K63:L63"/>
    <mergeCell ref="K64:L64"/>
    <mergeCell ref="K65:L65"/>
    <mergeCell ref="K66:L66"/>
    <mergeCell ref="C63:D63"/>
    <mergeCell ref="C61:J61"/>
    <mergeCell ref="C67:D67"/>
    <mergeCell ref="G68:I68"/>
    <mergeCell ref="E69:F69"/>
    <mergeCell ref="K61:L61"/>
    <mergeCell ref="C60:J60"/>
    <mergeCell ref="G62:I62"/>
    <mergeCell ref="E62:F62"/>
    <mergeCell ref="K67:L67"/>
    <mergeCell ref="K68:L68"/>
    <mergeCell ref="K69:L69"/>
    <mergeCell ref="K60:L60"/>
    <mergeCell ref="E70:F70"/>
    <mergeCell ref="F92:L92"/>
    <mergeCell ref="N92:O92"/>
    <mergeCell ref="N67:O67"/>
    <mergeCell ref="N68:O68"/>
    <mergeCell ref="N79:O79"/>
    <mergeCell ref="N80:O80"/>
    <mergeCell ref="G77:H77"/>
    <mergeCell ref="N78:O78"/>
    <mergeCell ref="N69:O69"/>
    <mergeCell ref="N70:O70"/>
    <mergeCell ref="N71:O71"/>
    <mergeCell ref="K76:L76"/>
    <mergeCell ref="G67:I67"/>
    <mergeCell ref="E68:F68"/>
    <mergeCell ref="I77:J77"/>
    <mergeCell ref="K84:L84"/>
    <mergeCell ref="K86:L86"/>
    <mergeCell ref="K80:L80"/>
    <mergeCell ref="K79:L79"/>
    <mergeCell ref="K74:L74"/>
    <mergeCell ref="K75:L75"/>
    <mergeCell ref="G87:L87"/>
    <mergeCell ref="K82:L82"/>
    <mergeCell ref="G88:L88"/>
    <mergeCell ref="K83:L83"/>
    <mergeCell ref="N72:O72"/>
    <mergeCell ref="E63:F63"/>
    <mergeCell ref="E64:F64"/>
    <mergeCell ref="E65:F65"/>
    <mergeCell ref="E66:F66"/>
    <mergeCell ref="N86:O86"/>
    <mergeCell ref="N73:O73"/>
    <mergeCell ref="N74:O74"/>
    <mergeCell ref="N75:O75"/>
    <mergeCell ref="E73:F73"/>
    <mergeCell ref="G73:I73"/>
    <mergeCell ref="K72:L72"/>
    <mergeCell ref="K73:L73"/>
    <mergeCell ref="G70:I70"/>
    <mergeCell ref="E71:F71"/>
    <mergeCell ref="N65:O65"/>
    <mergeCell ref="N66:O66"/>
    <mergeCell ref="P94:Q94"/>
    <mergeCell ref="N84:O84"/>
    <mergeCell ref="N82:O82"/>
    <mergeCell ref="P95:Q95"/>
    <mergeCell ref="N90:O90"/>
    <mergeCell ref="N91:O91"/>
    <mergeCell ref="N93:O93"/>
    <mergeCell ref="N94:O94"/>
    <mergeCell ref="N95:O95"/>
    <mergeCell ref="N89:O89"/>
    <mergeCell ref="P90:Q90"/>
    <mergeCell ref="P91:Q91"/>
    <mergeCell ref="P93:Q93"/>
    <mergeCell ref="P86:Q86"/>
    <mergeCell ref="P89:Q89"/>
    <mergeCell ref="N87:O87"/>
    <mergeCell ref="P92:Q92"/>
    <mergeCell ref="N88:O88"/>
    <mergeCell ref="P88:Q88"/>
    <mergeCell ref="P87:Q87"/>
    <mergeCell ref="F95:L95"/>
    <mergeCell ref="G94:L94"/>
    <mergeCell ref="F91:L91"/>
    <mergeCell ref="E72:F72"/>
    <mergeCell ref="G72:I72"/>
    <mergeCell ref="C72:D72"/>
    <mergeCell ref="C73:D73"/>
    <mergeCell ref="C62:D62"/>
    <mergeCell ref="C64:D64"/>
    <mergeCell ref="C65:D65"/>
    <mergeCell ref="C66:D66"/>
    <mergeCell ref="C68:D68"/>
    <mergeCell ref="C69:D69"/>
    <mergeCell ref="C70:D70"/>
    <mergeCell ref="C71:D71"/>
    <mergeCell ref="A78:F78"/>
    <mergeCell ref="A79:F79"/>
    <mergeCell ref="H79:J79"/>
    <mergeCell ref="E67:F67"/>
    <mergeCell ref="G69:I69"/>
    <mergeCell ref="G89:L89"/>
    <mergeCell ref="G90:L90"/>
    <mergeCell ref="K62:L62"/>
    <mergeCell ref="G93:L93"/>
    <mergeCell ref="K41:L41"/>
    <mergeCell ref="A1:J4"/>
    <mergeCell ref="A5:J6"/>
    <mergeCell ref="K1:L1"/>
    <mergeCell ref="K4:L4"/>
    <mergeCell ref="K5:L5"/>
    <mergeCell ref="K6:L6"/>
    <mergeCell ref="E11:G11"/>
    <mergeCell ref="H12:J12"/>
    <mergeCell ref="H13:J13"/>
    <mergeCell ref="K7:L7"/>
    <mergeCell ref="K3:L3"/>
    <mergeCell ref="K12:L13"/>
    <mergeCell ref="A9:D9"/>
    <mergeCell ref="A11:D11"/>
    <mergeCell ref="A30:F30"/>
    <mergeCell ref="H8:J9"/>
    <mergeCell ref="H10:J11"/>
    <mergeCell ref="K8:L9"/>
    <mergeCell ref="K10:L11"/>
    <mergeCell ref="E9:G9"/>
    <mergeCell ref="G12:G14"/>
    <mergeCell ref="B15:F15"/>
    <mergeCell ref="B16:F16"/>
    <mergeCell ref="B17:F17"/>
    <mergeCell ref="B18:F18"/>
    <mergeCell ref="B19:F19"/>
    <mergeCell ref="B20:F20"/>
    <mergeCell ref="B27:F27"/>
    <mergeCell ref="B28:F28"/>
    <mergeCell ref="B29:F29"/>
    <mergeCell ref="B26:F26"/>
    <mergeCell ref="B25:F25"/>
    <mergeCell ref="B21:F21"/>
    <mergeCell ref="B22:F22"/>
    <mergeCell ref="B23:F23"/>
    <mergeCell ref="B24:F24"/>
    <mergeCell ref="C55:J55"/>
    <mergeCell ref="K57:L57"/>
    <mergeCell ref="K58:L58"/>
    <mergeCell ref="K52:L52"/>
    <mergeCell ref="K45:L45"/>
    <mergeCell ref="K48:L48"/>
    <mergeCell ref="K49:L49"/>
    <mergeCell ref="B46:F46"/>
    <mergeCell ref="B47:F47"/>
    <mergeCell ref="C56:J56"/>
    <mergeCell ref="C57:J57"/>
    <mergeCell ref="C58:J58"/>
    <mergeCell ref="K46:L46"/>
    <mergeCell ref="K47:L47"/>
    <mergeCell ref="B45:F45"/>
    <mergeCell ref="B48:F48"/>
    <mergeCell ref="B49:F49"/>
    <mergeCell ref="K50:L50"/>
    <mergeCell ref="H51:J51"/>
    <mergeCell ref="H52:J52"/>
    <mergeCell ref="H53:J53"/>
    <mergeCell ref="N48:O48"/>
    <mergeCell ref="K42:L42"/>
    <mergeCell ref="N50:O50"/>
    <mergeCell ref="N51:O51"/>
    <mergeCell ref="N52:O52"/>
    <mergeCell ref="N53:O53"/>
    <mergeCell ref="N55:O55"/>
    <mergeCell ref="N56:O56"/>
    <mergeCell ref="N57:O57"/>
    <mergeCell ref="N49:O49"/>
    <mergeCell ref="K56:L56"/>
    <mergeCell ref="K51:L51"/>
    <mergeCell ref="K43:L43"/>
    <mergeCell ref="A77:C77"/>
    <mergeCell ref="D77:F77"/>
    <mergeCell ref="I78:J78"/>
    <mergeCell ref="M1:O9"/>
    <mergeCell ref="M10:O11"/>
    <mergeCell ref="N41:O41"/>
    <mergeCell ref="N42:O42"/>
    <mergeCell ref="N43:O43"/>
    <mergeCell ref="N45:O45"/>
    <mergeCell ref="N46:O46"/>
    <mergeCell ref="N47:O47"/>
    <mergeCell ref="G71:I71"/>
    <mergeCell ref="N12:O13"/>
    <mergeCell ref="G63:I63"/>
    <mergeCell ref="G64:I64"/>
    <mergeCell ref="G65:I65"/>
    <mergeCell ref="G66:I66"/>
    <mergeCell ref="N58:O58"/>
    <mergeCell ref="N59:O59"/>
    <mergeCell ref="N60:O60"/>
    <mergeCell ref="N61:O61"/>
    <mergeCell ref="N62:O62"/>
    <mergeCell ref="N63:O63"/>
    <mergeCell ref="N64:O64"/>
  </mergeCells>
  <phoneticPr fontId="10" type="noConversion"/>
  <conditionalFormatting sqref="H78:J78">
    <cfRule type="expression" dxfId="19" priority="1">
      <formula>$K$3="TC"</formula>
    </cfRule>
  </conditionalFormatting>
  <conditionalFormatting sqref="I77:J77">
    <cfRule type="expression" dxfId="18" priority="2">
      <formula>$L$2&lt;&gt;"Custom"</formula>
    </cfRule>
    <cfRule type="expression" dxfId="17" priority="3">
      <formula>$L$2="Custom"</formula>
    </cfRule>
  </conditionalFormatting>
  <conditionalFormatting sqref="P86:Q86">
    <cfRule type="expression" dxfId="16" priority="9">
      <formula>$N$80&gt;0</formula>
    </cfRule>
  </conditionalFormatting>
  <conditionalFormatting sqref="P87:Q95">
    <cfRule type="expression" dxfId="15" priority="8">
      <formula>$N$80&gt;0</formula>
    </cfRule>
  </conditionalFormatting>
  <conditionalFormatting sqref="Q15:Q29">
    <cfRule type="cellIs" dxfId="14" priority="14" operator="greaterThan">
      <formula>0</formula>
    </cfRule>
  </conditionalFormatting>
  <dataValidations count="3">
    <dataValidation errorStyle="warning" allowBlank="1" showInputMessage="1" sqref="K7" xr:uid="{00000000-0002-0000-0400-000000000000}"/>
    <dataValidation allowBlank="1" showErrorMessage="1" sqref="L2 K2:K3" xr:uid="{00000000-0002-0000-0400-000001000000}"/>
    <dataValidation type="whole" allowBlank="1" showInputMessage="1" showErrorMessage="1" sqref="A5:J6" xr:uid="{00000000-0002-0000-04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30:O31 A53:O61 A51:F52 H51:J52 A41:O50 A34:A37 C34:F37 A33:F33 A38:F40 H40:K40 H37:L37 K51:O52 A85:O86 M78:O78 M79:O79 H89:O89 A93:O93 A89:F90 H90:M90 A95:E95 A94:G94 H94:O94 G95:O95 A11 H38:K38 N38 M77:O77 A81:O81 B82:M82 A74:O74 G62:I73 B80:O80 B75:J75 L75:O75 D62:F62 D63:F63 D64:F64 D65:F65 D66:F66 D67:F67 D68:F68 D69:F69 D70:F70 D71:F71 A62:B73 D72:F72 D73:F73 B84:M84 O90 O82 O84 O72 O71 O70 O69 O68 O67 O66 O65 O64 O63 O62 O73 N72 N73 N62 N63 N64 N65 N66 N67 N68 N69 N70 N71 A91:E91 G91:O91 A15 C15:L15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2" width="10.6640625" style="1" customWidth="1"/>
    <col min="23"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'BP3'!A5+1</f>
        <v>4</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EDATE('BP3'!K10,0)+1</f>
        <v>45900</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46264</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IF($A$5&lt;=$K$5,'BP2'!B15,)</f>
        <v>0</v>
      </c>
      <c r="C15" s="843"/>
      <c r="D15" s="843"/>
      <c r="E15" s="843"/>
      <c r="F15" s="844"/>
      <c r="G15" s="227">
        <f>IF($A$5&lt;=$K$5,'BP1'!G15,)</f>
        <v>0</v>
      </c>
      <c r="H15" s="217">
        <f>IF($G15&gt;0,'BP3'!H15,)</f>
        <v>0</v>
      </c>
      <c r="I15" s="218">
        <f>IF($G15&gt;0,'BP3'!I15,)</f>
        <v>0</v>
      </c>
      <c r="J15" s="218">
        <f>IF($G15&gt;0,'BP3'!J15,)</f>
        <v>0</v>
      </c>
      <c r="K15" s="138">
        <f ca="1">IFERROR(IF(Q15&gt;0,Q15/G15*(SUM(H15:J15)),P15/G15*(SUM(H15:J15))),)</f>
        <v>0</v>
      </c>
      <c r="L15" s="139">
        <f ca="1">IF(K15&gt;3,K15*LOOKUP($K$8,Lists!$A$2:$A$812,IF($K$2="Non-Federal",Lists!$D$2:$D$812,Lists!$C$2:$C$812)),0)</f>
        <v>0</v>
      </c>
      <c r="M15" s="232">
        <f>IF(G15&gt;0,'BP3'!M15,)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IF($G16&gt;0,'BP3'!H16,)</f>
        <v>0</v>
      </c>
      <c r="I16" s="218">
        <f>IF($G16&gt;0,'BP3'!I16,)</f>
        <v>0</v>
      </c>
      <c r="J16" s="218">
        <f>IF($G16&gt;0,'BP3'!J16,)</f>
        <v>0</v>
      </c>
      <c r="K16" s="138">
        <f ca="1">IFERROR(IF(Q16&gt;0,Q16/G16*(SUM(H16:J16)),P16/G16*(SUM(H16:J16))),)</f>
        <v>0</v>
      </c>
      <c r="L16" s="139">
        <f ca="1">IF(K16&gt;3,K16*LOOKUP($K$8,Lists!$A$2:$A$812,IF($K$2="Non-Federal",Lists!$D$2:$D$812,Lists!$C$2:$C$812)),0)</f>
        <v>0</v>
      </c>
      <c r="M16" s="232">
        <f>IF(G16&gt;0,'BP3'!M16,)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IF($G17&gt;0,'BP3'!H17,)</f>
        <v>0</v>
      </c>
      <c r="I17" s="218">
        <f>IF($G17&gt;0,'BP3'!I17,)</f>
        <v>0</v>
      </c>
      <c r="J17" s="218">
        <f>IF($G17&gt;0,'BP3'!J17,)</f>
        <v>0</v>
      </c>
      <c r="K17" s="138">
        <f t="shared" ref="K17:K29" ca="1" si="2">IFERROR(IF(Q17&gt;0,Q17/G17*(SUM(H17:J17)),P17/G17*(SUM(H17:J17))),)</f>
        <v>0</v>
      </c>
      <c r="L17" s="139">
        <f ca="1">IF(K17&gt;3,K17*LOOKUP($K$8,Lists!$A$2:$A$812,IF($K$2="Non-Federal",Lists!$D$2:$D$812,Lists!$C$2:$C$812)),0)</f>
        <v>0</v>
      </c>
      <c r="M17" s="232">
        <f>IF(G17&gt;0,'BP3'!M17,)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IF($G18&gt;0,'BP3'!H18,)</f>
        <v>0</v>
      </c>
      <c r="I18" s="218">
        <f>IF($G18&gt;0,'BP3'!I18,)</f>
        <v>0</v>
      </c>
      <c r="J18" s="218">
        <f>IF($G18&gt;0,'BP3'!J18,)</f>
        <v>0</v>
      </c>
      <c r="K18" s="138">
        <f t="shared" ca="1" si="2"/>
        <v>0</v>
      </c>
      <c r="L18" s="139">
        <f ca="1">IF(K18&gt;3,K18*LOOKUP($K$8,Lists!$A$2:$A$812,IF($K$2="Non-Federal",Lists!$D$2:$D$812,Lists!$C$2:$C$812)),0)</f>
        <v>0</v>
      </c>
      <c r="M18" s="232">
        <f>IF(G18&gt;0,'BP3'!M18,)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IF($G19&gt;0,'BP3'!H19,)</f>
        <v>0</v>
      </c>
      <c r="I19" s="218">
        <f>IF($G19&gt;0,'BP3'!I19,)</f>
        <v>0</v>
      </c>
      <c r="J19" s="218">
        <f>IF($G19&gt;0,'BP3'!J19,)</f>
        <v>0</v>
      </c>
      <c r="K19" s="138">
        <f t="shared" ca="1" si="2"/>
        <v>0</v>
      </c>
      <c r="L19" s="139">
        <f ca="1">IF(K19&gt;3,K19*LOOKUP($K$8,Lists!$A$2:$A$812,IF($K$2="Non-Federal",Lists!$D$2:$D$812,Lists!$C$2:$C$812)),0)</f>
        <v>0</v>
      </c>
      <c r="M19" s="232">
        <f>IF(G19&gt;0,'BP3'!M19,)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IF($G20&gt;0,'BP3'!H20,)</f>
        <v>0</v>
      </c>
      <c r="I20" s="218">
        <f>IF($G20&gt;0,'BP3'!I20,)</f>
        <v>0</v>
      </c>
      <c r="J20" s="218">
        <f>IF($G20&gt;0,'BP3'!J20,)</f>
        <v>0</v>
      </c>
      <c r="K20" s="138">
        <f t="shared" ca="1" si="2"/>
        <v>0</v>
      </c>
      <c r="L20" s="139">
        <f ca="1">IF(K20&gt;3,K20*LOOKUP($K$8,Lists!$A$2:$A$812,IF($K$2="Non-Federal",Lists!$D$2:$D$812,Lists!$C$2:$C$812)),0)</f>
        <v>0</v>
      </c>
      <c r="M20" s="232">
        <f>IF(G20&gt;0,'BP3'!M20,)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IF($G21&gt;0,'BP3'!H21,)</f>
        <v>0</v>
      </c>
      <c r="I21" s="218">
        <f>IF($G21&gt;0,'BP3'!I21,)</f>
        <v>0</v>
      </c>
      <c r="J21" s="218">
        <f>IF($G21&gt;0,'BP3'!J21,)</f>
        <v>0</v>
      </c>
      <c r="K21" s="138">
        <f t="shared" ca="1" si="2"/>
        <v>0</v>
      </c>
      <c r="L21" s="139">
        <f ca="1">IF(K21&gt;3,K21*LOOKUP($K$8,Lists!$A$2:$A$812,IF($K$2="Non-Federal",Lists!$D$2:$D$812,Lists!$C$2:$C$812)),0)</f>
        <v>0</v>
      </c>
      <c r="M21" s="232">
        <f>IF(G21&gt;0,'BP3'!M21,)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IF($G22&gt;0,'BP3'!H22,)</f>
        <v>0</v>
      </c>
      <c r="I22" s="218">
        <f>IF($G22&gt;0,'BP3'!I22,)</f>
        <v>0</v>
      </c>
      <c r="J22" s="218">
        <f>IF($G22&gt;0,'BP3'!J22,)</f>
        <v>0</v>
      </c>
      <c r="K22" s="138">
        <f t="shared" ca="1" si="2"/>
        <v>0</v>
      </c>
      <c r="L22" s="139">
        <f ca="1">IF(K22&gt;3,K22*LOOKUP($K$8,Lists!$A$2:$A$812,IF($K$2="Non-Federal",Lists!$D$2:$D$812,Lists!$C$2:$C$812)),0)</f>
        <v>0</v>
      </c>
      <c r="M22" s="232">
        <f>IF(G22&gt;0,'BP3'!M22,)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IF($G23&gt;0,'BP3'!H23,)</f>
        <v>0</v>
      </c>
      <c r="I23" s="218">
        <f>IF($G23&gt;0,'BP3'!I23,)</f>
        <v>0</v>
      </c>
      <c r="J23" s="218">
        <f>IF($G23&gt;0,'BP3'!J23,)</f>
        <v>0</v>
      </c>
      <c r="K23" s="138">
        <f t="shared" ca="1" si="2"/>
        <v>0</v>
      </c>
      <c r="L23" s="139">
        <f ca="1">IF(K23&gt;3,K23*LOOKUP($K$8,Lists!$A$2:$A$812,IF($K$2="Non-Federal",Lists!$D$2:$D$812,Lists!$C$2:$C$812)),0)</f>
        <v>0</v>
      </c>
      <c r="M23" s="232">
        <f>IF(G23&gt;0,'BP3'!M23,)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IF($G24&gt;0,'BP3'!H24,)</f>
        <v>0</v>
      </c>
      <c r="I24" s="218">
        <f>IF($G24&gt;0,'BP3'!I24,)</f>
        <v>0</v>
      </c>
      <c r="J24" s="218">
        <f>IF($G24&gt;0,'BP3'!J24,)</f>
        <v>0</v>
      </c>
      <c r="K24" s="138">
        <f t="shared" ca="1" si="2"/>
        <v>0</v>
      </c>
      <c r="L24" s="139">
        <f ca="1">IF(K24&gt;3,K24*LOOKUP($K$8,Lists!$A$2:$A$812,IF($K$2="Non-Federal",Lists!$D$2:$D$812,Lists!$C$2:$C$812)),0)</f>
        <v>0</v>
      </c>
      <c r="M24" s="232">
        <f>IF(G24&gt;0,'BP3'!M24,)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IF($G25&gt;0,'BP3'!H25,)</f>
        <v>0</v>
      </c>
      <c r="I25" s="218">
        <f>IF($G25&gt;0,'BP3'!I25,)</f>
        <v>0</v>
      </c>
      <c r="J25" s="218">
        <f>IF($G25&gt;0,'BP3'!J25,)</f>
        <v>0</v>
      </c>
      <c r="K25" s="138">
        <f t="shared" ca="1" si="2"/>
        <v>0</v>
      </c>
      <c r="L25" s="139">
        <f ca="1">IF(K25&gt;3,K25*LOOKUP($K$8,Lists!$A$2:$A$812,IF($K$2="Non-Federal",Lists!$D$2:$D$812,Lists!$C$2:$C$812)),0)</f>
        <v>0</v>
      </c>
      <c r="M25" s="232">
        <f>IF(G25&gt;0,'BP3'!M25,)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IF($G26&gt;0,'BP3'!H26,)</f>
        <v>0</v>
      </c>
      <c r="I26" s="218">
        <f>IF($G26&gt;0,'BP3'!I26,)</f>
        <v>0</v>
      </c>
      <c r="J26" s="218">
        <f>IF($G26&gt;0,'BP3'!J26,)</f>
        <v>0</v>
      </c>
      <c r="K26" s="138">
        <f t="shared" ca="1" si="2"/>
        <v>0</v>
      </c>
      <c r="L26" s="139">
        <f ca="1">IF(K26&gt;3,K26*LOOKUP($K$8,Lists!$A$2:$A$812,IF($K$2="Non-Federal",Lists!$D$2:$D$812,Lists!$C$2:$C$812)),0)</f>
        <v>0</v>
      </c>
      <c r="M26" s="232">
        <f>IF(G26&gt;0,'BP3'!M26,)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IF($G27&gt;0,'BP3'!H27,)</f>
        <v>0</v>
      </c>
      <c r="I27" s="218">
        <f>IF($G27&gt;0,'BP3'!I27,)</f>
        <v>0</v>
      </c>
      <c r="J27" s="218">
        <f>IF($G27&gt;0,'BP3'!J27,)</f>
        <v>0</v>
      </c>
      <c r="K27" s="138">
        <f t="shared" ca="1" si="2"/>
        <v>0</v>
      </c>
      <c r="L27" s="139">
        <f ca="1">IF(K27&gt;3,K27*LOOKUP($K$8,Lists!$A$2:$A$812,IF($K$2="Non-Federal",Lists!$D$2:$D$812,Lists!$C$2:$C$812)),0)</f>
        <v>0</v>
      </c>
      <c r="M27" s="232">
        <f>IF(G27&gt;0,'BP3'!M27,)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IF($G28&gt;0,'BP3'!H28,)</f>
        <v>0</v>
      </c>
      <c r="I28" s="218">
        <f>IF($G28&gt;0,'BP3'!I28,)</f>
        <v>0</v>
      </c>
      <c r="J28" s="218">
        <f>IF($G28&gt;0,'BP3'!J28,)</f>
        <v>0</v>
      </c>
      <c r="K28" s="138">
        <f t="shared" ca="1" si="2"/>
        <v>0</v>
      </c>
      <c r="L28" s="139">
        <f ca="1">IF(K28&gt;3,K28*LOOKUP($K$8,Lists!$A$2:$A$812,IF($K$2="Non-Federal",Lists!$D$2:$D$812,Lists!$C$2:$C$812)),0)</f>
        <v>0</v>
      </c>
      <c r="M28" s="232">
        <f>IF(G28&gt;0,'BP3'!M28,)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IF($G29&gt;0,'BP3'!H29,)</f>
        <v>0</v>
      </c>
      <c r="I29" s="218">
        <f>IF($G29&gt;0,'BP3'!I29,)</f>
        <v>0</v>
      </c>
      <c r="J29" s="218">
        <f>IF($G29&gt;0,'BP3'!J29,)</f>
        <v>0</v>
      </c>
      <c r="K29" s="138">
        <f t="shared" ca="1" si="2"/>
        <v>0</v>
      </c>
      <c r="L29" s="139">
        <f ca="1">IF(K29&gt;3,K29*LOOKUP($K$8,Lists!$A$2:$A$812,IF($K$2="Non-Federal",Lists!$D$2:$D$812,Lists!$C$2:$C$812)),0)</f>
        <v>0</v>
      </c>
      <c r="M29" s="232">
        <f>IF(G29&gt;0,'BP3'!M29,)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8">
        <f>IF($A$5&lt;=$K$5,'BP3'!B32,0)</f>
        <v>0</v>
      </c>
      <c r="C32" s="178" t="s">
        <v>453</v>
      </c>
      <c r="D32" s="180" t="str">
        <f>'BP1'!D32</f>
        <v>Postdoctoral Scholar</v>
      </c>
      <c r="E32" s="180"/>
      <c r="F32" s="180"/>
      <c r="G32" s="433">
        <v>12</v>
      </c>
      <c r="H32" s="196">
        <f>IF($A$5&lt;=$K$5,(IF('BP3'!H32&lt;&gt;'BP3'!B32*12,'BP3'!H32,B32*12)),0)</f>
        <v>0</v>
      </c>
      <c r="I32" s="197"/>
      <c r="J32" s="197"/>
      <c r="K32" s="138">
        <f t="shared" ref="K32:K40" ca="1" si="4">IFERROR(P32/12*H32,)</f>
        <v>0</v>
      </c>
      <c r="L32" s="139">
        <f>IF($A$5&lt;=$K$5,K32*LOOKUP($K$8,Lists!$A$2:$A$812,IF('BP1'!$K$2="Non-Federal",Lists!$D$2:$D$812,Lists!$C$2:$C$812)),0)</f>
        <v>0</v>
      </c>
      <c r="M32" s="232">
        <f>IF(B32&gt;0,'BP3'!M32,)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IF($A$5&lt;=$K$5,'BP3'!B33,0)</f>
        <v>0</v>
      </c>
      <c r="C33" s="178" t="s">
        <v>453</v>
      </c>
      <c r="D33" s="180" t="str">
        <f>'BP1'!D33</f>
        <v>Other Professional</v>
      </c>
      <c r="E33" s="180"/>
      <c r="F33" s="180"/>
      <c r="G33" s="433">
        <v>12</v>
      </c>
      <c r="H33" s="196">
        <f>IF($A$5&lt;=$K$5,(IF('BP3'!H33&lt;&gt;'BP3'!B33*12,'BP3'!H33,B33*12)),0)</f>
        <v>0</v>
      </c>
      <c r="I33" s="197"/>
      <c r="J33" s="197"/>
      <c r="K33" s="138">
        <f t="shared" ca="1" si="4"/>
        <v>0</v>
      </c>
      <c r="L33" s="139">
        <f>IF($A$5&lt;=$K$5,K33*LOOKUP($K$8,Lists!$A$2:$A$812,IF('BP1'!$K$2="Non-Federal",Lists!$D$2:$D$812,Lists!$C$2:$C$812)),0)</f>
        <v>0</v>
      </c>
      <c r="M33" s="232">
        <f>IF(B33&gt;0,'BP3'!M33,)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IF($A$5&lt;=$K$5,'BP3'!B34,0)</f>
        <v>0</v>
      </c>
      <c r="C34" s="178" t="s">
        <v>453</v>
      </c>
      <c r="D34" s="180" t="str">
        <f>'BP1'!D34</f>
        <v>Other Professional</v>
      </c>
      <c r="E34" s="180"/>
      <c r="F34" s="180"/>
      <c r="G34" s="433">
        <v>12</v>
      </c>
      <c r="H34" s="196">
        <f>IF($A$5&lt;=$K$5,(IF('BP3'!H34&lt;&gt;'BP3'!B34*12,'BP3'!H34,B34*12)),0)</f>
        <v>0</v>
      </c>
      <c r="I34" s="197"/>
      <c r="J34" s="197"/>
      <c r="K34" s="138">
        <f t="shared" ca="1" si="4"/>
        <v>0</v>
      </c>
      <c r="L34" s="139">
        <f>IF($A$5&lt;=$K$5,K34*LOOKUP($K$8,Lists!$A$2:$A$812,IF('BP1'!$K$2="Non-Federal",Lists!$D$2:$D$812,Lists!$C$2:$C$812)),0)</f>
        <v>0</v>
      </c>
      <c r="M34" s="232">
        <f>IF(B34&gt;0,'BP3'!M34,)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IF($A$5&lt;=$K$5,'BP3'!B35,0)</f>
        <v>0</v>
      </c>
      <c r="C35" s="178" t="s">
        <v>453</v>
      </c>
      <c r="D35" s="180" t="str">
        <f>'BP1'!D35</f>
        <v>Other Professional</v>
      </c>
      <c r="E35" s="180"/>
      <c r="F35" s="180"/>
      <c r="G35" s="433">
        <v>12</v>
      </c>
      <c r="H35" s="196">
        <f>IF($A$5&lt;=$K$5,(IF('BP3'!H35&lt;&gt;'BP3'!B35*12,'BP3'!H35,B35*12)),0)</f>
        <v>0</v>
      </c>
      <c r="I35" s="197"/>
      <c r="J35" s="197"/>
      <c r="K35" s="138">
        <f t="shared" ca="1" si="4"/>
        <v>0</v>
      </c>
      <c r="L35" s="139">
        <f>IF($A$5&lt;=$K$5,K35*LOOKUP($K$8,Lists!$A$2:$A$812,IF('BP1'!$K$2="Non-Federal",Lists!$D$2:$D$812,Lists!$C$2:$C$812)),0)</f>
        <v>0</v>
      </c>
      <c r="M35" s="232">
        <f>IF(B35&gt;0,'BP3'!M35,)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IF($A$5&lt;=$K$5,'BP3'!B36,0)</f>
        <v>0</v>
      </c>
      <c r="C36" s="178" t="s">
        <v>453</v>
      </c>
      <c r="D36" s="180" t="str">
        <f>'BP1'!D36</f>
        <v>Other Professional</v>
      </c>
      <c r="E36" s="180"/>
      <c r="F36" s="180"/>
      <c r="G36" s="433">
        <v>12</v>
      </c>
      <c r="H36" s="196">
        <f>IF($A$5&lt;=$K$5,(IF('BP3'!H36&lt;&gt;'BP3'!B36*12,'BP3'!H36,B36*12)),0)</f>
        <v>0</v>
      </c>
      <c r="I36" s="197"/>
      <c r="J36" s="197"/>
      <c r="K36" s="138">
        <f t="shared" ca="1" si="4"/>
        <v>0</v>
      </c>
      <c r="L36" s="139">
        <f>IF($A$5&lt;=$K$5,K36*LOOKUP($K$8,Lists!$A$2:$A$812,IF('BP1'!$K$2="Non-Federal",Lists!$D$2:$D$812,Lists!$C$2:$C$812)),0)</f>
        <v>0</v>
      </c>
      <c r="M36" s="232">
        <f>IF(B36&gt;0,'BP3'!M36,)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IF($A$5&lt;=$K$5,'BP3'!B37,0)</f>
        <v>0</v>
      </c>
      <c r="C37" s="178" t="s">
        <v>453</v>
      </c>
      <c r="D37" s="180" t="str">
        <f>'BP1'!D37</f>
        <v>Other Professional</v>
      </c>
      <c r="E37" s="180"/>
      <c r="F37" s="180"/>
      <c r="G37" s="433">
        <v>12</v>
      </c>
      <c r="H37" s="196">
        <f>IF($A$5&lt;=$K$5,(IF('BP3'!H37&lt;&gt;'BP3'!B37*12,'BP3'!H37,B37*12)),0)</f>
        <v>0</v>
      </c>
      <c r="I37" s="197"/>
      <c r="J37" s="197"/>
      <c r="K37" s="138">
        <f t="shared" ca="1" si="4"/>
        <v>0</v>
      </c>
      <c r="L37" s="139">
        <f>IF($A$5&lt;=$K$5,K37*LOOKUP($K$8,Lists!$A$2:$A$812,IF('BP1'!$K$2="Non-Federal",Lists!$D$2:$D$812,Lists!$C$2:$C$812)),0)</f>
        <v>0</v>
      </c>
      <c r="M37" s="232">
        <f>IF(B37&gt;0,'BP3'!M37,)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IF($A$5&lt;=$K$5,'BP3'!B38,0)</f>
        <v>0</v>
      </c>
      <c r="C38" s="178" t="s">
        <v>453</v>
      </c>
      <c r="D38" s="180" t="str">
        <f>"Graduate Student"&amp;IF(B38&gt;0,"s",)</f>
        <v>Graduate Student</v>
      </c>
      <c r="E38" s="180"/>
      <c r="F38" s="180"/>
      <c r="G38" s="433">
        <v>12</v>
      </c>
      <c r="H38" s="196">
        <f>IF($A$5&lt;=$K$5,(IF('BP3'!H38&lt;&gt;'BP3'!B38*12,'BP3'!H38,B38*12)),0)</f>
        <v>0</v>
      </c>
      <c r="I38" s="197"/>
      <c r="J38" s="197"/>
      <c r="K38" s="138">
        <f t="shared" ca="1" si="4"/>
        <v>0</v>
      </c>
      <c r="L38" s="139">
        <f ca="1">K38*IF(K2="Federal",LOOKUP($K$8,Lists!$A$2:$A$812,Lists!$F$2:$F$812),0.1)</f>
        <v>0</v>
      </c>
      <c r="M38" s="232">
        <f>IF(B38&gt;0,'BP3'!M38,)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IF($A$5&lt;=$K$5,'BP3'!B39,0)</f>
        <v>0</v>
      </c>
      <c r="C39" s="178" t="s">
        <v>453</v>
      </c>
      <c r="D39" s="180" t="str">
        <f>"Undergraduate Student"&amp;IF(B39&gt;0,"s",)</f>
        <v>Undergraduate Student</v>
      </c>
      <c r="E39" s="180"/>
      <c r="F39" s="180"/>
      <c r="G39" s="433">
        <v>12</v>
      </c>
      <c r="H39" s="196">
        <f>IF($A$5&lt;=$K$5,(IF('BP3'!H39&lt;&gt;'BP3'!B39*12,'BP3'!H39,B39*12)),0)</f>
        <v>0</v>
      </c>
      <c r="I39" s="197"/>
      <c r="J39" s="197"/>
      <c r="K39" s="138">
        <f t="shared" ca="1" si="4"/>
        <v>0</v>
      </c>
      <c r="L39" s="197"/>
      <c r="M39" s="232">
        <f>IF(B39&gt;0,'BP3'!M39,)</f>
        <v>0</v>
      </c>
      <c r="N39" s="138">
        <f ca="1">IFERROR(P39/12*M39,)</f>
        <v>0</v>
      </c>
      <c r="O39" s="197"/>
      <c r="P39" s="203">
        <f ca="1">IF($A$5&lt;=$K$5,INDIRECT("BP"&amp;$A$5-1&amp;"!P39")*(1+$K$7),0)</f>
        <v>0</v>
      </c>
      <c r="Q39" s="324"/>
      <c r="R39" s="115" t="s">
        <v>215</v>
      </c>
    </row>
    <row r="40" spans="1:18" s="2" customFormat="1" ht="14.25" customHeight="1" thickBot="1">
      <c r="A40" s="183" t="s">
        <v>6</v>
      </c>
      <c r="B40" s="378">
        <f>IF($A$5&lt;=$K$5,'BP3'!B40,0)</f>
        <v>0</v>
      </c>
      <c r="C40" s="178" t="s">
        <v>453</v>
      </c>
      <c r="D40" s="180" t="str">
        <f>"Other"&amp;IF(B40&gt;0,"s",)&amp;" (Carrying Statutory Benefits)"</f>
        <v>Other (Carrying Statutory Benefits)</v>
      </c>
      <c r="E40" s="180"/>
      <c r="F40" s="180"/>
      <c r="G40" s="433">
        <v>12</v>
      </c>
      <c r="H40" s="196">
        <f>IF($A$5&lt;=$K$5,(IF('BP3'!H40&lt;&gt;'BP3'!B40*12,'BP3'!H40,B40*12)),0)</f>
        <v>0</v>
      </c>
      <c r="I40" s="197"/>
      <c r="J40" s="197"/>
      <c r="K40" s="138">
        <f t="shared" ca="1" si="4"/>
        <v>0</v>
      </c>
      <c r="L40" s="139">
        <f ca="1">K40*IF(K2="Federal",LOOKUP($K$8,Lists!$A$2:$A$812,Lists!$E$2:$E$812),0.065)</f>
        <v>0</v>
      </c>
      <c r="M40" s="232">
        <f>IF(B40&gt;0,'BP3'!M40,)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Calculator'!$L$12*(1-'Travel Calculator'!$N$4)),'BP3'!$K$51)),)</f>
        <v>0</v>
      </c>
      <c r="L51" s="702"/>
      <c r="M51" s="229"/>
      <c r="N51" s="701">
        <f>IF($A$5&lt;=$K$5,(IF(SUM('Travel Calculator'!$L$14:$M$14)&gt;0,('Travel Calculator'!$L$12*('Travel Calculator'!$N$4)),'BP3'!$N$51)),)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Calculator'!$M$12*(1-'Travel Calculator'!$N$4)),'BP3'!$K$52)),)</f>
        <v>0</v>
      </c>
      <c r="L52" s="700"/>
      <c r="M52" s="229"/>
      <c r="N52" s="699">
        <f>IF($A$5&lt;=$K$5,(IF(SUM('Travel Calculator'!$L$14:$M$14)&gt;0,('Travel Calculator'!$M$12*('Travel Calculator'!$N$4)),'BP3'!$N$52)),)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IF($A$5&lt;=$K$5,'BP3'!K55,0)</f>
        <v>0</v>
      </c>
      <c r="L55" s="848"/>
      <c r="M55" s="229"/>
      <c r="N55" s="608">
        <f>IF($A$5&lt;='BP1'!$K$5,'BP1'!N55,0)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IF($A$5&lt;=$K$5,'BP3'!K56,0)</f>
        <v>0</v>
      </c>
      <c r="L56" s="848"/>
      <c r="M56" s="229"/>
      <c r="N56" s="608">
        <f>IF($A$5&lt;='BP1'!$K$5,'BP1'!N56,0)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IF($A$5&lt;=$K$5,'BP3'!K57,0)</f>
        <v>0</v>
      </c>
      <c r="L57" s="848"/>
      <c r="M57" s="229"/>
      <c r="N57" s="608">
        <f>IF($A$5&lt;='BP1'!$K$5,'BP1'!N57,0)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IF($A$5&lt;=$K$5,'BP3'!K58,0)</f>
        <v>0</v>
      </c>
      <c r="L58" s="848"/>
      <c r="M58" s="229"/>
      <c r="N58" s="608">
        <f>IF($A$5&lt;='BP1'!$K$5,'BP1'!N58,0)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IF($A$5&lt;=$K$5,'BP3'!K60,0)</f>
        <v>0</v>
      </c>
      <c r="L60" s="834"/>
      <c r="M60" s="229"/>
      <c r="N60" s="608">
        <f>IF($A$5&lt;='BP1'!$K$5,'BP1'!N60,0)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IF($A$5&lt;=$K$5,'BP3'!K61,0)</f>
        <v>0</v>
      </c>
      <c r="L61" s="848"/>
      <c r="M61" s="229"/>
      <c r="N61" s="608">
        <f>IF($A$5&lt;='BP1'!$K$5,'BP1'!N61,0)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IF('BP3'!K62+'BP2'!K62+'BP1'!K62&lt;25000,25000-('BP3'!K62+'BP2'!K62+'BP1'!K62),0)</f>
        <v>25000</v>
      </c>
      <c r="K62" s="707">
        <f>IF(AND(SUM('BP3'!K62)&gt;0,'Subaward Calculator'!AD9=0,'BP1'!K5&gt;3),'BP3'!K62,'Subaward Calculator'!T9)</f>
        <v>0</v>
      </c>
      <c r="L62" s="708"/>
      <c r="M62" s="229"/>
      <c r="N62" s="837">
        <f>IF(AND(SUM('BP3'!N62)&gt;0,'Subaward Calculator'!AF9=0,'BP1'!K5&gt;3),'BP3'!N62,'Subaward Calculator'!V9)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IF('BP3'!K63+'BP2'!K63+'BP1'!K63&lt;25000,25000-('BP3'!K63+'BP2'!K63+'BP1'!K63),0)</f>
        <v>25000</v>
      </c>
      <c r="K63" s="707">
        <f>IF(AND(SUM('BP3'!K63)&gt;0,'Subaward Calculator'!AD12=0,'BP1'!K5&gt;3),'BP3'!K63,'Subaward Calculator'!T12)</f>
        <v>0</v>
      </c>
      <c r="L63" s="708"/>
      <c r="M63" s="229"/>
      <c r="N63" s="837">
        <f>IF(AND(SUM('BP3'!N63)&gt;0,'Subaward Calculator'!AF12=0,'BP1'!K5&gt;3),'BP3'!N63,'Subaward Calculator'!V12)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IF('BP3'!K64+'BP2'!K64+'BP1'!K64&lt;25000,25000-('BP3'!K64+'BP2'!K64+'BP1'!K64),0)</f>
        <v>25000</v>
      </c>
      <c r="K64" s="707">
        <f>IF(AND(SUM('BP3'!K64)&gt;0,'Subaward Calculator'!AD15=0,'BP1'!K5&gt;3),'BP3'!K64,'Subaward Calculator'!T15)</f>
        <v>0</v>
      </c>
      <c r="L64" s="708"/>
      <c r="M64" s="229"/>
      <c r="N64" s="837">
        <f>IF(AND(SUM('BP3'!N64)&gt;0,'Subaward Calculator'!AF15=0,'BP1'!K5&gt;3),'BP3'!N64,'Subaward Calculator'!V15)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IF('BP3'!$K$65+'BP2'!$K$65+'BP1'!$K$65&lt;25000,25000-('BP3'!$K$65+'BP2'!$K$65+'BP1'!$K$65),0)</f>
        <v>25000</v>
      </c>
      <c r="K65" s="707">
        <f>IF(AND(SUM('BP3'!K65)&gt;0,'Subaward Calculator'!AD18=0,'BP1'!K5&gt;3),'BP3'!K65,'Subaward Calculator'!T18)</f>
        <v>0</v>
      </c>
      <c r="L65" s="708"/>
      <c r="M65" s="229"/>
      <c r="N65" s="837">
        <f>IF(AND(SUM('BP3'!N65)&gt;0,'Subaward Calculator'!AF18=0,'BP1'!K5&gt;3),'BP3'!N65,'Subaward Calculator'!V18)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IF('BP3'!$K$66+'BP2'!$K$66+'BP1'!$K$66&lt;25000,25000-('BP3'!$K$66+'BP2'!$K$66+'BP1'!$K$66),0)</f>
        <v>25000</v>
      </c>
      <c r="K66" s="707">
        <f>IF(AND(SUM('BP3'!K66)&gt;0,'Subaward Calculator'!AD21=0,'BP1'!K5&gt;3),'BP3'!K66,'Subaward Calculator'!T21)</f>
        <v>0</v>
      </c>
      <c r="L66" s="708"/>
      <c r="M66" s="229"/>
      <c r="N66" s="837">
        <f>IF(AND(SUM('BP3'!N66)&gt;0,'Subaward Calculator'!AF21=0,'BP1'!K5&gt;3),'BP3'!N66,'Subaward Calculator'!V21)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IF('BP3'!$K$67+'BP2'!$K$67+'BP1'!$K$67&lt;25000,25000-('BP3'!$K$67+'BP2'!$K$67+'BP1'!$K$67),0)</f>
        <v>25000</v>
      </c>
      <c r="K67" s="707">
        <f>IF(AND(SUM('BP3'!K67)&gt;0,'Subaward Calculator'!AD24=0,'BP1'!K5&gt;3),'BP3'!K67,'Subaward Calculator'!T24)</f>
        <v>0</v>
      </c>
      <c r="L67" s="708"/>
      <c r="M67" s="229"/>
      <c r="N67" s="837">
        <f>IF(AND(SUM('BP3'!N67)&gt;0,'Subaward Calculator'!AF24=0,'BP1'!K5&gt;3),'BP3'!N67,'Subaward Calculator'!V24)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IF('BP3'!$K$68+'BP2'!$K$68+'BP1'!$K$68&lt;25000,25000-('BP3'!$K$68+'BP2'!$K$68+'BP1'!$K$68),0)</f>
        <v>25000</v>
      </c>
      <c r="K68" s="707">
        <f>IF(AND(SUM('BP3'!K68)&gt;0,'Subaward Calculator'!AD27=0,'BP1'!K5&gt;3),'BP3'!K68,'Subaward Calculator'!T27)</f>
        <v>0</v>
      </c>
      <c r="L68" s="708"/>
      <c r="M68" s="229"/>
      <c r="N68" s="837">
        <f>IF(AND(SUM('BP3'!N68)&gt;0,'Subaward Calculator'!AF27=0,'BP1'!K5&gt;3),'BP3'!N68,'Subaward Calculator'!V27)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IF('BP3'!$K$69+'BP2'!$K$69+'BP1'!$K$69&lt;25000,25000-('BP3'!$K$69+'BP2'!$K$69+'BP1'!$K$69),0)</f>
        <v>25000</v>
      </c>
      <c r="K69" s="707">
        <f>IF(AND(SUM('BP3'!K69)&gt;0,'Subaward Calculator'!AD30=0,'BP1'!K5&gt;3),'BP3'!K69,'Subaward Calculator'!T30)</f>
        <v>0</v>
      </c>
      <c r="L69" s="708"/>
      <c r="M69" s="229"/>
      <c r="N69" s="837">
        <f>IF(AND(SUM('BP3'!N69)&gt;0,'Subaward Calculator'!AF30=0,'BP1'!K5&gt;3),'BP3'!N69,'Subaward Calculator'!V30)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IF('BP3'!$K$70+'BP2'!$K$70+'BP1'!$K$70&lt;25000,25000-('BP3'!$K$70+'BP2'!$K$70+'BP1'!$K$70),0)</f>
        <v>25000</v>
      </c>
      <c r="K70" s="707">
        <f>IF(AND(SUM('BP3'!K70)&gt;0,'Subaward Calculator'!AD33=0,'BP1'!K5&gt;3),'BP3'!K70,'Subaward Calculator'!T33)</f>
        <v>0</v>
      </c>
      <c r="L70" s="708"/>
      <c r="M70" s="229"/>
      <c r="N70" s="837">
        <f>IF(AND(SUM('BP3'!N70)&gt;0,'Subaward Calculator'!AF33=0,'BP1'!K5&gt;3),'BP3'!N70,'Subaward Calculator'!V33)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IF('BP3'!$K$71+'BP2'!$K$71+'BP1'!$K$71&lt;25000,25000-('BP3'!$K$71+'BP2'!$K$71+'BP1'!$K$71),0)</f>
        <v>25000</v>
      </c>
      <c r="K71" s="707">
        <f>IF(AND(SUM('BP3'!K71)&gt;0,'Subaward Calculator'!AD36=0,'BP1'!K5&gt;3),'BP3'!K71,'Subaward Calculator'!T36)</f>
        <v>0</v>
      </c>
      <c r="L71" s="708"/>
      <c r="M71" s="229"/>
      <c r="N71" s="837">
        <f>IF(AND(SUM('BP3'!N71)&gt;0,'Subaward Calculator'!AF36=0,'BP1'!K5&gt;3),'BP3'!N71,'Subaward Calculator'!V36)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IF('BP3'!$K$72+'BP2'!$K$72+'BP1'!$K$72&lt;25000,25000-('BP3'!$K$72+'BP2'!$K$72+'BP1'!$K$72),0)</f>
        <v>25000</v>
      </c>
      <c r="K72" s="707">
        <f>IF(AND(SUM('BP3'!K72)&gt;0,'Subaward Calculator'!AD39=0,'BP1'!K5&gt;3),'BP3'!K72,'Subaward Calculator'!T39)</f>
        <v>0</v>
      </c>
      <c r="L72" s="708"/>
      <c r="M72" s="229"/>
      <c r="N72" s="837">
        <f>IF(AND(SUM('BP3'!N72)&gt;0,'Subaward Calculator'!AF39=0,'BP1'!K5&gt;3),'BP3'!N72,'Subaward Calculator'!V39)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IF('BP3'!$K$73+'BP2'!$K$73+'BP1'!$K$73&lt;25000,25000-('BP3'!$K$73+'BP2'!$K$73+'BP1'!$K$73),0)</f>
        <v>25000</v>
      </c>
      <c r="K73" s="707">
        <f>IF(AND(SUM('BP3'!K73)&gt;0,'Subaward Calculator'!AD42=0,'BP1'!K5&gt;3),'BP3'!K73,'Subaward Calculator'!T42)</f>
        <v>0</v>
      </c>
      <c r="L73" s="708"/>
      <c r="M73" s="229"/>
      <c r="N73" s="837">
        <f>IF(AND(SUM('BP3'!N73)&gt;0,'Subaward Calculator'!AF42=0,'BP1'!K5&gt;3),'BP3'!N73,'Subaward Calculator'!V42)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Calculator'!T46+'Subaward Calculator'!T44),"")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4</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'BP1'!$N$92+'BP2'!$N$892+'BP3'!$N$92+'BP4'!$N$92+'BP5'!$N$92</f>
        <v>0</v>
      </c>
      <c r="Q92" s="836">
        <f>'BP1'!R83+'BP2'!Q83+'BP3'!Q83+'BP4'!Q83+'BP5'!Q83</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5000000}">
    <filterColumn colId="0">
      <filters>
        <filter val="A) Condensed"/>
      </filters>
    </filterColumn>
  </autoFilter>
  <mergeCells count="205">
    <mergeCell ref="K75:L75"/>
    <mergeCell ref="K71:L71"/>
    <mergeCell ref="N86:O86"/>
    <mergeCell ref="P86:Q86"/>
    <mergeCell ref="P89:Q89"/>
    <mergeCell ref="P90:Q90"/>
    <mergeCell ref="P91:Q91"/>
    <mergeCell ref="G88:L88"/>
    <mergeCell ref="N88:O88"/>
    <mergeCell ref="P88:Q88"/>
    <mergeCell ref="N80:O80"/>
    <mergeCell ref="N84:O84"/>
    <mergeCell ref="N82:O82"/>
    <mergeCell ref="G73:I73"/>
    <mergeCell ref="K76:L76"/>
    <mergeCell ref="G87:L87"/>
    <mergeCell ref="N87:O87"/>
    <mergeCell ref="P87:Q87"/>
    <mergeCell ref="H53:J53"/>
    <mergeCell ref="K49:L49"/>
    <mergeCell ref="B49:F49"/>
    <mergeCell ref="K51:L51"/>
    <mergeCell ref="K50:L50"/>
    <mergeCell ref="K86:L86"/>
    <mergeCell ref="G89:L89"/>
    <mergeCell ref="G90:L90"/>
    <mergeCell ref="G93:L93"/>
    <mergeCell ref="K84:L84"/>
    <mergeCell ref="K68:L68"/>
    <mergeCell ref="K69:L69"/>
    <mergeCell ref="K70:L70"/>
    <mergeCell ref="K64:L64"/>
    <mergeCell ref="K65:L65"/>
    <mergeCell ref="K66:L66"/>
    <mergeCell ref="K67:L67"/>
    <mergeCell ref="K72:L72"/>
    <mergeCell ref="K73:L73"/>
    <mergeCell ref="K80:L80"/>
    <mergeCell ref="K79:L79"/>
    <mergeCell ref="K83:L83"/>
    <mergeCell ref="K82:L82"/>
    <mergeCell ref="K74:L74"/>
    <mergeCell ref="H51:J51"/>
    <mergeCell ref="H52:J52"/>
    <mergeCell ref="B45:F45"/>
    <mergeCell ref="K43:L43"/>
    <mergeCell ref="K41:L41"/>
    <mergeCell ref="K46:L46"/>
    <mergeCell ref="K47:L47"/>
    <mergeCell ref="K42:L42"/>
    <mergeCell ref="K45:L45"/>
    <mergeCell ref="K48:L48"/>
    <mergeCell ref="B48:F48"/>
    <mergeCell ref="B46:F46"/>
    <mergeCell ref="B47:F47"/>
    <mergeCell ref="K61:L61"/>
    <mergeCell ref="K62:L62"/>
    <mergeCell ref="K57:L57"/>
    <mergeCell ref="K58:L58"/>
    <mergeCell ref="K63:L63"/>
    <mergeCell ref="C61:J61"/>
    <mergeCell ref="K52:L52"/>
    <mergeCell ref="K55:L55"/>
    <mergeCell ref="K56:L56"/>
    <mergeCell ref="C59:J59"/>
    <mergeCell ref="C60:J60"/>
    <mergeCell ref="C55:J55"/>
    <mergeCell ref="C56:J56"/>
    <mergeCell ref="C57:J57"/>
    <mergeCell ref="C58:J58"/>
    <mergeCell ref="K53:L53"/>
    <mergeCell ref="K59:L59"/>
    <mergeCell ref="G62:I62"/>
    <mergeCell ref="E62:F62"/>
    <mergeCell ref="C62:D62"/>
    <mergeCell ref="C63:D63"/>
    <mergeCell ref="E63:F63"/>
    <mergeCell ref="G63:I63"/>
    <mergeCell ref="K60:L60"/>
    <mergeCell ref="P95:Q95"/>
    <mergeCell ref="N90:O90"/>
    <mergeCell ref="N91:O91"/>
    <mergeCell ref="N93:O93"/>
    <mergeCell ref="N94:O94"/>
    <mergeCell ref="N95:O95"/>
    <mergeCell ref="N89:O89"/>
    <mergeCell ref="F91:L91"/>
    <mergeCell ref="F95:L95"/>
    <mergeCell ref="P93:Q93"/>
    <mergeCell ref="P94:Q94"/>
    <mergeCell ref="G94:L94"/>
    <mergeCell ref="F92:L92"/>
    <mergeCell ref="N92:O92"/>
    <mergeCell ref="P92:Q92"/>
    <mergeCell ref="B17:F17"/>
    <mergeCell ref="B18:F18"/>
    <mergeCell ref="B20:F20"/>
    <mergeCell ref="B22:F22"/>
    <mergeCell ref="B23:F23"/>
    <mergeCell ref="A30:F30"/>
    <mergeCell ref="B21:F21"/>
    <mergeCell ref="B19:F19"/>
    <mergeCell ref="B24:F24"/>
    <mergeCell ref="B25:F25"/>
    <mergeCell ref="B26:F26"/>
    <mergeCell ref="B27:F27"/>
    <mergeCell ref="B28:F28"/>
    <mergeCell ref="B29:F29"/>
    <mergeCell ref="N49:O49"/>
    <mergeCell ref="N50:O50"/>
    <mergeCell ref="N51:O51"/>
    <mergeCell ref="N52:O52"/>
    <mergeCell ref="N53:O53"/>
    <mergeCell ref="N55:O55"/>
    <mergeCell ref="N56:O56"/>
    <mergeCell ref="N57:O57"/>
    <mergeCell ref="N69:O69"/>
    <mergeCell ref="N58:O58"/>
    <mergeCell ref="N59:O59"/>
    <mergeCell ref="N60:O60"/>
    <mergeCell ref="N61:O61"/>
    <mergeCell ref="N62:O62"/>
    <mergeCell ref="N63:O63"/>
    <mergeCell ref="N64:O64"/>
    <mergeCell ref="N65:O65"/>
    <mergeCell ref="N66:O66"/>
    <mergeCell ref="N67:O67"/>
    <mergeCell ref="N68:O68"/>
    <mergeCell ref="M1:O9"/>
    <mergeCell ref="M10:O11"/>
    <mergeCell ref="N41:O41"/>
    <mergeCell ref="N42:O42"/>
    <mergeCell ref="N43:O43"/>
    <mergeCell ref="N45:O45"/>
    <mergeCell ref="N46:O46"/>
    <mergeCell ref="N47:O47"/>
    <mergeCell ref="N48:O48"/>
    <mergeCell ref="N12:O13"/>
    <mergeCell ref="G12:G14"/>
    <mergeCell ref="A1:J4"/>
    <mergeCell ref="K1:L1"/>
    <mergeCell ref="K4:L4"/>
    <mergeCell ref="A5:J6"/>
    <mergeCell ref="K5:L5"/>
    <mergeCell ref="K6:L6"/>
    <mergeCell ref="E9:G9"/>
    <mergeCell ref="B16:F16"/>
    <mergeCell ref="K12:L13"/>
    <mergeCell ref="H8:J9"/>
    <mergeCell ref="H10:J11"/>
    <mergeCell ref="K8:L9"/>
    <mergeCell ref="K10:L11"/>
    <mergeCell ref="B15:F15"/>
    <mergeCell ref="H12:J12"/>
    <mergeCell ref="H13:J13"/>
    <mergeCell ref="E11:G11"/>
    <mergeCell ref="K7:L7"/>
    <mergeCell ref="K3:L3"/>
    <mergeCell ref="A9:D9"/>
    <mergeCell ref="A11:D11"/>
    <mergeCell ref="N70:O70"/>
    <mergeCell ref="N75:O75"/>
    <mergeCell ref="N78:O78"/>
    <mergeCell ref="N79:O79"/>
    <mergeCell ref="C70:D70"/>
    <mergeCell ref="C71:D71"/>
    <mergeCell ref="A78:F78"/>
    <mergeCell ref="A79:F79"/>
    <mergeCell ref="H79:J79"/>
    <mergeCell ref="G77:H77"/>
    <mergeCell ref="I77:J77"/>
    <mergeCell ref="C72:D72"/>
    <mergeCell ref="C73:D73"/>
    <mergeCell ref="N71:O71"/>
    <mergeCell ref="N72:O72"/>
    <mergeCell ref="N73:O73"/>
    <mergeCell ref="N74:O74"/>
    <mergeCell ref="E70:F70"/>
    <mergeCell ref="G70:I70"/>
    <mergeCell ref="E71:F71"/>
    <mergeCell ref="G71:I71"/>
    <mergeCell ref="E72:F72"/>
    <mergeCell ref="G72:I72"/>
    <mergeCell ref="E73:F73"/>
    <mergeCell ref="A77:C77"/>
    <mergeCell ref="D77:F77"/>
    <mergeCell ref="I78:J78"/>
    <mergeCell ref="C64:D64"/>
    <mergeCell ref="C65:D65"/>
    <mergeCell ref="C66:D66"/>
    <mergeCell ref="C67:D67"/>
    <mergeCell ref="C68:D68"/>
    <mergeCell ref="C69:D69"/>
    <mergeCell ref="E67:F67"/>
    <mergeCell ref="G67:I67"/>
    <mergeCell ref="E68:F68"/>
    <mergeCell ref="G68:I68"/>
    <mergeCell ref="E69:F69"/>
    <mergeCell ref="G69:I69"/>
    <mergeCell ref="E64:F64"/>
    <mergeCell ref="G64:I64"/>
    <mergeCell ref="E65:F65"/>
    <mergeCell ref="G65:I65"/>
    <mergeCell ref="E66:F66"/>
    <mergeCell ref="G66:I66"/>
  </mergeCells>
  <phoneticPr fontId="10" type="noConversion"/>
  <conditionalFormatting sqref="H78:J78">
    <cfRule type="expression" dxfId="13" priority="1">
      <formula>$K$3="TC"</formula>
    </cfRule>
  </conditionalFormatting>
  <conditionalFormatting sqref="I77:J77">
    <cfRule type="expression" dxfId="12" priority="2">
      <formula>$L$2&lt;&gt;"Custom"</formula>
    </cfRule>
    <cfRule type="expression" dxfId="11" priority="3">
      <formula>$L$2="Custom"</formula>
    </cfRule>
  </conditionalFormatting>
  <conditionalFormatting sqref="P86:Q86">
    <cfRule type="expression" dxfId="10" priority="9">
      <formula>$N$80&gt;0</formula>
    </cfRule>
  </conditionalFormatting>
  <conditionalFormatting sqref="P87:Q95">
    <cfRule type="expression" dxfId="9" priority="8">
      <formula>$N$80&gt;0</formula>
    </cfRule>
  </conditionalFormatting>
  <conditionalFormatting sqref="Q15:Q29">
    <cfRule type="cellIs" dxfId="8" priority="14" operator="greaterThan">
      <formula>0</formula>
    </cfRule>
  </conditionalFormatting>
  <dataValidations count="3">
    <dataValidation errorStyle="warning" allowBlank="1" showInputMessage="1" sqref="K7" xr:uid="{00000000-0002-0000-0500-000000000000}"/>
    <dataValidation allowBlank="1" showErrorMessage="1" sqref="L2 K2:K3" xr:uid="{00000000-0002-0000-0500-000001000000}"/>
    <dataValidation type="whole" allowBlank="1" showInputMessage="1" showErrorMessage="1" sqref="A5:J6" xr:uid="{00000000-0002-0000-05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4:O7 A53:O61 A51:F52 H51:J52 A41:O50 A34:A37 C34:F37 A33:F33 A38:F40 H37:L37 K51:O52 A1:O2 A85:O86 M78:O78 M79:O79 H89:O89 A93:O93 A89:F90 H90:M90 A94:G94 H94:O94 A15:L15 E8:G11 K8:O9 A11 I12:O12 H40:K40 H38:K38 N38 K11:O11 K10:L10 N10:O10 M77:O77 A81:O81 B82:M82 A74:O74 G62:I73 B80:O80 B75:J75 L75:O75 D62:F62 D63:F63 D64:F64 D65:F65 D66:F66 D67:F67 D68:F68 D69:F69 D70:F70 D71:F71 A62:B73 D72:F72 D73:F73 B84:M84 O90 O82 O84 O72 O71 O70 O69 O68 O67 O66 O65 O64 O63 O62 O73 N72 N73 N62 N63 N64 N65 N66 N67 N68 N69 N70 N71 A12:F14 H13:O14 A91:E91 O91 G91:M91 A30:O31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filterMode="1">
    <tabColor theme="4" tint="0.59999389629810485"/>
    <pageSetUpPr fitToPage="1"/>
  </sheetPr>
  <dimension ref="A1:R96"/>
  <sheetViews>
    <sheetView showGridLines="0" showZeros="0" zoomScaleNormal="100" workbookViewId="0">
      <selection activeCell="R1" sqref="R1"/>
    </sheetView>
  </sheetViews>
  <sheetFormatPr defaultColWidth="10.6640625" defaultRowHeight="12" customHeight="1" outlineLevelCol="1"/>
  <cols>
    <col min="1" max="1" width="2.44140625" style="6" customWidth="1"/>
    <col min="2" max="2" width="3.88671875" customWidth="1"/>
    <col min="3" max="3" width="1.5546875" customWidth="1"/>
    <col min="4" max="4" width="27.109375" style="3" customWidth="1"/>
    <col min="5" max="5" width="6.5546875" style="3" customWidth="1"/>
    <col min="6" max="6" width="9" style="3" customWidth="1"/>
    <col min="7" max="7" width="11.33203125" customWidth="1"/>
    <col min="8" max="9" width="6.88671875" customWidth="1"/>
    <col min="10" max="10" width="6.88671875" style="116" customWidth="1"/>
    <col min="11" max="11" width="12.109375" customWidth="1"/>
    <col min="12" max="12" width="12.109375" style="79" customWidth="1"/>
    <col min="13" max="13" width="5.88671875" style="79" bestFit="1" customWidth="1" outlineLevel="1"/>
    <col min="14" max="14" width="12.109375" customWidth="1" outlineLevel="1"/>
    <col min="15" max="15" width="12.109375" style="79" customWidth="1" outlineLevel="1"/>
    <col min="16" max="17" width="14.44140625" style="1" customWidth="1"/>
    <col min="18" max="18" width="35.6640625" style="1" customWidth="1"/>
    <col min="19" max="22" width="10.6640625" style="1" customWidth="1"/>
    <col min="23" max="16384" width="10.6640625" style="1"/>
  </cols>
  <sheetData>
    <row r="1" spans="1:18" ht="14.25" customHeight="1" thickBot="1">
      <c r="A1" s="873" t="str">
        <f>'BP1'!A1:L1</f>
        <v>Title</v>
      </c>
      <c r="B1" s="874"/>
      <c r="C1" s="874"/>
      <c r="D1" s="874"/>
      <c r="E1" s="874"/>
      <c r="F1" s="874"/>
      <c r="G1" s="874"/>
      <c r="H1" s="874"/>
      <c r="I1" s="874"/>
      <c r="J1" s="875"/>
      <c r="K1" s="650" t="s">
        <v>221</v>
      </c>
      <c r="L1" s="651"/>
      <c r="M1" s="865"/>
      <c r="N1" s="865"/>
      <c r="O1" s="865"/>
      <c r="R1" s="117" t="s">
        <v>184</v>
      </c>
    </row>
    <row r="2" spans="1:18" ht="14.25" customHeight="1">
      <c r="A2" s="876"/>
      <c r="B2" s="877"/>
      <c r="C2" s="877"/>
      <c r="D2" s="877"/>
      <c r="E2" s="877"/>
      <c r="F2" s="877"/>
      <c r="G2" s="877"/>
      <c r="H2" s="877"/>
      <c r="I2" s="877"/>
      <c r="J2" s="877"/>
      <c r="K2" s="458" t="str">
        <f>'BP1'!K2</f>
        <v>Federal</v>
      </c>
      <c r="L2" s="459" t="str">
        <f>'BP1'!L2</f>
        <v>On Campus</v>
      </c>
      <c r="M2" s="865"/>
      <c r="N2" s="865"/>
      <c r="O2" s="865"/>
      <c r="R2" s="115" t="s">
        <v>215</v>
      </c>
    </row>
    <row r="3" spans="1:18" ht="14.25" customHeight="1">
      <c r="A3" s="876"/>
      <c r="B3" s="877"/>
      <c r="C3" s="877"/>
      <c r="D3" s="877"/>
      <c r="E3" s="877"/>
      <c r="F3" s="877"/>
      <c r="G3" s="877"/>
      <c r="H3" s="877"/>
      <c r="I3" s="877"/>
      <c r="J3" s="877"/>
      <c r="K3" s="858" t="str">
        <f>'BP1'!K3</f>
        <v>MTDC</v>
      </c>
      <c r="L3" s="859"/>
      <c r="M3" s="865"/>
      <c r="N3" s="865"/>
      <c r="O3" s="865"/>
      <c r="R3" s="115" t="s">
        <v>215</v>
      </c>
    </row>
    <row r="4" spans="1:18" ht="14.25" customHeight="1">
      <c r="A4" s="876"/>
      <c r="B4" s="877"/>
      <c r="C4" s="877"/>
      <c r="D4" s="877"/>
      <c r="E4" s="877"/>
      <c r="F4" s="877"/>
      <c r="G4" s="877"/>
      <c r="H4" s="877"/>
      <c r="I4" s="877"/>
      <c r="J4" s="878"/>
      <c r="K4" s="652" t="s">
        <v>441</v>
      </c>
      <c r="L4" s="653"/>
      <c r="M4" s="865"/>
      <c r="N4" s="865"/>
      <c r="O4" s="865"/>
      <c r="R4" s="115" t="s">
        <v>215</v>
      </c>
    </row>
    <row r="5" spans="1:18" ht="14.25" customHeight="1">
      <c r="A5" s="641">
        <f>'BP4'!A5+1</f>
        <v>5</v>
      </c>
      <c r="B5" s="642"/>
      <c r="C5" s="642"/>
      <c r="D5" s="642"/>
      <c r="E5" s="642"/>
      <c r="F5" s="642"/>
      <c r="G5" s="642"/>
      <c r="H5" s="642"/>
      <c r="I5" s="642"/>
      <c r="J5" s="643"/>
      <c r="K5" s="871">
        <f>'BP1'!K5</f>
        <v>1</v>
      </c>
      <c r="L5" s="872"/>
      <c r="M5" s="865"/>
      <c r="N5" s="865"/>
      <c r="O5" s="865"/>
      <c r="R5" s="115" t="s">
        <v>215</v>
      </c>
    </row>
    <row r="6" spans="1:18" ht="13.5" customHeight="1">
      <c r="A6" s="641"/>
      <c r="B6" s="642"/>
      <c r="C6" s="642"/>
      <c r="D6" s="642"/>
      <c r="E6" s="642"/>
      <c r="F6" s="642"/>
      <c r="G6" s="642"/>
      <c r="H6" s="642"/>
      <c r="I6" s="642"/>
      <c r="J6" s="643"/>
      <c r="K6" s="656" t="s">
        <v>94</v>
      </c>
      <c r="L6" s="657"/>
      <c r="M6" s="866"/>
      <c r="N6" s="865"/>
      <c r="O6" s="865"/>
      <c r="R6" s="115" t="s">
        <v>215</v>
      </c>
    </row>
    <row r="7" spans="1:18" ht="13.5" customHeight="1">
      <c r="A7" s="212"/>
      <c r="B7" s="213"/>
      <c r="C7" s="213"/>
      <c r="D7" s="214"/>
      <c r="E7" s="214"/>
      <c r="F7" s="214"/>
      <c r="G7" s="215"/>
      <c r="H7" s="213"/>
      <c r="I7" s="213"/>
      <c r="J7" s="216"/>
      <c r="K7" s="845">
        <f>'BP1'!$K$7</f>
        <v>0.03</v>
      </c>
      <c r="L7" s="846"/>
      <c r="M7" s="866"/>
      <c r="N7" s="865"/>
      <c r="O7" s="865"/>
      <c r="R7" s="115" t="s">
        <v>215</v>
      </c>
    </row>
    <row r="8" spans="1:18" ht="14.25" customHeight="1">
      <c r="A8" s="177" t="s">
        <v>196</v>
      </c>
      <c r="B8" s="178"/>
      <c r="C8" s="178"/>
      <c r="D8" s="179"/>
      <c r="E8" s="180" t="str">
        <f>'BP1'!E8</f>
        <v>Originating Sponsor</v>
      </c>
      <c r="F8" s="154"/>
      <c r="G8" s="154"/>
      <c r="H8" s="666" t="s">
        <v>509</v>
      </c>
      <c r="I8" s="666"/>
      <c r="J8" s="667"/>
      <c r="K8" s="662">
        <f>EDATE('BP4'!K10,0)+1</f>
        <v>46265</v>
      </c>
      <c r="L8" s="860"/>
      <c r="M8" s="866"/>
      <c r="N8" s="865"/>
      <c r="O8" s="865"/>
      <c r="R8" s="115" t="s">
        <v>215</v>
      </c>
    </row>
    <row r="9" spans="1:18" s="2" customFormat="1" ht="14.25" customHeight="1">
      <c r="A9" s="637" t="s">
        <v>1</v>
      </c>
      <c r="B9" s="638"/>
      <c r="C9" s="638"/>
      <c r="D9" s="638"/>
      <c r="E9" s="863">
        <f>'BP1'!E9</f>
        <v>0</v>
      </c>
      <c r="F9" s="863"/>
      <c r="G9" s="863"/>
      <c r="H9" s="668"/>
      <c r="I9" s="668"/>
      <c r="J9" s="669"/>
      <c r="K9" s="861"/>
      <c r="L9" s="862"/>
      <c r="M9" s="867"/>
      <c r="N9" s="868"/>
      <c r="O9" s="868"/>
      <c r="R9" s="115" t="s">
        <v>215</v>
      </c>
    </row>
    <row r="10" spans="1:18" s="2" customFormat="1" ht="14.25" customHeight="1">
      <c r="A10" s="181" t="s">
        <v>201</v>
      </c>
      <c r="B10" s="142"/>
      <c r="C10" s="142"/>
      <c r="D10" s="143"/>
      <c r="E10" s="180" t="str">
        <f>'BP1'!E10</f>
        <v>Flow-through Sponsor</v>
      </c>
      <c r="F10" s="154"/>
      <c r="G10" s="154"/>
      <c r="H10" s="666" t="s">
        <v>510</v>
      </c>
      <c r="I10" s="666"/>
      <c r="J10" s="667"/>
      <c r="K10" s="662">
        <f>EDATE(K8,12)-1</f>
        <v>46629</v>
      </c>
      <c r="L10" s="860"/>
      <c r="M10" s="672" t="s">
        <v>557</v>
      </c>
      <c r="N10" s="673"/>
      <c r="O10" s="869"/>
      <c r="R10" s="115" t="s">
        <v>215</v>
      </c>
    </row>
    <row r="11" spans="1:18" s="2" customFormat="1" ht="14.25" customHeight="1">
      <c r="A11" s="639" t="str">
        <f>'BP1'!A11:D11</f>
        <v>Professor McCormick</v>
      </c>
      <c r="B11" s="640"/>
      <c r="C11" s="640"/>
      <c r="D11" s="640"/>
      <c r="E11" s="863">
        <f>'BP1'!E11</f>
        <v>0</v>
      </c>
      <c r="F11" s="863"/>
      <c r="G11" s="863"/>
      <c r="H11" s="668"/>
      <c r="I11" s="668"/>
      <c r="J11" s="669"/>
      <c r="K11" s="861"/>
      <c r="L11" s="862"/>
      <c r="M11" s="674"/>
      <c r="N11" s="675"/>
      <c r="O11" s="870"/>
      <c r="R11" s="115" t="s">
        <v>215</v>
      </c>
    </row>
    <row r="12" spans="1:18" s="2" customFormat="1" ht="14.25" customHeight="1">
      <c r="A12" s="181" t="s">
        <v>198</v>
      </c>
      <c r="B12" s="142"/>
      <c r="C12" s="142"/>
      <c r="D12" s="155"/>
      <c r="E12" s="155"/>
      <c r="F12" s="329"/>
      <c r="G12" s="680" t="s">
        <v>897</v>
      </c>
      <c r="H12" s="683" t="s">
        <v>511</v>
      </c>
      <c r="I12" s="684"/>
      <c r="J12" s="685"/>
      <c r="K12" s="628" t="s">
        <v>35</v>
      </c>
      <c r="L12" s="629"/>
      <c r="M12" s="375" t="s">
        <v>282</v>
      </c>
      <c r="N12" s="628" t="s">
        <v>35</v>
      </c>
      <c r="O12" s="629"/>
      <c r="R12" s="115" t="s">
        <v>215</v>
      </c>
    </row>
    <row r="13" spans="1:18" s="2" customFormat="1" ht="14.25" customHeight="1">
      <c r="A13" s="141"/>
      <c r="B13" s="142"/>
      <c r="C13" s="142"/>
      <c r="D13" s="155"/>
      <c r="E13" s="155"/>
      <c r="F13" s="330"/>
      <c r="G13" s="681"/>
      <c r="H13" s="676" t="s">
        <v>281</v>
      </c>
      <c r="I13" s="677"/>
      <c r="J13" s="678"/>
      <c r="K13" s="630"/>
      <c r="L13" s="631"/>
      <c r="M13" s="374" t="s">
        <v>283</v>
      </c>
      <c r="N13" s="630"/>
      <c r="O13" s="631"/>
      <c r="R13" s="115" t="s">
        <v>215</v>
      </c>
    </row>
    <row r="14" spans="1:18" s="2"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105</v>
      </c>
      <c r="Q14" s="193" t="s">
        <v>857</v>
      </c>
      <c r="R14" s="115" t="s">
        <v>215</v>
      </c>
    </row>
    <row r="15" spans="1:18" s="2" customFormat="1" ht="14.25" customHeight="1">
      <c r="A15" s="182">
        <v>1</v>
      </c>
      <c r="B15" s="842">
        <f>IF($A$5&lt;=$K$5,'BP1'!B15,)</f>
        <v>0</v>
      </c>
      <c r="C15" s="843"/>
      <c r="D15" s="843"/>
      <c r="E15" s="843"/>
      <c r="F15" s="844"/>
      <c r="G15" s="227">
        <f>IF($A$5&lt;=$K$5,'BP1'!G15,)</f>
        <v>0</v>
      </c>
      <c r="H15" s="217">
        <f>IF($G15&gt;0,'BP4'!H15,)</f>
        <v>0</v>
      </c>
      <c r="I15" s="218">
        <f>IF($G15&gt;0,'BP4'!I15,)</f>
        <v>0</v>
      </c>
      <c r="J15" s="218">
        <f>IF($G15&gt;0,'BP4'!J15,)</f>
        <v>0</v>
      </c>
      <c r="K15" s="138">
        <f ca="1">IFERROR(IF(Q15&gt;0,Q15/G15*(SUM(H15:J15)),P15/G15*(SUM(H15:J15))),)</f>
        <v>0</v>
      </c>
      <c r="L15" s="139">
        <f ca="1">IF(K15&gt;4,K15*LOOKUP($K$8,Lists!$A$2:$A$812,IF($K$2="Non-Federal",Lists!$D$2:$D$812,Lists!$C$2:$C$812)),0)</f>
        <v>0</v>
      </c>
      <c r="M15" s="232">
        <f>IF(G15&gt;0,'BP4'!M15,)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42">
        <f>IF($A$5&lt;=$K$5,'BP1'!B16,)</f>
        <v>0</v>
      </c>
      <c r="C16" s="843"/>
      <c r="D16" s="843"/>
      <c r="E16" s="843"/>
      <c r="F16" s="844"/>
      <c r="G16" s="227">
        <f>IF($A$5&lt;=$K$5,'BP1'!G16,)</f>
        <v>0</v>
      </c>
      <c r="H16" s="217">
        <f>IF($G16&gt;0,'BP4'!H16,)</f>
        <v>0</v>
      </c>
      <c r="I16" s="218">
        <f>IF($G16&gt;0,'BP4'!I16,)</f>
        <v>0</v>
      </c>
      <c r="J16" s="218">
        <f>IF($G16&gt;0,'BP4'!J16,)</f>
        <v>0</v>
      </c>
      <c r="K16" s="138">
        <f ca="1">IFERROR(IF(Q16&gt;0,Q16/G16*(SUM(H16:J16)),P16/G16*(SUM(H16:J16))),)</f>
        <v>0</v>
      </c>
      <c r="L16" s="139">
        <f ca="1">IF(K16&gt;4,K16*LOOKUP($K$8,Lists!$A$2:$A$812,IF($K$2="Non-Federal",Lists!$D$2:$D$812,Lists!$C$2:$C$812)),0)</f>
        <v>0</v>
      </c>
      <c r="M16" s="232">
        <f>IF(G16&gt;0,'BP4'!M16,)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42">
        <f>IF($A$5&lt;=$K$5,'BP1'!B17,)</f>
        <v>0</v>
      </c>
      <c r="C17" s="843"/>
      <c r="D17" s="843"/>
      <c r="E17" s="843"/>
      <c r="F17" s="844"/>
      <c r="G17" s="227">
        <f>IF($A$5&lt;=$K$5,'BP1'!G17,)</f>
        <v>0</v>
      </c>
      <c r="H17" s="217">
        <f>IF($G17&gt;0,'BP4'!H17,)</f>
        <v>0</v>
      </c>
      <c r="I17" s="218">
        <f>IF($G17&gt;0,'BP4'!I17,)</f>
        <v>0</v>
      </c>
      <c r="J17" s="218">
        <f>IF($G17&gt;0,'BP4'!J17,)</f>
        <v>0</v>
      </c>
      <c r="K17" s="138">
        <f t="shared" ref="K17:K29" ca="1" si="2">IFERROR(IF(Q17&gt;0,Q17/G17*(SUM(H17:J17)),P17/G17*(SUM(H17:J17))),)</f>
        <v>0</v>
      </c>
      <c r="L17" s="139">
        <f ca="1">IF(K17&gt;4,K17*LOOKUP($K$8,Lists!$A$2:$A$812,IF($K$2="Non-Federal",Lists!$D$2:$D$812,Lists!$C$2:$C$812)),0)</f>
        <v>0</v>
      </c>
      <c r="M17" s="232">
        <f>IF(G17&gt;0,'BP4'!M17,)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42">
        <f>IF($A$5&lt;=$K$5,'BP1'!B18,)</f>
        <v>0</v>
      </c>
      <c r="C18" s="843"/>
      <c r="D18" s="843"/>
      <c r="E18" s="843"/>
      <c r="F18" s="844"/>
      <c r="G18" s="227">
        <f>IF($A$5&lt;=$K$5,'BP1'!G18,)</f>
        <v>0</v>
      </c>
      <c r="H18" s="217">
        <f>IF($G18&gt;0,'BP4'!H18,)</f>
        <v>0</v>
      </c>
      <c r="I18" s="218">
        <f>IF($G18&gt;0,'BP4'!I18,)</f>
        <v>0</v>
      </c>
      <c r="J18" s="218">
        <f>IF($G18&gt;0,'BP4'!J18,)</f>
        <v>0</v>
      </c>
      <c r="K18" s="138">
        <f t="shared" ca="1" si="2"/>
        <v>0</v>
      </c>
      <c r="L18" s="139">
        <f ca="1">IF(K18&gt;4,K18*LOOKUP($K$8,Lists!$A$2:$A$812,IF($K$2="Non-Federal",Lists!$D$2:$D$812,Lists!$C$2:$C$812)),0)</f>
        <v>0</v>
      </c>
      <c r="M18" s="232">
        <f>IF(G18&gt;0,'BP4'!M18,)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42">
        <f>IF($A$5&lt;=$K$5,'BP1'!B19,)</f>
        <v>0</v>
      </c>
      <c r="C19" s="843"/>
      <c r="D19" s="843"/>
      <c r="E19" s="843"/>
      <c r="F19" s="844"/>
      <c r="G19" s="227">
        <f>IF($A$5&lt;=$K$5,'BP1'!G19,)</f>
        <v>0</v>
      </c>
      <c r="H19" s="217">
        <f>IF($G19&gt;0,'BP4'!H19,)</f>
        <v>0</v>
      </c>
      <c r="I19" s="218">
        <f>IF($G19&gt;0,'BP4'!I19,)</f>
        <v>0</v>
      </c>
      <c r="J19" s="218">
        <f>IF($G19&gt;0,'BP4'!J19,)</f>
        <v>0</v>
      </c>
      <c r="K19" s="138">
        <f t="shared" ca="1" si="2"/>
        <v>0</v>
      </c>
      <c r="L19" s="139">
        <f ca="1">IF(K19&gt;4,K19*LOOKUP($K$8,Lists!$A$2:$A$812,IF($K$2="Non-Federal",Lists!$D$2:$D$812,Lists!$C$2:$C$812)),0)</f>
        <v>0</v>
      </c>
      <c r="M19" s="232">
        <f>IF(G19&gt;0,'BP4'!M19,)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42">
        <f>IF($A$5&lt;=$K$5,'BP1'!B20,)</f>
        <v>0</v>
      </c>
      <c r="C20" s="843"/>
      <c r="D20" s="843"/>
      <c r="E20" s="843"/>
      <c r="F20" s="844"/>
      <c r="G20" s="227">
        <f>IF($A$5&lt;=$K$5,'BP1'!G20,)</f>
        <v>0</v>
      </c>
      <c r="H20" s="217">
        <f>IF($G20&gt;0,'BP4'!H20,)</f>
        <v>0</v>
      </c>
      <c r="I20" s="218">
        <f>IF($G20&gt;0,'BP4'!I20,)</f>
        <v>0</v>
      </c>
      <c r="J20" s="218">
        <f>IF($G20&gt;0,'BP4'!J20,)</f>
        <v>0</v>
      </c>
      <c r="K20" s="138">
        <f t="shared" ca="1" si="2"/>
        <v>0</v>
      </c>
      <c r="L20" s="139">
        <f ca="1">IF(K20&gt;4,K20*LOOKUP($K$8,Lists!$A$2:$A$812,IF($K$2="Non-Federal",Lists!$D$2:$D$812,Lists!$C$2:$C$812)),0)</f>
        <v>0</v>
      </c>
      <c r="M20" s="232">
        <f>IF(G20&gt;0,'BP4'!M20,)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42">
        <f>IF($A$5&lt;=$K$5,'BP1'!B21,)</f>
        <v>0</v>
      </c>
      <c r="C21" s="843"/>
      <c r="D21" s="843"/>
      <c r="E21" s="843"/>
      <c r="F21" s="844"/>
      <c r="G21" s="227">
        <f>IF($A$5&lt;=$K$5,'BP1'!G21,)</f>
        <v>0</v>
      </c>
      <c r="H21" s="217">
        <f>IF($G21&gt;0,'BP4'!H21,)</f>
        <v>0</v>
      </c>
      <c r="I21" s="218">
        <f>IF($G21&gt;0,'BP4'!I21,)</f>
        <v>0</v>
      </c>
      <c r="J21" s="218">
        <f>IF($G21&gt;0,'BP4'!J21,)</f>
        <v>0</v>
      </c>
      <c r="K21" s="138">
        <f t="shared" ca="1" si="2"/>
        <v>0</v>
      </c>
      <c r="L21" s="139">
        <f ca="1">IF(K21&gt;4,K21*LOOKUP($K$8,Lists!$A$2:$A$812,IF($K$2="Non-Federal",Lists!$D$2:$D$812,Lists!$C$2:$C$812)),0)</f>
        <v>0</v>
      </c>
      <c r="M21" s="232">
        <f>IF(G21&gt;0,'BP4'!M21,)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42">
        <f>IF($A$5&lt;=$K$5,'BP1'!B22,)</f>
        <v>0</v>
      </c>
      <c r="C22" s="843"/>
      <c r="D22" s="843"/>
      <c r="E22" s="843"/>
      <c r="F22" s="844"/>
      <c r="G22" s="227">
        <f>IF($A$5&lt;=$K$5,'BP1'!G22,)</f>
        <v>0</v>
      </c>
      <c r="H22" s="217">
        <f>IF($G22&gt;0,'BP4'!H22,)</f>
        <v>0</v>
      </c>
      <c r="I22" s="218">
        <f>IF($G22&gt;0,'BP4'!I22,)</f>
        <v>0</v>
      </c>
      <c r="J22" s="218">
        <f>IF($G22&gt;0,'BP4'!J22,)</f>
        <v>0</v>
      </c>
      <c r="K22" s="138">
        <f t="shared" ca="1" si="2"/>
        <v>0</v>
      </c>
      <c r="L22" s="139">
        <f ca="1">IF(K22&gt;4,K22*LOOKUP($K$8,Lists!$A$2:$A$812,IF($K$2="Non-Federal",Lists!$D$2:$D$812,Lists!$C$2:$C$812)),0)</f>
        <v>0</v>
      </c>
      <c r="M22" s="232">
        <f>IF(G22&gt;0,'BP4'!M22,)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42">
        <f>IF($A$5&lt;=$K$5,'BP1'!B23,)</f>
        <v>0</v>
      </c>
      <c r="C23" s="843"/>
      <c r="D23" s="843"/>
      <c r="E23" s="843"/>
      <c r="F23" s="844"/>
      <c r="G23" s="227">
        <f>IF($A$5&lt;=$K$5,'BP1'!G23,)</f>
        <v>0</v>
      </c>
      <c r="H23" s="217">
        <f>IF($G23&gt;0,'BP4'!H23,)</f>
        <v>0</v>
      </c>
      <c r="I23" s="218">
        <f>IF($G23&gt;0,'BP4'!I23,)</f>
        <v>0</v>
      </c>
      <c r="J23" s="218">
        <f>IF($G23&gt;0,'BP4'!J23,)</f>
        <v>0</v>
      </c>
      <c r="K23" s="138">
        <f t="shared" ca="1" si="2"/>
        <v>0</v>
      </c>
      <c r="L23" s="139">
        <f ca="1">IF(K23&gt;4,K23*LOOKUP($K$8,Lists!$A$2:$A$812,IF($K$2="Non-Federal",Lists!$D$2:$D$812,Lists!$C$2:$C$812)),0)</f>
        <v>0</v>
      </c>
      <c r="M23" s="232">
        <f>IF(G23&gt;0,'BP4'!M23,)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42">
        <f>IF($A$5&lt;=$K$5,'BP1'!B24,)</f>
        <v>0</v>
      </c>
      <c r="C24" s="843"/>
      <c r="D24" s="843"/>
      <c r="E24" s="843"/>
      <c r="F24" s="844"/>
      <c r="G24" s="227">
        <f>IF($A$5&lt;=$K$5,'BP1'!G24,)</f>
        <v>0</v>
      </c>
      <c r="H24" s="217">
        <f>IF($G24&gt;0,'BP4'!H24,)</f>
        <v>0</v>
      </c>
      <c r="I24" s="218">
        <f>IF($G24&gt;0,'BP4'!I24,)</f>
        <v>0</v>
      </c>
      <c r="J24" s="218">
        <f>IF($G24&gt;0,'BP4'!J24,)</f>
        <v>0</v>
      </c>
      <c r="K24" s="138">
        <f t="shared" ca="1" si="2"/>
        <v>0</v>
      </c>
      <c r="L24" s="139">
        <f ca="1">IF(K24&gt;4,K24*LOOKUP($K$8,Lists!$A$2:$A$812,IF($K$2="Non-Federal",Lists!$D$2:$D$812,Lists!$C$2:$C$812)),0)</f>
        <v>0</v>
      </c>
      <c r="M24" s="232">
        <f>IF(G24&gt;0,'BP4'!M24,)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42">
        <f>IF($A$5&lt;=$K$5,'BP1'!B25,)</f>
        <v>0</v>
      </c>
      <c r="C25" s="843"/>
      <c r="D25" s="843"/>
      <c r="E25" s="843"/>
      <c r="F25" s="844"/>
      <c r="G25" s="227">
        <f>IF($A$5&lt;=$K$5,'BP1'!G25,)</f>
        <v>0</v>
      </c>
      <c r="H25" s="217">
        <f>IF($G25&gt;0,'BP4'!H25,)</f>
        <v>0</v>
      </c>
      <c r="I25" s="218">
        <f>IF($G25&gt;0,'BP4'!I25,)</f>
        <v>0</v>
      </c>
      <c r="J25" s="218">
        <f>IF($G25&gt;0,'BP4'!J25,)</f>
        <v>0</v>
      </c>
      <c r="K25" s="138">
        <f t="shared" ca="1" si="2"/>
        <v>0</v>
      </c>
      <c r="L25" s="139">
        <f ca="1">IF(K25&gt;4,K25*LOOKUP($K$8,Lists!$A$2:$A$812,IF($K$2="Non-Federal",Lists!$D$2:$D$812,Lists!$C$2:$C$812)),0)</f>
        <v>0</v>
      </c>
      <c r="M25" s="232">
        <f>IF(G25&gt;0,'BP4'!M25,)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42">
        <f>IF($A$5&lt;=$K$5,'BP1'!B26,)</f>
        <v>0</v>
      </c>
      <c r="C26" s="843"/>
      <c r="D26" s="843"/>
      <c r="E26" s="843"/>
      <c r="F26" s="844"/>
      <c r="G26" s="227">
        <f>IF($A$5&lt;=$K$5,'BP1'!G26,)</f>
        <v>0</v>
      </c>
      <c r="H26" s="217">
        <f>IF($G26&gt;0,'BP4'!H26,)</f>
        <v>0</v>
      </c>
      <c r="I26" s="218">
        <f>IF($G26&gt;0,'BP4'!I26,)</f>
        <v>0</v>
      </c>
      <c r="J26" s="218">
        <f>IF($G26&gt;0,'BP4'!J26,)</f>
        <v>0</v>
      </c>
      <c r="K26" s="138">
        <f t="shared" ca="1" si="2"/>
        <v>0</v>
      </c>
      <c r="L26" s="139">
        <f ca="1">IF(K26&gt;4,K26*LOOKUP($K$8,Lists!$A$2:$A$812,IF($K$2="Non-Federal",Lists!$D$2:$D$812,Lists!$C$2:$C$812)),0)</f>
        <v>0</v>
      </c>
      <c r="M26" s="232">
        <f>IF(G26&gt;0,'BP4'!M26,)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42">
        <f>IF($A$5&lt;=$K$5,'BP1'!B27,)</f>
        <v>0</v>
      </c>
      <c r="C27" s="843"/>
      <c r="D27" s="843"/>
      <c r="E27" s="843"/>
      <c r="F27" s="844"/>
      <c r="G27" s="227">
        <f>IF($A$5&lt;=$K$5,'BP1'!G27,)</f>
        <v>0</v>
      </c>
      <c r="H27" s="217">
        <f>IF($G27&gt;0,'BP4'!H27,)</f>
        <v>0</v>
      </c>
      <c r="I27" s="218">
        <f>IF($G27&gt;0,'BP4'!I27,)</f>
        <v>0</v>
      </c>
      <c r="J27" s="218">
        <f>IF($G27&gt;0,'BP4'!J27,)</f>
        <v>0</v>
      </c>
      <c r="K27" s="138">
        <f t="shared" ca="1" si="2"/>
        <v>0</v>
      </c>
      <c r="L27" s="139">
        <f ca="1">IF(K27&gt;4,K27*LOOKUP($K$8,Lists!$A$2:$A$812,IF($K$2="Non-Federal",Lists!$D$2:$D$812,Lists!$C$2:$C$812)),0)</f>
        <v>0</v>
      </c>
      <c r="M27" s="232">
        <f>IF(G27&gt;0,'BP4'!M27,)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42">
        <f>IF($A$5&lt;=$K$5,'BP1'!B28,)</f>
        <v>0</v>
      </c>
      <c r="C28" s="843"/>
      <c r="D28" s="843"/>
      <c r="E28" s="843"/>
      <c r="F28" s="844"/>
      <c r="G28" s="227">
        <f>IF($A$5&lt;=$K$5,'BP1'!G28,)</f>
        <v>0</v>
      </c>
      <c r="H28" s="217">
        <f>IF($G28&gt;0,'BP4'!H28,)</f>
        <v>0</v>
      </c>
      <c r="I28" s="218">
        <f>IF($G28&gt;0,'BP4'!I28,)</f>
        <v>0</v>
      </c>
      <c r="J28" s="218">
        <f>IF($G28&gt;0,'BP4'!J28,)</f>
        <v>0</v>
      </c>
      <c r="K28" s="138">
        <f t="shared" ca="1" si="2"/>
        <v>0</v>
      </c>
      <c r="L28" s="139">
        <f ca="1">IF(K28&gt;4,K28*LOOKUP($K$8,Lists!$A$2:$A$812,IF($K$2="Non-Federal",Lists!$D$2:$D$812,Lists!$C$2:$C$812)),0)</f>
        <v>0</v>
      </c>
      <c r="M28" s="232">
        <f>IF(G28&gt;0,'BP4'!M28,)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42">
        <f>IF($A$5&lt;=$K$5,'BP1'!B29,)</f>
        <v>0</v>
      </c>
      <c r="C29" s="843"/>
      <c r="D29" s="843"/>
      <c r="E29" s="843"/>
      <c r="F29" s="844"/>
      <c r="G29" s="227">
        <f>IF($A$5&lt;=$K$5,'BP1'!G29,)</f>
        <v>0</v>
      </c>
      <c r="H29" s="217">
        <f>IF($G29&gt;0,'BP4'!H29,)</f>
        <v>0</v>
      </c>
      <c r="I29" s="218">
        <f>IF($G29&gt;0,'BP4'!I29,)</f>
        <v>0</v>
      </c>
      <c r="J29" s="218">
        <f>IF($G29&gt;0,'BP4'!J29,)</f>
        <v>0</v>
      </c>
      <c r="K29" s="138">
        <f t="shared" ca="1" si="2"/>
        <v>0</v>
      </c>
      <c r="L29" s="139">
        <f ca="1">IF(K29&gt;4,K29*LOOKUP($K$8,Lists!$A$2:$A$812,IF($K$2="Non-Federal",Lists!$D$2:$D$812,Lists!$C$2:$C$812)),0)</f>
        <v>0</v>
      </c>
      <c r="M29" s="232">
        <f>IF(G29&gt;0,'BP4'!M29,)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605" t="s">
        <v>199</v>
      </c>
      <c r="B30" s="606"/>
      <c r="C30" s="606"/>
      <c r="D30" s="606"/>
      <c r="E30" s="606"/>
      <c r="F30" s="607"/>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8">
        <f>IF($A$5&lt;=$K$5,'BP4'!B32,0)</f>
        <v>0</v>
      </c>
      <c r="C32" s="178" t="s">
        <v>453</v>
      </c>
      <c r="D32" s="180" t="str">
        <f>'BP1'!D32</f>
        <v>Postdoctoral Scholar</v>
      </c>
      <c r="E32" s="180"/>
      <c r="F32" s="180"/>
      <c r="G32" s="433">
        <v>12</v>
      </c>
      <c r="H32" s="196">
        <f>IF($A$5&lt;=$K$5,(IF('BP4'!H32&lt;&gt;'BP4'!B32*12,'BP4'!H32,B32*12)),0)</f>
        <v>0</v>
      </c>
      <c r="I32" s="197"/>
      <c r="J32" s="197"/>
      <c r="K32" s="138">
        <f t="shared" ref="K32:K40" ca="1" si="4">IFERROR(P32/12*H32,)</f>
        <v>0</v>
      </c>
      <c r="L32" s="139">
        <f>IF($A$5&lt;=$K$5,K32*LOOKUP($K$8,Lists!$A$2:$A$812,IF('BP1'!$K$2="Non-Federal",Lists!$D$2:$D$812,Lists!$C$2:$C$812)),0)</f>
        <v>0</v>
      </c>
      <c r="M32" s="232">
        <f>IF(B32&gt;0,'BP4'!M32,)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8">
        <f>IF($A$5&lt;=$K$5,'BP4'!B33,0)</f>
        <v>0</v>
      </c>
      <c r="C33" s="178" t="s">
        <v>453</v>
      </c>
      <c r="D33" s="180" t="str">
        <f>'BP1'!D33</f>
        <v>Other Professional</v>
      </c>
      <c r="E33" s="180"/>
      <c r="F33" s="180"/>
      <c r="G33" s="433">
        <v>12</v>
      </c>
      <c r="H33" s="196">
        <f>IF($A$5&lt;=$K$5,(IF('BP4'!H33&lt;&gt;'BP4'!B33*12,'BP4'!H33,B33*12)),0)</f>
        <v>0</v>
      </c>
      <c r="I33" s="197"/>
      <c r="J33" s="197"/>
      <c r="K33" s="138">
        <f t="shared" ca="1" si="4"/>
        <v>0</v>
      </c>
      <c r="L33" s="139">
        <f>IF($A$5&lt;=$K$5,K33*LOOKUP($K$8,Lists!$A$2:$A$812,IF('BP1'!$K$2="Non-Federal",Lists!$D$2:$D$812,Lists!$C$2:$C$812)),0)</f>
        <v>0</v>
      </c>
      <c r="M33" s="232">
        <f>IF(B33&gt;0,'BP4'!M33,)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8">
        <f>IF($A$5&lt;=$K$5,'BP4'!B34,0)</f>
        <v>0</v>
      </c>
      <c r="C34" s="178" t="s">
        <v>453</v>
      </c>
      <c r="D34" s="180" t="str">
        <f>'BP1'!D34</f>
        <v>Other Professional</v>
      </c>
      <c r="E34" s="180"/>
      <c r="F34" s="180"/>
      <c r="G34" s="433">
        <v>12</v>
      </c>
      <c r="H34" s="196">
        <f>IF($A$5&lt;=$K$5,(IF('BP4'!H34&lt;&gt;'BP4'!B34*12,'BP4'!H34,B34*12)),0)</f>
        <v>0</v>
      </c>
      <c r="I34" s="197"/>
      <c r="J34" s="197"/>
      <c r="K34" s="138">
        <f t="shared" ca="1" si="4"/>
        <v>0</v>
      </c>
      <c r="L34" s="139">
        <f>IF($A$5&lt;=$K$5,K34*LOOKUP($K$8,Lists!$A$2:$A$812,IF('BP1'!$K$2="Non-Federal",Lists!$D$2:$D$812,Lists!$C$2:$C$812)),0)</f>
        <v>0</v>
      </c>
      <c r="M34" s="232">
        <f>IF(B34&gt;0,'BP4'!M34,)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8">
        <f>IF($A$5&lt;=$K$5,'BP4'!B35,0)</f>
        <v>0</v>
      </c>
      <c r="C35" s="178" t="s">
        <v>453</v>
      </c>
      <c r="D35" s="180" t="str">
        <f>'BP1'!D35</f>
        <v>Other Professional</v>
      </c>
      <c r="E35" s="180"/>
      <c r="F35" s="180"/>
      <c r="G35" s="433">
        <v>12</v>
      </c>
      <c r="H35" s="196">
        <f>IF($A$5&lt;=$K$5,(IF('BP4'!H35&lt;&gt;'BP4'!B35*12,'BP4'!H35,B35*12)),0)</f>
        <v>0</v>
      </c>
      <c r="I35" s="197"/>
      <c r="J35" s="197"/>
      <c r="K35" s="138">
        <f t="shared" ca="1" si="4"/>
        <v>0</v>
      </c>
      <c r="L35" s="139">
        <f>IF($A$5&lt;=$K$5,K35*LOOKUP($K$8,Lists!$A$2:$A$812,IF('BP1'!$K$2="Non-Federal",Lists!$D$2:$D$812,Lists!$C$2:$C$812)),0)</f>
        <v>0</v>
      </c>
      <c r="M35" s="232">
        <f>IF(B35&gt;0,'BP4'!M35,)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8">
        <f>IF($A$5&lt;=$K$5,'BP4'!B36,0)</f>
        <v>0</v>
      </c>
      <c r="C36" s="178" t="s">
        <v>453</v>
      </c>
      <c r="D36" s="180" t="str">
        <f>'BP1'!D36</f>
        <v>Other Professional</v>
      </c>
      <c r="E36" s="180"/>
      <c r="F36" s="180"/>
      <c r="G36" s="433">
        <v>12</v>
      </c>
      <c r="H36" s="196">
        <f>IF($A$5&lt;=$K$5,(IF('BP4'!H36&lt;&gt;'BP4'!B36*12,'BP4'!H36,B36*12)),0)</f>
        <v>0</v>
      </c>
      <c r="I36" s="197"/>
      <c r="J36" s="197"/>
      <c r="K36" s="138">
        <f t="shared" ca="1" si="4"/>
        <v>0</v>
      </c>
      <c r="L36" s="139">
        <f>IF($A$5&lt;=$K$5,K36*LOOKUP($K$8,Lists!$A$2:$A$812,IF('BP1'!$K$2="Non-Federal",Lists!$D$2:$D$812,Lists!$C$2:$C$812)),0)</f>
        <v>0</v>
      </c>
      <c r="M36" s="232">
        <f>IF(B36&gt;0,'BP4'!M36,)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8">
        <f>IF($A$5&lt;=$K$5,'BP4'!B37,0)</f>
        <v>0</v>
      </c>
      <c r="C37" s="178" t="s">
        <v>453</v>
      </c>
      <c r="D37" s="180" t="str">
        <f>'BP1'!D37</f>
        <v>Other Professional</v>
      </c>
      <c r="E37" s="180"/>
      <c r="F37" s="180"/>
      <c r="G37" s="433">
        <v>12</v>
      </c>
      <c r="H37" s="196">
        <f>IF($A$5&lt;=$K$5,(IF('BP4'!H37&lt;&gt;'BP4'!B37*12,'BP4'!H37,B37*12)),0)</f>
        <v>0</v>
      </c>
      <c r="I37" s="197"/>
      <c r="J37" s="197"/>
      <c r="K37" s="138">
        <f t="shared" ca="1" si="4"/>
        <v>0</v>
      </c>
      <c r="L37" s="139">
        <f>IF($A$5&lt;=$K$5,K37*LOOKUP($K$8,Lists!$A$2:$A$812,IF('BP1'!$K$2="Non-Federal",Lists!$D$2:$D$812,Lists!$C$2:$C$812)),0)</f>
        <v>0</v>
      </c>
      <c r="M37" s="232">
        <f>IF(B37&gt;0,'BP4'!M37,)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8">
        <f>IF($A$5&lt;=$K$5,'BP4'!B38,0)</f>
        <v>0</v>
      </c>
      <c r="C38" s="178" t="s">
        <v>453</v>
      </c>
      <c r="D38" s="180" t="str">
        <f>"Graduate Student"&amp;IF(B38&gt;0,"s",)</f>
        <v>Graduate Student</v>
      </c>
      <c r="E38" s="180"/>
      <c r="F38" s="180"/>
      <c r="G38" s="433">
        <v>12</v>
      </c>
      <c r="H38" s="196">
        <f>IF($A$5&lt;=$K$5,(IF('BP4'!H38&lt;&gt;'BP4'!B38*12,'BP4'!H38,B38*12)),0)</f>
        <v>0</v>
      </c>
      <c r="I38" s="197"/>
      <c r="J38" s="197"/>
      <c r="K38" s="138">
        <f t="shared" ca="1" si="4"/>
        <v>0</v>
      </c>
      <c r="L38" s="139">
        <f ca="1">K38*IF(K2="Federal",LOOKUP($K$8,Lists!$A$2:$A$812,Lists!$F$2:$F$812),0.1)</f>
        <v>0</v>
      </c>
      <c r="M38" s="232">
        <f>IF(B38&gt;0,'BP4'!M38,)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8">
        <f>IF($A$5&lt;=$K$5,'BP4'!B39,0)</f>
        <v>0</v>
      </c>
      <c r="C39" s="178" t="s">
        <v>453</v>
      </c>
      <c r="D39" s="180" t="str">
        <f>"Undergraduate Student"&amp;IF(B39&gt;0,"s",)</f>
        <v>Undergraduate Student</v>
      </c>
      <c r="E39" s="180"/>
      <c r="F39" s="180"/>
      <c r="G39" s="433">
        <v>12</v>
      </c>
      <c r="H39" s="196">
        <f>IF($A$5&lt;=$K$5,(IF('BP4'!H39&lt;&gt;'BP4'!B39*12,'BP4'!H39,B39*12)),0)</f>
        <v>0</v>
      </c>
      <c r="I39" s="197"/>
      <c r="J39" s="197"/>
      <c r="K39" s="138">
        <f t="shared" ca="1" si="4"/>
        <v>0</v>
      </c>
      <c r="L39" s="197"/>
      <c r="M39" s="232">
        <f>IF(B39&gt;0,'BP4'!M39,)</f>
        <v>0</v>
      </c>
      <c r="N39" s="138">
        <f ca="1">IFERROR(P39/12*M39,)</f>
        <v>0</v>
      </c>
      <c r="O39" s="197"/>
      <c r="P39" s="203">
        <f ca="1">IF($A$5&lt;=$K$5,INDIRECT("BP"&amp;$A$5-1&amp;"!P39")*(1+$K$7),0)</f>
        <v>0</v>
      </c>
      <c r="Q39" s="324"/>
      <c r="R39" s="115" t="s">
        <v>215</v>
      </c>
    </row>
    <row r="40" spans="1:18" s="2" customFormat="1" ht="14.25" customHeight="1" thickBot="1">
      <c r="A40" s="183" t="s">
        <v>6</v>
      </c>
      <c r="B40" s="378">
        <f>IF($A$5&lt;=$K$5,'BP4'!B40,0)</f>
        <v>0</v>
      </c>
      <c r="C40" s="178" t="s">
        <v>453</v>
      </c>
      <c r="D40" s="180" t="str">
        <f>"Other"&amp;IF(B40&gt;0,"s",)&amp;" (Carrying Statutory Benefits)"</f>
        <v>Other (Carrying Statutory Benefits)</v>
      </c>
      <c r="E40" s="180"/>
      <c r="F40" s="180"/>
      <c r="G40" s="433">
        <v>12</v>
      </c>
      <c r="H40" s="196">
        <f>IF($A$5&lt;=$K$5,(IF('BP4'!H40&lt;&gt;'BP4'!B40*12,'BP4'!H40,B40*12)),0)</f>
        <v>0</v>
      </c>
      <c r="I40" s="197"/>
      <c r="J40" s="197"/>
      <c r="K40" s="138">
        <f t="shared" ca="1" si="4"/>
        <v>0</v>
      </c>
      <c r="L40" s="139">
        <f ca="1">K40*IF(K2="Federal",LOOKUP($K$8,Lists!$A$2:$A$812,Lists!$E$2:$E$812),0.065)</f>
        <v>0</v>
      </c>
      <c r="M40" s="232">
        <f>IF(B40&gt;0,'BP4'!M40,)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97">
        <f>IF($A$5&lt;=$K$5,SUM(K30:K40),0)</f>
        <v>0</v>
      </c>
      <c r="L41" s="698"/>
      <c r="M41" s="229"/>
      <c r="N41" s="711">
        <f ca="1">SUM(N30:N40)</f>
        <v>0</v>
      </c>
      <c r="O41" s="712"/>
      <c r="R41" s="115" t="s">
        <v>215</v>
      </c>
    </row>
    <row r="42" spans="1:18" s="2" customFormat="1" ht="14.25" customHeight="1" thickBot="1">
      <c r="A42" s="183" t="s">
        <v>87</v>
      </c>
      <c r="B42" s="162"/>
      <c r="C42" s="162"/>
      <c r="D42" s="154"/>
      <c r="E42" s="154"/>
      <c r="F42" s="165"/>
      <c r="G42" s="166"/>
      <c r="H42" s="167"/>
      <c r="I42" s="164"/>
      <c r="J42" s="162"/>
      <c r="K42" s="697">
        <f>IF($A$5&lt;=$K$5,SUM(L30:L40),0)</f>
        <v>0</v>
      </c>
      <c r="L42" s="698"/>
      <c r="M42" s="229"/>
      <c r="N42" s="711">
        <f ca="1">SUM(O30:O40)</f>
        <v>0</v>
      </c>
      <c r="O42" s="712"/>
      <c r="R42" s="115" t="s">
        <v>215</v>
      </c>
    </row>
    <row r="43" spans="1:18" s="2" customFormat="1" ht="14.25" customHeight="1" thickBot="1">
      <c r="A43" s="146"/>
      <c r="B43" s="184" t="s">
        <v>202</v>
      </c>
      <c r="C43" s="147"/>
      <c r="D43" s="148"/>
      <c r="E43" s="148"/>
      <c r="F43" s="148"/>
      <c r="G43" s="148"/>
      <c r="H43" s="147"/>
      <c r="I43" s="147"/>
      <c r="J43" s="147"/>
      <c r="K43" s="697">
        <f>IF($A$5&lt;=$K$5,SUM(K41:K42),0)</f>
        <v>0</v>
      </c>
      <c r="L43" s="698"/>
      <c r="M43" s="229"/>
      <c r="N43" s="711">
        <f ca="1">SUM(N41:N42)</f>
        <v>0</v>
      </c>
      <c r="O43" s="712"/>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9"/>
      <c r="C45" s="840"/>
      <c r="D45" s="840"/>
      <c r="E45" s="840"/>
      <c r="F45" s="841"/>
      <c r="G45" s="158"/>
      <c r="H45" s="158"/>
      <c r="I45" s="185" t="s">
        <v>156</v>
      </c>
      <c r="J45" s="159"/>
      <c r="K45" s="847"/>
      <c r="L45" s="848"/>
      <c r="M45" s="229"/>
      <c r="N45" s="608"/>
      <c r="O45" s="609"/>
      <c r="R45" s="115" t="s">
        <v>215</v>
      </c>
    </row>
    <row r="46" spans="1:18" s="2" customFormat="1" ht="14.25" hidden="1" customHeight="1" thickBot="1">
      <c r="A46" s="160"/>
      <c r="B46" s="839"/>
      <c r="C46" s="840"/>
      <c r="D46" s="840"/>
      <c r="E46" s="840"/>
      <c r="F46" s="841"/>
      <c r="G46" s="158"/>
      <c r="H46" s="158"/>
      <c r="I46" s="185" t="s">
        <v>157</v>
      </c>
      <c r="J46" s="159"/>
      <c r="K46" s="847"/>
      <c r="L46" s="848"/>
      <c r="M46" s="229"/>
      <c r="N46" s="608"/>
      <c r="O46" s="609"/>
      <c r="R46" s="115" t="s">
        <v>483</v>
      </c>
    </row>
    <row r="47" spans="1:18" s="2" customFormat="1" ht="14.25" hidden="1" customHeight="1" thickBot="1">
      <c r="A47" s="160"/>
      <c r="B47" s="839"/>
      <c r="C47" s="840"/>
      <c r="D47" s="840"/>
      <c r="E47" s="840"/>
      <c r="F47" s="841"/>
      <c r="G47" s="158"/>
      <c r="H47" s="158"/>
      <c r="I47" s="185" t="s">
        <v>158</v>
      </c>
      <c r="J47" s="159"/>
      <c r="K47" s="847"/>
      <c r="L47" s="848"/>
      <c r="M47" s="229"/>
      <c r="N47" s="608"/>
      <c r="O47" s="609"/>
      <c r="R47" s="115" t="s">
        <v>483</v>
      </c>
    </row>
    <row r="48" spans="1:18" s="2" customFormat="1" ht="14.25" hidden="1" customHeight="1" thickBot="1">
      <c r="A48" s="160"/>
      <c r="B48" s="839"/>
      <c r="C48" s="840"/>
      <c r="D48" s="840"/>
      <c r="E48" s="840"/>
      <c r="F48" s="841"/>
      <c r="G48" s="158"/>
      <c r="H48" s="158"/>
      <c r="I48" s="185" t="s">
        <v>159</v>
      </c>
      <c r="J48" s="159"/>
      <c r="K48" s="847"/>
      <c r="L48" s="848"/>
      <c r="M48" s="229"/>
      <c r="N48" s="608"/>
      <c r="O48" s="609"/>
      <c r="R48" s="115" t="s">
        <v>483</v>
      </c>
    </row>
    <row r="49" spans="1:18" s="2" customFormat="1" ht="14.25" hidden="1" customHeight="1" thickBot="1">
      <c r="A49" s="160"/>
      <c r="B49" s="839"/>
      <c r="C49" s="840"/>
      <c r="D49" s="840"/>
      <c r="E49" s="840"/>
      <c r="F49" s="841"/>
      <c r="G49" s="158"/>
      <c r="H49" s="158"/>
      <c r="I49" s="185" t="s">
        <v>160</v>
      </c>
      <c r="J49" s="159"/>
      <c r="K49" s="847"/>
      <c r="L49" s="848"/>
      <c r="M49" s="229"/>
      <c r="N49" s="608"/>
      <c r="O49" s="609"/>
      <c r="R49" s="115" t="s">
        <v>483</v>
      </c>
    </row>
    <row r="50" spans="1:18" s="2" customFormat="1" ht="14.25" customHeight="1" thickBot="1">
      <c r="A50" s="152"/>
      <c r="B50" s="176" t="s">
        <v>204</v>
      </c>
      <c r="C50" s="153"/>
      <c r="D50" s="145"/>
      <c r="E50" s="145"/>
      <c r="F50" s="145"/>
      <c r="G50" s="145"/>
      <c r="H50" s="145"/>
      <c r="I50" s="145"/>
      <c r="J50" s="145"/>
      <c r="K50" s="695">
        <f>SUM(K45:K49)</f>
        <v>0</v>
      </c>
      <c r="L50" s="698"/>
      <c r="M50" s="229"/>
      <c r="N50" s="738">
        <f>SUM(N45:N49)</f>
        <v>0</v>
      </c>
      <c r="O50" s="739"/>
      <c r="R50" s="115" t="s">
        <v>215</v>
      </c>
    </row>
    <row r="51" spans="1:18" s="2" customFormat="1" ht="14.25" customHeight="1">
      <c r="A51" s="186" t="s">
        <v>205</v>
      </c>
      <c r="B51" s="184"/>
      <c r="C51" s="184"/>
      <c r="D51" s="187"/>
      <c r="E51" s="187"/>
      <c r="F51" s="188"/>
      <c r="G51" s="366" t="s">
        <v>454</v>
      </c>
      <c r="H51" s="691" t="s">
        <v>88</v>
      </c>
      <c r="I51" s="692"/>
      <c r="J51" s="692"/>
      <c r="K51" s="701">
        <f>IF($A$5&lt;=$K$5,(IF(SUM('Travel Calculator'!$L$14:$M$14)&gt;0,('Travel Calculator'!$L$13*(1-'Travel Calculator'!$N$4)),'BP4'!$K$51)),)</f>
        <v>0</v>
      </c>
      <c r="L51" s="702"/>
      <c r="M51" s="229"/>
      <c r="N51" s="701">
        <f>IF($A$5&lt;=$K$5,(IF(SUM('Travel Calculator'!$L$14:$M$14)&gt;0,('Travel Calculator'!$L$13*('Travel Calculator'!$N$4)),'BP4'!$N$51)),)</f>
        <v>0</v>
      </c>
      <c r="O51" s="702"/>
      <c r="R51" s="115" t="s">
        <v>215</v>
      </c>
    </row>
    <row r="52" spans="1:18" s="2" customFormat="1" ht="14.25" customHeight="1" thickBot="1">
      <c r="A52" s="186"/>
      <c r="B52" s="184"/>
      <c r="C52" s="184"/>
      <c r="D52" s="187"/>
      <c r="E52" s="187"/>
      <c r="F52" s="364"/>
      <c r="G52" s="366" t="s">
        <v>455</v>
      </c>
      <c r="H52" s="691" t="s">
        <v>89</v>
      </c>
      <c r="I52" s="692"/>
      <c r="J52" s="692"/>
      <c r="K52" s="699">
        <f>IF($A$5&lt;=$K$5,(IF(SUM('Travel Calculator'!$L$14:$M$14)&gt;0,('Travel Calculator'!$M$13*(1-'Travel Calculator'!$N$4)),'BP4'!$K$52)),)</f>
        <v>0</v>
      </c>
      <c r="L52" s="700"/>
      <c r="M52" s="229"/>
      <c r="N52" s="699">
        <f>IF($A$5&lt;=$K$5,(IF(SUM('Travel Calculator'!$L$14:$M$14)&gt;0,('Travel Calculator'!$M$13*('Travel Calculator'!$N$4)),'BP4'!$N$52)),)</f>
        <v>0</v>
      </c>
      <c r="O52" s="700"/>
      <c r="R52" s="115" t="s">
        <v>215</v>
      </c>
    </row>
    <row r="53" spans="1:18" s="2" customFormat="1" ht="14.25" customHeight="1" thickBot="1">
      <c r="A53" s="170"/>
      <c r="B53" s="176"/>
      <c r="C53" s="176"/>
      <c r="D53" s="190"/>
      <c r="E53" s="190"/>
      <c r="F53" s="190"/>
      <c r="G53" s="190"/>
      <c r="H53" s="693" t="s">
        <v>104</v>
      </c>
      <c r="I53" s="693"/>
      <c r="J53" s="694"/>
      <c r="K53" s="697">
        <f>IF($A$5&lt;=$K$5,K51+K52,0)</f>
        <v>0</v>
      </c>
      <c r="L53" s="698"/>
      <c r="M53" s="229"/>
      <c r="N53" s="711">
        <f>N51+N52</f>
        <v>0</v>
      </c>
      <c r="O53" s="712"/>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622" t="str">
        <f>'BP1'!C55</f>
        <v>Materials and Supplies</v>
      </c>
      <c r="D55" s="622"/>
      <c r="E55" s="622"/>
      <c r="F55" s="622"/>
      <c r="G55" s="622"/>
      <c r="H55" s="622"/>
      <c r="I55" s="622"/>
      <c r="J55" s="691"/>
      <c r="K55" s="847">
        <f>IF($A$5&lt;=$K$5,'BP4'!K55,0)</f>
        <v>0</v>
      </c>
      <c r="L55" s="848"/>
      <c r="M55" s="229"/>
      <c r="N55" s="608">
        <f>IF($A$5&lt;='BP1'!$K$5,'BP1'!N55,0)</f>
        <v>0</v>
      </c>
      <c r="O55" s="609"/>
      <c r="R55" s="115" t="s">
        <v>215</v>
      </c>
    </row>
    <row r="56" spans="1:18" s="2" customFormat="1" ht="14.25" customHeight="1">
      <c r="A56" s="186"/>
      <c r="B56" s="192">
        <v>2</v>
      </c>
      <c r="C56" s="622" t="str">
        <f>'BP1'!C56</f>
        <v>Publication Costs</v>
      </c>
      <c r="D56" s="622"/>
      <c r="E56" s="622"/>
      <c r="F56" s="622"/>
      <c r="G56" s="622"/>
      <c r="H56" s="622"/>
      <c r="I56" s="622"/>
      <c r="J56" s="691"/>
      <c r="K56" s="847">
        <f>IF($A$5&lt;=$K$5,'BP4'!K56,0)</f>
        <v>0</v>
      </c>
      <c r="L56" s="848"/>
      <c r="M56" s="229"/>
      <c r="N56" s="608">
        <f>IF($A$5&lt;='BP1'!$K$5,'BP1'!N56,0)</f>
        <v>0</v>
      </c>
      <c r="O56" s="609"/>
      <c r="R56" s="115" t="s">
        <v>215</v>
      </c>
    </row>
    <row r="57" spans="1:18" s="2" customFormat="1" ht="14.25" customHeight="1">
      <c r="A57" s="186"/>
      <c r="B57" s="192">
        <v>3</v>
      </c>
      <c r="C57" s="622" t="str">
        <f>'BP1'!C57</f>
        <v>Consultant Services</v>
      </c>
      <c r="D57" s="622"/>
      <c r="E57" s="622"/>
      <c r="F57" s="622"/>
      <c r="G57" s="622"/>
      <c r="H57" s="622"/>
      <c r="I57" s="622"/>
      <c r="J57" s="691"/>
      <c r="K57" s="847">
        <f>IF($A$5&lt;=$K$5,'BP4'!K57,0)</f>
        <v>0</v>
      </c>
      <c r="L57" s="848"/>
      <c r="M57" s="229"/>
      <c r="N57" s="608">
        <f>IF($A$5&lt;='BP1'!$K$5,'BP1'!N57,0)</f>
        <v>0</v>
      </c>
      <c r="O57" s="609"/>
      <c r="R57" s="115" t="s">
        <v>215</v>
      </c>
    </row>
    <row r="58" spans="1:18" s="2" customFormat="1" ht="14.25" customHeight="1">
      <c r="A58" s="186"/>
      <c r="B58" s="192">
        <v>4</v>
      </c>
      <c r="C58" s="622" t="str">
        <f>'BP1'!C58</f>
        <v>Computer Services</v>
      </c>
      <c r="D58" s="622"/>
      <c r="E58" s="622"/>
      <c r="F58" s="622"/>
      <c r="G58" s="622"/>
      <c r="H58" s="622"/>
      <c r="I58" s="622"/>
      <c r="J58" s="691"/>
      <c r="K58" s="847">
        <f>IF($A$5&lt;=$K$5,'BP4'!K58,0)</f>
        <v>0</v>
      </c>
      <c r="L58" s="848"/>
      <c r="M58" s="229"/>
      <c r="N58" s="608">
        <f>IF($A$5&lt;='BP1'!$K$5,'BP1'!N58,0)</f>
        <v>0</v>
      </c>
      <c r="O58" s="609"/>
      <c r="R58" s="115" t="s">
        <v>215</v>
      </c>
    </row>
    <row r="59" spans="1:18" s="2" customFormat="1" ht="14.25" customHeight="1">
      <c r="A59" s="186"/>
      <c r="B59" s="192">
        <v>5</v>
      </c>
      <c r="C59" s="622" t="s">
        <v>211</v>
      </c>
      <c r="D59" s="622"/>
      <c r="E59" s="622"/>
      <c r="F59" s="622"/>
      <c r="G59" s="622"/>
      <c r="H59" s="622"/>
      <c r="I59" s="622"/>
      <c r="J59" s="691"/>
      <c r="K59" s="864">
        <f>IF($A$5&lt;=$K$5,SUM((H38/12)*LOOKUP(K8,Lists!A2:A812,Lists!K2:K812)),0)</f>
        <v>0</v>
      </c>
      <c r="L59" s="864"/>
      <c r="M59" s="229"/>
      <c r="N59" s="756">
        <f>IF($A$5&lt;='BP1'!$K$5,SUM((M38/12)*LOOKUP(K8,Lists!A2:A812,Lists!K2:K812)),0)</f>
        <v>0</v>
      </c>
      <c r="O59" s="850"/>
      <c r="P59" s="5"/>
      <c r="Q59" s="5"/>
      <c r="R59" s="115" t="s">
        <v>215</v>
      </c>
    </row>
    <row r="60" spans="1:18" s="2" customFormat="1" ht="14.25" customHeight="1">
      <c r="A60" s="186"/>
      <c r="B60" s="192">
        <v>6</v>
      </c>
      <c r="C60" s="622" t="str">
        <f>'BP1'!C60</f>
        <v>MTDC Other</v>
      </c>
      <c r="D60" s="622"/>
      <c r="E60" s="622"/>
      <c r="F60" s="622"/>
      <c r="G60" s="622"/>
      <c r="H60" s="622"/>
      <c r="I60" s="622"/>
      <c r="J60" s="691"/>
      <c r="K60" s="834">
        <f>IF($A$5&lt;=$K$5,'BP4'!K60,0)</f>
        <v>0</v>
      </c>
      <c r="L60" s="834"/>
      <c r="M60" s="229"/>
      <c r="N60" s="608">
        <f>IF($A$5&lt;='BP1'!$K$5,'BP1'!N60,0)</f>
        <v>0</v>
      </c>
      <c r="O60" s="609"/>
      <c r="P60" s="5"/>
      <c r="Q60" s="5"/>
      <c r="R60" s="115" t="s">
        <v>215</v>
      </c>
    </row>
    <row r="61" spans="1:18" s="2" customFormat="1" ht="14.25" customHeight="1" thickBot="1">
      <c r="A61" s="186"/>
      <c r="B61" s="192">
        <v>7</v>
      </c>
      <c r="C61" s="622" t="str">
        <f>'BP1'!C61</f>
        <v>Non-MTDC Other (no indirect costs)</v>
      </c>
      <c r="D61" s="622"/>
      <c r="E61" s="622"/>
      <c r="F61" s="622"/>
      <c r="G61" s="622"/>
      <c r="H61" s="622"/>
      <c r="I61" s="622"/>
      <c r="J61" s="691"/>
      <c r="K61" s="847">
        <f>IF($A$5&lt;=$K$5,'BP4'!K61,0)</f>
        <v>0</v>
      </c>
      <c r="L61" s="848"/>
      <c r="M61" s="229"/>
      <c r="N61" s="608">
        <f>IF($A$5&lt;='BP1'!$K$5,'BP1'!N61,0)</f>
        <v>0</v>
      </c>
      <c r="O61" s="609"/>
      <c r="P61" s="193" t="s">
        <v>143</v>
      </c>
      <c r="Q61" s="326"/>
      <c r="R61" s="115" t="s">
        <v>215</v>
      </c>
    </row>
    <row r="62" spans="1:18" s="2" customFormat="1" ht="14.25" customHeight="1" thickBot="1">
      <c r="A62" s="146"/>
      <c r="B62" s="211">
        <v>8</v>
      </c>
      <c r="C62" s="622" t="s">
        <v>561</v>
      </c>
      <c r="D62" s="622"/>
      <c r="E62" s="620" t="s">
        <v>288</v>
      </c>
      <c r="F62" s="621"/>
      <c r="G62" s="610">
        <f>'Subaward Calculator'!B8</f>
        <v>0</v>
      </c>
      <c r="H62" s="611"/>
      <c r="I62" s="612"/>
      <c r="J62" s="254">
        <f>IF(('BP4'!K62+'BP3'!K62+'BP2'!K62+'BP1'!K62)&lt;25000,25000-('BP4'!K62+'BP3'!K62+'BP2'!K62+'BP1'!K62),0)</f>
        <v>25000</v>
      </c>
      <c r="K62" s="707">
        <f>IF(AND(SUM('BP4'!K62)&gt;0,'Subaward Calculator'!AD9=0,'BP1'!K5&gt;4),'BP4'!K62,'Subaward Calculator'!Y9)</f>
        <v>0</v>
      </c>
      <c r="L62" s="708"/>
      <c r="M62" s="229"/>
      <c r="N62" s="837">
        <f>IF(AND(SUM('BP4'!N62)&gt;0,'Subaward Calculator'!AF9=0,'BP1'!K5&gt;4),'BP4'!N62,'Subaward Calculator'!AA9)</f>
        <v>0</v>
      </c>
      <c r="O62" s="838"/>
      <c r="P62" s="482">
        <f>'Subaward Calculator'!B9</f>
        <v>0</v>
      </c>
      <c r="Q62" s="332"/>
      <c r="R62" s="115" t="s">
        <v>215</v>
      </c>
    </row>
    <row r="63" spans="1:18" s="2" customFormat="1" ht="14.25" hidden="1" customHeight="1" thickBot="1">
      <c r="A63" s="186"/>
      <c r="B63" s="211"/>
      <c r="C63" s="622" t="s">
        <v>562</v>
      </c>
      <c r="D63" s="622"/>
      <c r="E63" s="620" t="s">
        <v>288</v>
      </c>
      <c r="F63" s="621"/>
      <c r="G63" s="610">
        <f>'Subaward Calculator'!B11</f>
        <v>0</v>
      </c>
      <c r="H63" s="611"/>
      <c r="I63" s="612"/>
      <c r="J63" s="254">
        <f>IF(('BP4'!K63+'BP3'!K63+'BP2'!K63+'BP1'!K63)&lt;25000,25000-('BP4'!K63+'BP3'!K63+'BP2'!K63+'BP1'!K63),0)</f>
        <v>25000</v>
      </c>
      <c r="K63" s="707">
        <f>IF(AND(SUM('BP4'!K63)&gt;0,'Subaward Calculator'!AD12=0,'BP1'!K5&gt;4),'BP4'!K63,'Subaward Calculator'!Y12)</f>
        <v>0</v>
      </c>
      <c r="L63" s="708"/>
      <c r="M63" s="229"/>
      <c r="N63" s="837">
        <f>IF(AND(SUM('BP4'!N63)&gt;0,'Subaward Calculator'!AF12=0,'BP1'!K5&gt;4),'BP4'!N63,'Subaward Calculator'!AA12)</f>
        <v>0</v>
      </c>
      <c r="O63" s="838"/>
      <c r="P63" s="482">
        <f>'Subaward Calculator'!B12</f>
        <v>0</v>
      </c>
      <c r="Q63" s="332"/>
      <c r="R63" s="115" t="s">
        <v>218</v>
      </c>
    </row>
    <row r="64" spans="1:18" s="2" customFormat="1" ht="14.25" hidden="1" customHeight="1" thickBot="1">
      <c r="A64" s="146"/>
      <c r="B64" s="211"/>
      <c r="C64" s="622" t="s">
        <v>563</v>
      </c>
      <c r="D64" s="622"/>
      <c r="E64" s="620" t="s">
        <v>288</v>
      </c>
      <c r="F64" s="621"/>
      <c r="G64" s="610">
        <f>'Subaward Calculator'!B14</f>
        <v>0</v>
      </c>
      <c r="H64" s="611"/>
      <c r="I64" s="612"/>
      <c r="J64" s="254">
        <f>IF(('BP4'!K64+'BP3'!K64+'BP2'!K64+'BP1'!K64)&lt;25000,25000-('BP4'!K64+'BP3'!K64+'BP2'!K64+'BP1'!K64),0)</f>
        <v>25000</v>
      </c>
      <c r="K64" s="707">
        <f>IF(AND(SUM('BP4'!K64)&gt;0,'Subaward Calculator'!AD15=0,'BP1'!K5&gt;4),'BP4'!K64,'Subaward Calculator'!Y15)</f>
        <v>0</v>
      </c>
      <c r="L64" s="708"/>
      <c r="M64" s="229"/>
      <c r="N64" s="837">
        <f>IF(AND(SUM('BP4'!N64)&gt;0,'Subaward Calculator'!AF15=0,'BP1'!K5&gt;4),'BP4'!N64,'Subaward Calculator'!AA15)</f>
        <v>0</v>
      </c>
      <c r="O64" s="838"/>
      <c r="P64" s="482">
        <f>'Subaward Calculator'!B15</f>
        <v>0</v>
      </c>
      <c r="Q64" s="332"/>
      <c r="R64" s="115" t="s">
        <v>218</v>
      </c>
    </row>
    <row r="65" spans="1:18" s="2" customFormat="1" ht="14.25" hidden="1" customHeight="1" thickBot="1">
      <c r="A65" s="146"/>
      <c r="B65" s="211"/>
      <c r="C65" s="622" t="s">
        <v>564</v>
      </c>
      <c r="D65" s="622"/>
      <c r="E65" s="620" t="s">
        <v>288</v>
      </c>
      <c r="F65" s="621"/>
      <c r="G65" s="610">
        <f>'Subaward Calculator'!B17</f>
        <v>0</v>
      </c>
      <c r="H65" s="611"/>
      <c r="I65" s="612"/>
      <c r="J65" s="254">
        <f>IF(('BP4'!$K$65+'BP3'!$K$65+'BP2'!$K$65+'BP1'!$K$65)&lt;25000,25000-('BP4'!$K$65+'BP3'!$K$65+'BP2'!$K$65+'BP1'!$K$65),0)</f>
        <v>25000</v>
      </c>
      <c r="K65" s="707">
        <f>IF(AND(SUM('BP4'!K65)&gt;0,'Subaward Calculator'!AD18=0,'BP1'!K5&gt;4),'BP4'!K65,'Subaward Calculator'!Y18)</f>
        <v>0</v>
      </c>
      <c r="L65" s="708"/>
      <c r="M65" s="229"/>
      <c r="N65" s="837">
        <f>IF(AND(SUM('BP4'!N65)&gt;0,'Subaward Calculator'!AF18=0,'BP1'!K5&gt;4),'BP4'!N65,'Subaward Calculator'!AA18)</f>
        <v>0</v>
      </c>
      <c r="O65" s="838"/>
      <c r="P65" s="482">
        <f>'Subaward Calculator'!B18</f>
        <v>0</v>
      </c>
      <c r="Q65" s="332"/>
      <c r="R65" s="115" t="s">
        <v>218</v>
      </c>
    </row>
    <row r="66" spans="1:18" s="2" customFormat="1" ht="14.25" hidden="1" customHeight="1" thickBot="1">
      <c r="A66" s="146"/>
      <c r="B66" s="211"/>
      <c r="C66" s="622" t="s">
        <v>565</v>
      </c>
      <c r="D66" s="622"/>
      <c r="E66" s="620" t="s">
        <v>288</v>
      </c>
      <c r="F66" s="621"/>
      <c r="G66" s="610">
        <f>'Subaward Calculator'!B20</f>
        <v>0</v>
      </c>
      <c r="H66" s="611"/>
      <c r="I66" s="612"/>
      <c r="J66" s="254">
        <f>IF(('BP4'!$K$66+'BP3'!$K$66+'BP2'!$K$66+'BP1'!$K$66)&lt;25000,25000-('BP4'!$K$66+'BP3'!$K$66+'BP2'!$K$66+'BP1'!$K$66),0)</f>
        <v>25000</v>
      </c>
      <c r="K66" s="707">
        <f>IF(AND(SUM('BP4'!K66)&gt;0,'Subaward Calculator'!AD21=0,'BP1'!K5&gt;4),'BP4'!K66,'Subaward Calculator'!Y21)</f>
        <v>0</v>
      </c>
      <c r="L66" s="708"/>
      <c r="M66" s="229"/>
      <c r="N66" s="837">
        <f>IF(AND(SUM('BP4'!N66)&gt;0,'Subaward Calculator'!AF21=0,'BP1'!K5&gt;4),'BP4'!N66,'Subaward Calculator'!AA21)</f>
        <v>0</v>
      </c>
      <c r="O66" s="838"/>
      <c r="P66" s="482">
        <f>'Subaward Calculator'!B21</f>
        <v>0</v>
      </c>
      <c r="Q66" s="332"/>
      <c r="R66" s="115" t="s">
        <v>218</v>
      </c>
    </row>
    <row r="67" spans="1:18" s="2" customFormat="1" ht="14.25" hidden="1" customHeight="1" thickBot="1">
      <c r="A67" s="146"/>
      <c r="B67" s="211"/>
      <c r="C67" s="622" t="s">
        <v>566</v>
      </c>
      <c r="D67" s="622"/>
      <c r="E67" s="620" t="s">
        <v>288</v>
      </c>
      <c r="F67" s="621"/>
      <c r="G67" s="610">
        <f>'Subaward Calculator'!B23</f>
        <v>0</v>
      </c>
      <c r="H67" s="611"/>
      <c r="I67" s="612"/>
      <c r="J67" s="254">
        <f>IF(('BP4'!$K$67+'BP3'!$K$67+'BP2'!$K$67+'BP1'!$K$67)&lt;25000,25000-('BP4'!$K$67+'BP3'!$K$67+'BP2'!$K$67+'BP1'!$K$67),0)</f>
        <v>25000</v>
      </c>
      <c r="K67" s="707">
        <f>IF(AND(SUM('BP4'!K67)&gt;0,'Subaward Calculator'!AD24=0,'BP1'!K5&gt;4),'BP4'!K67,'Subaward Calculator'!Y24)</f>
        <v>0</v>
      </c>
      <c r="L67" s="708"/>
      <c r="M67" s="229"/>
      <c r="N67" s="837">
        <f>IF(AND(SUM('BP4'!N67)&gt;0,'Subaward Calculator'!AF24=0,'BP1'!K5&gt;4),'BP4'!N67,'Subaward Calculator'!AA24)</f>
        <v>0</v>
      </c>
      <c r="O67" s="838"/>
      <c r="P67" s="482">
        <f>'Subaward Calculator'!B24</f>
        <v>0</v>
      </c>
      <c r="Q67" s="332"/>
      <c r="R67" s="115" t="s">
        <v>218</v>
      </c>
    </row>
    <row r="68" spans="1:18" s="2" customFormat="1" ht="14.25" hidden="1" customHeight="1" thickBot="1">
      <c r="A68" s="146"/>
      <c r="B68" s="211"/>
      <c r="C68" s="622" t="s">
        <v>567</v>
      </c>
      <c r="D68" s="622"/>
      <c r="E68" s="620" t="s">
        <v>288</v>
      </c>
      <c r="F68" s="621"/>
      <c r="G68" s="610">
        <f>'Subaward Calculator'!B26</f>
        <v>0</v>
      </c>
      <c r="H68" s="611"/>
      <c r="I68" s="612"/>
      <c r="J68" s="254">
        <f>IF(('BP4'!$K$68+'BP3'!$K$68+'BP2'!$K$68+'BP1'!$K$68)&lt;25000,25000-('BP4'!$K$68+'BP3'!$K$68+'BP2'!$K$68+'BP1'!$K$68),0)</f>
        <v>25000</v>
      </c>
      <c r="K68" s="707">
        <f>IF(AND(SUM('BP4'!K68)&gt;0,'Subaward Calculator'!AD27=0,'BP1'!K5&gt;4),'BP4'!K68,'Subaward Calculator'!Y27)</f>
        <v>0</v>
      </c>
      <c r="L68" s="708"/>
      <c r="M68" s="229"/>
      <c r="N68" s="837">
        <f>IF(AND(SUM('BP4'!N68)&gt;0,'Subaward Calculator'!AF27=0,'BP1'!K5&gt;4),'BP4'!N68,'Subaward Calculator'!AA27)</f>
        <v>0</v>
      </c>
      <c r="O68" s="838"/>
      <c r="P68" s="482">
        <f>'Subaward Calculator'!B27</f>
        <v>0</v>
      </c>
      <c r="Q68" s="332"/>
      <c r="R68" s="115" t="s">
        <v>219</v>
      </c>
    </row>
    <row r="69" spans="1:18" s="2" customFormat="1" ht="14.25" hidden="1" customHeight="1" thickBot="1">
      <c r="A69" s="146"/>
      <c r="B69" s="211"/>
      <c r="C69" s="622" t="s">
        <v>568</v>
      </c>
      <c r="D69" s="622"/>
      <c r="E69" s="620" t="s">
        <v>288</v>
      </c>
      <c r="F69" s="621"/>
      <c r="G69" s="610">
        <f>'Subaward Calculator'!B29</f>
        <v>0</v>
      </c>
      <c r="H69" s="611"/>
      <c r="I69" s="612"/>
      <c r="J69" s="254">
        <f>IF(('BP4'!$K$69+'BP3'!$K$69+'BP2'!$K$69+'BP1'!$K$69)&lt;25000,25000-('BP4'!$K$69+'BP3'!$K$69+'BP2'!$K$69+'BP1'!$K$69),0)</f>
        <v>25000</v>
      </c>
      <c r="K69" s="707">
        <f>IF(AND(SUM('BP4'!K69)&gt;0,'Subaward Calculator'!AD30=0,'BP1'!K5&gt;4),'BP4'!K69,'Subaward Calculator'!Y30)</f>
        <v>0</v>
      </c>
      <c r="L69" s="708"/>
      <c r="M69" s="229"/>
      <c r="N69" s="837">
        <f>IF(AND(SUM('BP4'!N69)&gt;0,'Subaward Calculator'!AF30=0,'BP1'!K5&gt;4),'BP4'!N69,'Subaward Calculator'!AA30)</f>
        <v>0</v>
      </c>
      <c r="O69" s="838"/>
      <c r="P69" s="482">
        <f>'Subaward Calculator'!B30</f>
        <v>0</v>
      </c>
      <c r="Q69" s="332"/>
      <c r="R69" s="115" t="s">
        <v>219</v>
      </c>
    </row>
    <row r="70" spans="1:18" s="2" customFormat="1" ht="14.25" hidden="1" customHeight="1" thickBot="1">
      <c r="A70" s="146"/>
      <c r="B70" s="211"/>
      <c r="C70" s="622" t="s">
        <v>569</v>
      </c>
      <c r="D70" s="622"/>
      <c r="E70" s="620" t="s">
        <v>288</v>
      </c>
      <c r="F70" s="621"/>
      <c r="G70" s="610">
        <f>'Subaward Calculator'!B32</f>
        <v>0</v>
      </c>
      <c r="H70" s="611"/>
      <c r="I70" s="612"/>
      <c r="J70" s="254">
        <f>IF(('BP4'!$K$70+'BP3'!$K$70+'BP2'!$K$70+'BP1'!$K$70)&lt;25000,25000-('BP4'!$K$70+'BP3'!$K$70+'BP2'!$K$70+'BP1'!$K$70),0)</f>
        <v>25000</v>
      </c>
      <c r="K70" s="707">
        <f>IF(AND(SUM('BP4'!K70)&gt;0,'Subaward Calculator'!AD33=0,'BP1'!K5&gt;4),'BP4'!K70,'Subaward Calculator'!Y33)</f>
        <v>0</v>
      </c>
      <c r="L70" s="708"/>
      <c r="M70" s="229"/>
      <c r="N70" s="837">
        <f>IF(AND(SUM('BP4'!N70)&gt;0,'Subaward Calculator'!AF33=0,'BP1'!K5&gt;4),'BP4'!N70,'Subaward Calculator'!AA33)</f>
        <v>0</v>
      </c>
      <c r="O70" s="838"/>
      <c r="P70" s="482">
        <f>'Subaward Calculator'!B33</f>
        <v>0</v>
      </c>
      <c r="Q70" s="332"/>
      <c r="R70" s="115" t="s">
        <v>219</v>
      </c>
    </row>
    <row r="71" spans="1:18" s="2" customFormat="1" ht="14.25" hidden="1" customHeight="1" thickBot="1">
      <c r="A71" s="146"/>
      <c r="B71" s="211"/>
      <c r="C71" s="622" t="s">
        <v>570</v>
      </c>
      <c r="D71" s="622"/>
      <c r="E71" s="620" t="s">
        <v>288</v>
      </c>
      <c r="F71" s="621"/>
      <c r="G71" s="610">
        <f>'Subaward Calculator'!B35</f>
        <v>0</v>
      </c>
      <c r="H71" s="611"/>
      <c r="I71" s="612"/>
      <c r="J71" s="254">
        <f>IF(('BP4'!$K$71+'BP3'!$K$71+'BP2'!$K$71+'BP1'!$K$71)&lt;25000,25000-('BP4'!$K$71+'BP3'!$K$71+'BP2'!$K$71+'BP1'!$K$71),0)</f>
        <v>25000</v>
      </c>
      <c r="K71" s="707">
        <f>IF(AND(SUM('BP4'!K71)&gt;0,'Subaward Calculator'!AD36=0,'BP1'!K5&gt;4),'BP4'!K71,'Subaward Calculator'!Y36)</f>
        <v>0</v>
      </c>
      <c r="L71" s="708"/>
      <c r="M71" s="229"/>
      <c r="N71" s="837">
        <f>IF(AND(SUM('BP4'!N71)&gt;0,'Subaward Calculator'!AF36=0,'BP1'!K5&gt;4),'BP4'!N71,'Subaward Calculator'!AA36)</f>
        <v>0</v>
      </c>
      <c r="O71" s="838"/>
      <c r="P71" s="482">
        <f>'Subaward Calculator'!B36</f>
        <v>0</v>
      </c>
      <c r="Q71" s="332"/>
      <c r="R71" s="115" t="s">
        <v>219</v>
      </c>
    </row>
    <row r="72" spans="1:18" s="2" customFormat="1" ht="14.25" hidden="1" customHeight="1" thickBot="1">
      <c r="A72" s="146"/>
      <c r="B72" s="211"/>
      <c r="C72" s="622" t="s">
        <v>571</v>
      </c>
      <c r="D72" s="622"/>
      <c r="E72" s="620" t="s">
        <v>288</v>
      </c>
      <c r="F72" s="621"/>
      <c r="G72" s="610">
        <f>'Subaward Calculator'!B38</f>
        <v>0</v>
      </c>
      <c r="H72" s="611"/>
      <c r="I72" s="612"/>
      <c r="J72" s="254">
        <f>IF(('BP4'!$K$72+'BP3'!$K$72+'BP2'!$K$72+'BP1'!$K$72)&lt;25000,25000-('BP4'!$K$72+'BP3'!$K$72+'BP2'!$K$72+'BP1'!$K$72),0)</f>
        <v>25000</v>
      </c>
      <c r="K72" s="707">
        <f>IF(AND(SUM('BP4'!K72)&gt;0,'Subaward Calculator'!AD39=0,'BP1'!K5&gt;4),'BP4'!K72,'Subaward Calculator'!Y39)</f>
        <v>0</v>
      </c>
      <c r="L72" s="708"/>
      <c r="M72" s="229"/>
      <c r="N72" s="837">
        <f>IF(AND(SUM('BP4'!N72)&gt;0,'Subaward Calculator'!AF39=0,'BP1'!K5&gt;4),'BP4'!N72,'Subaward Calculator'!AA39)</f>
        <v>0</v>
      </c>
      <c r="O72" s="838"/>
      <c r="P72" s="482">
        <f>'Subaward Calculator'!B39</f>
        <v>0</v>
      </c>
      <c r="Q72" s="332"/>
      <c r="R72" s="115" t="s">
        <v>219</v>
      </c>
    </row>
    <row r="73" spans="1:18" s="2" customFormat="1" ht="14.25" hidden="1" customHeight="1" thickBot="1">
      <c r="A73" s="146"/>
      <c r="B73" s="211"/>
      <c r="C73" s="622" t="s">
        <v>572</v>
      </c>
      <c r="D73" s="622"/>
      <c r="E73" s="620" t="s">
        <v>288</v>
      </c>
      <c r="F73" s="621"/>
      <c r="G73" s="610">
        <f>'Subaward Calculator'!B41</f>
        <v>0</v>
      </c>
      <c r="H73" s="611"/>
      <c r="I73" s="612"/>
      <c r="J73" s="254">
        <f>IF(('BP4'!$K$73+'BP3'!$K$73+'BP2'!$K$73+'BP1'!$K$73)&lt;25000,25000-('BP4'!$K$73+'BP3'!$K$73+'BP2'!$K$73+'BP1'!$K$73),0)</f>
        <v>25000</v>
      </c>
      <c r="K73" s="707">
        <f>IF(AND(SUM('BP4'!K73)&gt;0,'Subaward Calculator'!AD42=0,'BP1'!K5&gt;4),'BP4'!K73,'Subaward Calculator'!Y42)</f>
        <v>0</v>
      </c>
      <c r="L73" s="708"/>
      <c r="M73" s="229"/>
      <c r="N73" s="837">
        <f>IF(AND(SUM('BP4'!N73)&gt;0,'Subaward Calculator'!AF42=0,'BP1'!K5&gt;4),'BP4'!N73,'Subaward Calculator'!AA42)</f>
        <v>0</v>
      </c>
      <c r="O73" s="838"/>
      <c r="P73" s="482">
        <f>'Subaward Calculator'!B42</f>
        <v>0</v>
      </c>
      <c r="Q73" s="332"/>
      <c r="R73" s="115" t="s">
        <v>219</v>
      </c>
    </row>
    <row r="74" spans="1:18" s="2" customFormat="1" ht="14.25" customHeight="1" thickBot="1">
      <c r="A74" s="186" t="s">
        <v>90</v>
      </c>
      <c r="B74" s="147"/>
      <c r="C74" s="147"/>
      <c r="D74" s="150"/>
      <c r="E74" s="151"/>
      <c r="F74" s="151"/>
      <c r="G74" s="151"/>
      <c r="H74" s="147"/>
      <c r="I74" s="149"/>
      <c r="J74" s="147"/>
      <c r="K74" s="697">
        <f>IF($A$5&lt;=$K$5,SUM(K55:$K$73),0)</f>
        <v>0</v>
      </c>
      <c r="L74" s="698"/>
      <c r="M74" s="229"/>
      <c r="N74" s="711">
        <f>SUM(N55:N73)</f>
        <v>0</v>
      </c>
      <c r="O74" s="712"/>
      <c r="R74" s="115" t="s">
        <v>215</v>
      </c>
    </row>
    <row r="75" spans="1:18" s="2" customFormat="1" ht="14.25" customHeight="1" thickBot="1">
      <c r="A75" s="186" t="s">
        <v>577</v>
      </c>
      <c r="B75" s="147"/>
      <c r="C75" s="147"/>
      <c r="D75" s="148"/>
      <c r="E75" s="148"/>
      <c r="F75" s="148"/>
      <c r="G75" s="148"/>
      <c r="H75" s="147"/>
      <c r="I75" s="149"/>
      <c r="J75" s="147"/>
      <c r="K75" s="697">
        <f>IF($A$5&lt;=$K$5,SUM(K43+K50+K53+$K$74),0)</f>
        <v>0</v>
      </c>
      <c r="L75" s="698"/>
      <c r="M75" s="229"/>
      <c r="N75" s="711">
        <f ca="1">SUM(N43+N50+N53+N74)</f>
        <v>0</v>
      </c>
      <c r="O75" s="712"/>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Calculator'!AD46=0),"",IF($A$5&lt;=$K$5,SUM(K43+K50+K53+$K$74),0)-'Subaward Calculator'!Y46+'Subaward Calculator'!Y44),"")</f>
        <v/>
      </c>
      <c r="L76" s="698"/>
      <c r="M76" s="229"/>
      <c r="N76"/>
      <c r="O76" s="79"/>
      <c r="P76" s="1"/>
      <c r="Q76" s="1"/>
      <c r="R76" s="115" t="s">
        <v>215</v>
      </c>
    </row>
    <row r="77" spans="1:18" s="2" customFormat="1" ht="14.25" customHeight="1">
      <c r="A77" s="618"/>
      <c r="B77" s="619"/>
      <c r="C77" s="619"/>
      <c r="D77" s="617" t="str">
        <f>IF(OR($L$2="No F&amp;A",$L$2="Custom"),"","Current Fiscal Year Base Rate =")</f>
        <v>Current Fiscal Year Base Rate =</v>
      </c>
      <c r="E77" s="617"/>
      <c r="F77" s="617"/>
      <c r="G77" s="755">
        <f>IF(K3="TC","% of Total Budget:",IF($L$2="No F&amp;A",$L$2,IF($L$2="Custom","Enter Custom Rate:",(VLOOKUP((IF($K$8&gt;=DATE(YEAR($K$8),9,1),DATE(YEAR($K$8),9,1),DATE(YEAR($K$8)-1,9,1))),Lists!A:Q,(MATCH('BP1'!$K$2&amp;" "&amp;'BP1'!$L$2,Lists!$M$1:$Q$1,0)+12),1)))))</f>
        <v>0.6</v>
      </c>
      <c r="H77" s="755"/>
      <c r="I77" s="686">
        <f>'BP1'!I77</f>
        <v>0.1</v>
      </c>
      <c r="J77" s="687"/>
      <c r="K77" s="372"/>
      <c r="L77" s="52"/>
      <c r="M77" s="229"/>
      <c r="N77" s="239"/>
      <c r="O77" s="240"/>
      <c r="R77" s="115" t="s">
        <v>215</v>
      </c>
    </row>
    <row r="78" spans="1:18" s="2" customFormat="1" ht="14.25" customHeight="1" thickBot="1">
      <c r="A78" s="731" t="str">
        <f>IF(K3="MTDC","Modified Total Direct Costs (MTDC) Base =",IF(K3="TDC","Total Direct Costs (TDC) Base =",IF(K3="TC","Total Cost (TC) Base =","Please enter IDC base type")))</f>
        <v>Modified Total Direct Costs (MTDC) Base =</v>
      </c>
      <c r="B78" s="732"/>
      <c r="C78" s="732"/>
      <c r="D78" s="732"/>
      <c r="E78" s="732"/>
      <c r="F78" s="732"/>
      <c r="G78" s="457">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600" t="s">
        <v>989</v>
      </c>
      <c r="I78" s="704">
        <f ca="1">IFERROR($K$79/$G$78,)</f>
        <v>0</v>
      </c>
      <c r="J78" s="705"/>
      <c r="K78" s="372"/>
      <c r="L78" s="373"/>
      <c r="M78" s="229"/>
      <c r="N78" s="737" t="s">
        <v>285</v>
      </c>
      <c r="O78" s="737"/>
      <c r="R78" s="115" t="s">
        <v>215</v>
      </c>
    </row>
    <row r="79" spans="1:18" s="2" customFormat="1" ht="14.25" customHeight="1" thickBot="1">
      <c r="A79" s="733">
        <f ca="1">IF(K3="MTDC",IF(G79&gt;0,"Modified Total Direct Costs (MTDC) Cost-Share Base =",),IF(G79&gt;0,"Total Direct Costs (TDC) Cost-Share Base =",))</f>
        <v>0</v>
      </c>
      <c r="B79" s="734"/>
      <c r="C79" s="734"/>
      <c r="D79" s="734"/>
      <c r="E79" s="734"/>
      <c r="F79" s="734"/>
      <c r="G79" s="500">
        <f ca="1">IF(K3="MTDC",IF('BP1'!K5&gt;0,N75-N50-N59-N61-N62-N63-N64-N65-N66-N67-N68-N69-N70-N71-N72-N73,0),IF('BP1'!K5&gt;0,N75,0))</f>
        <v>0</v>
      </c>
      <c r="H79" s="735" t="s">
        <v>213</v>
      </c>
      <c r="I79" s="735"/>
      <c r="J79" s="736"/>
      <c r="K79" s="697">
        <f ca="1">IF($L$2="No F&amp;A",0,(IF($K$3="TC",((G78/(1-I77))*I77),((IF($L$2="Custom",$I$77,(AVERAGEIFS(INDIRECT(SUBSTITUTE(SUBSTITUTE(CONCATENATE($K$2,$L$2)," ",""),"-","")),StartDateList,"&gt;="&amp;(DATE(YEAR($K$8),MONTH($K$8),1)),StartDateList,"&lt;="&amp;$K$10)))))*$G$78)))</f>
        <v>0</v>
      </c>
      <c r="L79" s="698"/>
      <c r="M79" s="354"/>
      <c r="N79" s="711">
        <f ca="1">IF($L$2="No F&amp;A",0,(IF($L$2="Custom",$I$77,(AVERAGEIFS(INDIRECT(SUBSTITUTE(SUBSTITUTE(CONCATENATE($K$2,$L$2)," ",""),"-","")),StartDateList,"&gt;="&amp;(DATE(YEAR($K$8),MONTH($K$8),1)),StartDateList,"&lt;="&amp;$K$10))))*$G$79)</f>
        <v>0</v>
      </c>
      <c r="O79" s="712"/>
      <c r="R79" s="115" t="s">
        <v>215</v>
      </c>
    </row>
    <row r="80" spans="1:18" s="2" customFormat="1" ht="14.25" customHeight="1" thickBot="1">
      <c r="A80" s="186" t="s">
        <v>92</v>
      </c>
      <c r="B80" s="147"/>
      <c r="C80" s="147"/>
      <c r="D80" s="148"/>
      <c r="E80" s="148"/>
      <c r="F80" s="148"/>
      <c r="G80" s="148"/>
      <c r="H80" s="147"/>
      <c r="I80" s="149"/>
      <c r="J80" s="147"/>
      <c r="K80" s="697">
        <f>IF($A$5&lt;=$K$5,ROUND(K75,0)+ROUND(K79,0),0)</f>
        <v>0</v>
      </c>
      <c r="L80" s="698"/>
      <c r="M80" s="354"/>
      <c r="N80" s="711">
        <f ca="1">ROUND(N75,0)+ROUND(N79,0)</f>
        <v>0</v>
      </c>
      <c r="O80" s="712"/>
      <c r="R80" s="115" t="s">
        <v>215</v>
      </c>
    </row>
    <row r="81" spans="1:18" ht="14.25" customHeight="1" thickBot="1">
      <c r="M81" s="229"/>
      <c r="R81" s="115" t="s">
        <v>215</v>
      </c>
    </row>
    <row r="82" spans="1:18" ht="14.25" customHeight="1" thickBot="1">
      <c r="A82" s="186" t="s">
        <v>579</v>
      </c>
      <c r="B82" s="147"/>
      <c r="C82" s="147"/>
      <c r="D82" s="148"/>
      <c r="E82" s="148"/>
      <c r="F82" s="148"/>
      <c r="G82" s="148"/>
      <c r="H82" s="147"/>
      <c r="I82" s="149"/>
      <c r="J82" s="147"/>
      <c r="K82" s="855">
        <f>'BP1'!K75+'BP2'!K75+'BP3'!K75+'BP4'!K75+'BP5'!K75</f>
        <v>0</v>
      </c>
      <c r="L82" s="855"/>
      <c r="M82" s="229"/>
      <c r="N82" s="711">
        <f ca="1">'BP1'!N75+'BP2'!N75+'BP3'!N75+'BP4'!N75+'BP5'!N75</f>
        <v>0</v>
      </c>
      <c r="O82" s="712"/>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55">
        <f>IF(AND(SUM(K62:K73)&gt;0,'Subaward Calculator'!AD46=0),"",'BP1'!K75+'BP2'!K75+'BP3'!K75+'BP4'!K75+'BP5'!K75-'Subaward Calculator'!AD46+'Subaward Calculator'!AD44)</f>
        <v>0</v>
      </c>
      <c r="L83" s="855"/>
      <c r="M83" s="229"/>
      <c r="N83" s="498"/>
      <c r="O83" s="498"/>
      <c r="R83" s="115" t="s">
        <v>215</v>
      </c>
    </row>
    <row r="84" spans="1:18" ht="14.25" customHeight="1" thickBot="1">
      <c r="A84" s="186" t="s">
        <v>460</v>
      </c>
      <c r="B84" s="147"/>
      <c r="C84" s="147"/>
      <c r="D84" s="148"/>
      <c r="E84" s="148"/>
      <c r="F84" s="148"/>
      <c r="G84" s="148"/>
      <c r="H84" s="147"/>
      <c r="I84" s="149"/>
      <c r="J84" s="147"/>
      <c r="K84" s="855">
        <f ca="1">'BP1'!K80+'BP2'!K80+'BP3'!K80+'BP4'!K80+'BP5'!K80</f>
        <v>0</v>
      </c>
      <c r="L84" s="855"/>
      <c r="M84" s="229"/>
      <c r="N84" s="711">
        <f ca="1">'BP1'!N80+'BP2'!N80+'BP3'!N80+'BP4'!N80+'BP5'!N80</f>
        <v>0</v>
      </c>
      <c r="O84" s="712"/>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17"/>
      <c r="L86" s="717"/>
      <c r="N86" s="718">
        <f>$A$5</f>
        <v>5</v>
      </c>
      <c r="O86" s="719"/>
      <c r="P86" s="853" t="s">
        <v>419</v>
      </c>
      <c r="Q86" s="854"/>
      <c r="R86" s="115" t="s">
        <v>215</v>
      </c>
    </row>
    <row r="87" spans="1:18" ht="14.25" customHeight="1" thickBot="1">
      <c r="G87" s="727" t="str">
        <f ca="1">IF(('BP1'!$N$80+'BP2'!$N$80+'BP3'!$N$80+'BP4'!$N$80+'BP5'!$N$80)&gt;0,"NORTHWESTERN COST-SHARE","")</f>
        <v/>
      </c>
      <c r="H87" s="727"/>
      <c r="I87" s="727"/>
      <c r="J87" s="727"/>
      <c r="K87" s="727"/>
      <c r="L87" s="727"/>
      <c r="N87" s="697">
        <f ca="1">N80-SUM(N62:N73)</f>
        <v>0</v>
      </c>
      <c r="O87" s="698"/>
      <c r="P87" s="835">
        <f ca="1">'BP1'!$N$87+'BP2'!$N$87+'BP3'!$N$87+'BP4'!$N$87+'BP5'!$N$87</f>
        <v>0</v>
      </c>
      <c r="Q87" s="836">
        <f>'BP1'!R78+'BP2'!Q78+'BP3'!Q78+'BP4'!Q78+'BP5'!Q78</f>
        <v>0</v>
      </c>
      <c r="R87" s="115" t="s">
        <v>215</v>
      </c>
    </row>
    <row r="88" spans="1:18" ht="14.25" customHeight="1" thickBot="1">
      <c r="F88" s="259"/>
      <c r="G88" s="727" t="str">
        <f ca="1">IF(('BP1'!$N$80+'BP2'!$N$80+'BP3'!$N$80+'BP4'!$N$80+'BP5'!$N$80)&gt;0,"SUBAWARD COST-SHARE","")</f>
        <v/>
      </c>
      <c r="H88" s="727"/>
      <c r="I88" s="727"/>
      <c r="J88" s="727"/>
      <c r="K88" s="727"/>
      <c r="L88" s="727"/>
      <c r="M88" s="1"/>
      <c r="N88" s="697">
        <f>SUM(N62:N73)</f>
        <v>0</v>
      </c>
      <c r="O88" s="698"/>
      <c r="P88" s="835">
        <f>'BP1'!$N$88+'BP2'!$N$88+'BP3'!$N$88+'BP4'!$N$88+'BP5'!$N$88</f>
        <v>0</v>
      </c>
      <c r="Q88" s="836">
        <f>'BP1'!R79+'BP2'!Q79+'BP3'!Q79+'BP4'!Q79+'BP5'!Q79</f>
        <v>0</v>
      </c>
      <c r="R88" s="115" t="s">
        <v>215</v>
      </c>
    </row>
    <row r="89" spans="1:18" ht="14.25" customHeight="1" thickBot="1">
      <c r="F89" s="259"/>
      <c r="G89" s="727" t="str">
        <f ca="1">IF(('BP1'!$N$80+'BP2'!$N$80+'BP3'!$N$80+'BP4'!$N$80+'BP5'!$N$80)&gt;0,"THIRD PARTY COST-SHARE","")</f>
        <v/>
      </c>
      <c r="H89" s="727"/>
      <c r="I89" s="727"/>
      <c r="J89" s="727"/>
      <c r="K89" s="727"/>
      <c r="L89" s="727"/>
      <c r="M89" s="1"/>
      <c r="N89" s="728"/>
      <c r="O89" s="729"/>
      <c r="P89" s="835">
        <f>'BP1'!$N$89+'BP2'!$N$89+'BP3'!$N$89+'BP4'!$N$89+'BP5'!$N$89</f>
        <v>0</v>
      </c>
      <c r="Q89" s="836">
        <f>'BP1'!R78+'BP2'!Q78+'BP3'!Q78+'BP4'!Q78+'BP5'!Q78</f>
        <v>0</v>
      </c>
      <c r="R89" s="115" t="s">
        <v>215</v>
      </c>
    </row>
    <row r="90" spans="1:18" ht="14.25" customHeight="1" thickBot="1">
      <c r="F90" s="257"/>
      <c r="G90" s="727" t="str">
        <f ca="1">IF(('BP1'!$N$80+'BP2'!$N$80+'BP3'!$N$80+'BP4'!$N$80+'BP5'!$N$80)&gt;0,"TOTAL COST-SHARED","")</f>
        <v/>
      </c>
      <c r="H90" s="727"/>
      <c r="I90" s="727"/>
      <c r="J90" s="727"/>
      <c r="K90" s="727"/>
      <c r="L90" s="727"/>
      <c r="M90" s="1"/>
      <c r="N90" s="697">
        <f ca="1">$N$80+$N$89</f>
        <v>0</v>
      </c>
      <c r="O90" s="698"/>
      <c r="P90" s="835">
        <f ca="1">'BP1'!$N$90+'BP2'!$N$90+'BP3'!$N$90+'BP4'!$N$90+'BP5'!$N$90</f>
        <v>0</v>
      </c>
      <c r="Q90" s="836">
        <f>'BP1'!R79+'BP2'!Q79+'BP3'!Q79+'BP4'!Q79+'BP5'!Q79</f>
        <v>0</v>
      </c>
      <c r="R90" s="115" t="s">
        <v>215</v>
      </c>
    </row>
    <row r="91" spans="1:18" ht="14.25" customHeight="1" thickBot="1">
      <c r="F91" s="725" t="str">
        <f ca="1">IF(('BP1'!$N$80+'BP2'!$N$80+'BP3'!$N$80+'BP4'!$N$80+'BP5'!$N$80)&gt;0,"TOTAL SPONSOR COSTS","")</f>
        <v/>
      </c>
      <c r="G91" s="725"/>
      <c r="H91" s="725"/>
      <c r="I91" s="725"/>
      <c r="J91" s="725"/>
      <c r="K91" s="725"/>
      <c r="L91" s="725"/>
      <c r="M91" s="1"/>
      <c r="N91" s="697">
        <f ca="1">IF(('BP1'!$N$80+'BP2'!$N$80+'BP3'!$N$80+'BP4'!$N$80+'BP5'!$N$80)&gt;0,$K$80,)</f>
        <v>0</v>
      </c>
      <c r="O91" s="698"/>
      <c r="P91" s="835">
        <f ca="1">'BP1'!$N$91+'BP2'!$N$91+'BP3'!$N$91+'BP4'!$N$91+'BP5'!$N$91</f>
        <v>0</v>
      </c>
      <c r="Q91" s="836">
        <f>'BP1'!R80+'BP2'!Q80+'BP3'!Q80+'BP4'!Q80+'BP5'!Q80</f>
        <v>0</v>
      </c>
      <c r="R91" s="115" t="s">
        <v>215</v>
      </c>
    </row>
    <row r="92" spans="1:18" ht="14.25" customHeight="1" thickBot="1">
      <c r="F92" s="725" t="str">
        <f ca="1">IF(('BP1'!$N$80+'BP2'!$N$80+'BP3'!$N$80+'BP4'!$N$80+'BP5'!$N$80)&gt;0,"NORTHWESTERN SPONSOR COSTS","")</f>
        <v/>
      </c>
      <c r="G92" s="725"/>
      <c r="H92" s="725"/>
      <c r="I92" s="725"/>
      <c r="J92" s="725"/>
      <c r="K92" s="725"/>
      <c r="L92" s="725"/>
      <c r="M92" s="1"/>
      <c r="N92" s="697">
        <f ca="1">IF(('BP1'!$N$80+'BP2'!$N$80+'BP3'!$N$80+'BP4'!$N$80+'BP5'!$N$80)&gt;0,$K$80-SUM(K62:L73),)</f>
        <v>0</v>
      </c>
      <c r="O92" s="698"/>
      <c r="P92" s="835">
        <f ca="1">'BP1'!$N$92+'BP2'!$N$92+'BP3'!$N$92+'BP4'!$N$92+'BP5'!$N$92</f>
        <v>0</v>
      </c>
      <c r="Q92" s="836">
        <f>'BP1'!R83+'BP2'!Q83+'BP3'!Q83+'BP4'!Q83+'BP5'!Q83</f>
        <v>0</v>
      </c>
      <c r="R92" s="115" t="s">
        <v>215</v>
      </c>
    </row>
    <row r="93" spans="1:18" ht="14.25" customHeight="1" thickBot="1">
      <c r="F93" s="257"/>
      <c r="G93" s="725" t="str">
        <f ca="1">IF(('BP1'!$N$80+'BP2'!$N$80+'BP3'!$N$80+'BP4'!$N$80+'BP5'!$N$80)&gt;0,"PROJECT COSTS","")</f>
        <v/>
      </c>
      <c r="H93" s="725"/>
      <c r="I93" s="725"/>
      <c r="J93" s="725"/>
      <c r="K93" s="725"/>
      <c r="L93" s="725"/>
      <c r="M93" s="1"/>
      <c r="N93" s="697">
        <f ca="1">IF(('BP1'!$N$80+'BP2'!$N$80+'BP3'!$N$80+'BP4'!$N$80+'BP5'!$N$80)&gt;0,$N$91+$N$90,)</f>
        <v>0</v>
      </c>
      <c r="O93" s="698"/>
      <c r="P93" s="835">
        <f ca="1">'BP1'!$N$93+'BP2'!$N$93+'BP3'!$N$93+'BP4'!$N$93+'BP5'!$N$93</f>
        <v>0</v>
      </c>
      <c r="Q93" s="836">
        <f>'BP1'!R81+'BP2'!Q81+'BP3'!Q81+'BP4'!Q81+'BP5'!Q81</f>
        <v>0</v>
      </c>
      <c r="R93" s="115" t="s">
        <v>215</v>
      </c>
    </row>
    <row r="94" spans="1:18" ht="14.25" customHeight="1" thickBot="1">
      <c r="F94" s="258"/>
      <c r="G94" s="726" t="str">
        <f ca="1">IF(('BP1'!$N$80+'BP2'!$N$80+'BP3'!$N$80+'BP4'!$N$80+'BP5'!$N$80)&gt;0,"COST-SHARE AS % OF SPONSOR COSTS","")</f>
        <v/>
      </c>
      <c r="H94" s="726"/>
      <c r="I94" s="726"/>
      <c r="J94" s="726"/>
      <c r="K94" s="726"/>
      <c r="L94" s="726"/>
      <c r="M94" s="1"/>
      <c r="N94" s="715">
        <f ca="1">IFERROR($N$90/$N$91,)</f>
        <v>0</v>
      </c>
      <c r="O94" s="716"/>
      <c r="P94" s="856">
        <f ca="1">IFERROR($P$90/$P$91,)</f>
        <v>0</v>
      </c>
      <c r="Q94" s="857"/>
      <c r="R94" s="115" t="s">
        <v>215</v>
      </c>
    </row>
    <row r="95" spans="1:18" ht="14.25" customHeight="1" thickBot="1">
      <c r="F95" s="725" t="str">
        <f ca="1">IF(('BP1'!$N$80+'BP2'!$N$80+'BP3'!$N$80+'BP4'!$N$80+'BP5'!$N$80)&gt;0,"COST-SHARE AS % OF PROJECT COSTS","")</f>
        <v/>
      </c>
      <c r="G95" s="725"/>
      <c r="H95" s="725"/>
      <c r="I95" s="725"/>
      <c r="J95" s="725"/>
      <c r="K95" s="725"/>
      <c r="L95" s="725"/>
      <c r="M95" s="1"/>
      <c r="N95" s="715">
        <f ca="1">IFERROR($N$90/$N$93,)</f>
        <v>0</v>
      </c>
      <c r="O95" s="716"/>
      <c r="P95" s="856">
        <f ca="1">IFERROR($P$90/$P$93,)</f>
        <v>0</v>
      </c>
      <c r="Q95" s="857"/>
      <c r="R95" s="115" t="s">
        <v>215</v>
      </c>
    </row>
    <row r="96" spans="1:18" ht="13.2"/>
  </sheetData>
  <sheetProtection formatCells="0" formatColumns="0" formatRows="0"/>
  <autoFilter ref="R1:R95" xr:uid="{00000000-0009-0000-0000-000006000000}">
    <filterColumn colId="0">
      <filters>
        <filter val="A) Condensed"/>
      </filters>
    </filterColumn>
  </autoFilter>
  <mergeCells count="205">
    <mergeCell ref="P87:Q87"/>
    <mergeCell ref="P92:Q92"/>
    <mergeCell ref="B47:F47"/>
    <mergeCell ref="C59:J59"/>
    <mergeCell ref="C55:J55"/>
    <mergeCell ref="B22:F22"/>
    <mergeCell ref="H10:J11"/>
    <mergeCell ref="B23:F23"/>
    <mergeCell ref="B24:F24"/>
    <mergeCell ref="B25:F25"/>
    <mergeCell ref="B26:F26"/>
    <mergeCell ref="B27:F27"/>
    <mergeCell ref="B28:F28"/>
    <mergeCell ref="B29:F29"/>
    <mergeCell ref="G12:G14"/>
    <mergeCell ref="C57:J57"/>
    <mergeCell ref="H12:J12"/>
    <mergeCell ref="H13:J13"/>
    <mergeCell ref="C56:J56"/>
    <mergeCell ref="C58:J58"/>
    <mergeCell ref="H51:J51"/>
    <mergeCell ref="H52:J52"/>
    <mergeCell ref="H53:J53"/>
    <mergeCell ref="B48:F48"/>
    <mergeCell ref="B49:F49"/>
    <mergeCell ref="G87:L87"/>
    <mergeCell ref="K55:L55"/>
    <mergeCell ref="K56:L56"/>
    <mergeCell ref="K65:L65"/>
    <mergeCell ref="K66:L66"/>
    <mergeCell ref="K64:L64"/>
    <mergeCell ref="C61:J61"/>
    <mergeCell ref="C60:J60"/>
    <mergeCell ref="G66:I66"/>
    <mergeCell ref="K49:L49"/>
    <mergeCell ref="E63:F63"/>
    <mergeCell ref="G63:I63"/>
    <mergeCell ref="E64:F64"/>
    <mergeCell ref="G64:I64"/>
    <mergeCell ref="E65:F65"/>
    <mergeCell ref="G65:I65"/>
    <mergeCell ref="E69:F69"/>
    <mergeCell ref="K79:L79"/>
    <mergeCell ref="K75:L75"/>
    <mergeCell ref="K82:L82"/>
    <mergeCell ref="K71:L71"/>
    <mergeCell ref="C63:D63"/>
    <mergeCell ref="A77:C77"/>
    <mergeCell ref="N57:O57"/>
    <mergeCell ref="N59:O59"/>
    <mergeCell ref="N60:O60"/>
    <mergeCell ref="N74:O74"/>
    <mergeCell ref="K74:L74"/>
    <mergeCell ref="K72:L72"/>
    <mergeCell ref="N61:O61"/>
    <mergeCell ref="N62:O62"/>
    <mergeCell ref="N63:O63"/>
    <mergeCell ref="N64:O64"/>
    <mergeCell ref="K61:L61"/>
    <mergeCell ref="N67:O67"/>
    <mergeCell ref="N73:O73"/>
    <mergeCell ref="K63:L63"/>
    <mergeCell ref="K73:L73"/>
    <mergeCell ref="K62:L62"/>
    <mergeCell ref="K69:L69"/>
    <mergeCell ref="K58:L58"/>
    <mergeCell ref="K60:L60"/>
    <mergeCell ref="K59:L59"/>
    <mergeCell ref="N66:O66"/>
    <mergeCell ref="N68:O68"/>
    <mergeCell ref="N69:O69"/>
    <mergeCell ref="K70:L70"/>
    <mergeCell ref="N79:O79"/>
    <mergeCell ref="N82:O82"/>
    <mergeCell ref="K80:L80"/>
    <mergeCell ref="N58:O58"/>
    <mergeCell ref="E67:F67"/>
    <mergeCell ref="G67:I67"/>
    <mergeCell ref="E68:F68"/>
    <mergeCell ref="G68:I68"/>
    <mergeCell ref="N70:O70"/>
    <mergeCell ref="N71:O71"/>
    <mergeCell ref="K67:L67"/>
    <mergeCell ref="K68:L68"/>
    <mergeCell ref="H79:J79"/>
    <mergeCell ref="G69:I69"/>
    <mergeCell ref="G62:I62"/>
    <mergeCell ref="D77:F77"/>
    <mergeCell ref="I78:J78"/>
    <mergeCell ref="G88:L88"/>
    <mergeCell ref="N87:O87"/>
    <mergeCell ref="I77:J77"/>
    <mergeCell ref="G73:I73"/>
    <mergeCell ref="N88:O88"/>
    <mergeCell ref="P88:Q88"/>
    <mergeCell ref="A79:F79"/>
    <mergeCell ref="B46:F46"/>
    <mergeCell ref="N46:O46"/>
    <mergeCell ref="K84:L84"/>
    <mergeCell ref="K83:L83"/>
    <mergeCell ref="K76:L76"/>
    <mergeCell ref="G70:I70"/>
    <mergeCell ref="G71:I71"/>
    <mergeCell ref="E70:F70"/>
    <mergeCell ref="P86:Q86"/>
    <mergeCell ref="N84:O84"/>
    <mergeCell ref="N75:O75"/>
    <mergeCell ref="N86:O86"/>
    <mergeCell ref="G77:H77"/>
    <mergeCell ref="E72:F72"/>
    <mergeCell ref="G72:I72"/>
    <mergeCell ref="E73:F73"/>
    <mergeCell ref="K86:L86"/>
    <mergeCell ref="P95:Q95"/>
    <mergeCell ref="N90:O90"/>
    <mergeCell ref="N91:O91"/>
    <mergeCell ref="N93:O93"/>
    <mergeCell ref="N94:O94"/>
    <mergeCell ref="N95:O95"/>
    <mergeCell ref="N89:O89"/>
    <mergeCell ref="F91:L91"/>
    <mergeCell ref="F95:L95"/>
    <mergeCell ref="P94:Q94"/>
    <mergeCell ref="G94:L94"/>
    <mergeCell ref="P93:Q93"/>
    <mergeCell ref="P89:Q89"/>
    <mergeCell ref="P90:Q90"/>
    <mergeCell ref="P91:Q91"/>
    <mergeCell ref="G90:L90"/>
    <mergeCell ref="G93:L93"/>
    <mergeCell ref="G89:L89"/>
    <mergeCell ref="F92:L92"/>
    <mergeCell ref="N92:O92"/>
    <mergeCell ref="A1:J4"/>
    <mergeCell ref="K1:L1"/>
    <mergeCell ref="K4:L4"/>
    <mergeCell ref="A5:J6"/>
    <mergeCell ref="K5:L5"/>
    <mergeCell ref="K6:L6"/>
    <mergeCell ref="B45:F45"/>
    <mergeCell ref="K12:L13"/>
    <mergeCell ref="A9:D9"/>
    <mergeCell ref="A11:D11"/>
    <mergeCell ref="K7:L7"/>
    <mergeCell ref="B15:F15"/>
    <mergeCell ref="B16:F16"/>
    <mergeCell ref="B17:F17"/>
    <mergeCell ref="B18:F18"/>
    <mergeCell ref="B19:F19"/>
    <mergeCell ref="B20:F20"/>
    <mergeCell ref="A30:F30"/>
    <mergeCell ref="B21:F21"/>
    <mergeCell ref="H8:J9"/>
    <mergeCell ref="E9:G9"/>
    <mergeCell ref="E11:G11"/>
    <mergeCell ref="K42:L42"/>
    <mergeCell ref="K45:L45"/>
    <mergeCell ref="K53:L53"/>
    <mergeCell ref="M1:O9"/>
    <mergeCell ref="M10:O11"/>
    <mergeCell ref="N41:O41"/>
    <mergeCell ref="N12:O13"/>
    <mergeCell ref="K43:L43"/>
    <mergeCell ref="N53:O53"/>
    <mergeCell ref="N55:O55"/>
    <mergeCell ref="N56:O56"/>
    <mergeCell ref="N48:O48"/>
    <mergeCell ref="N49:O49"/>
    <mergeCell ref="N50:O50"/>
    <mergeCell ref="N51:O51"/>
    <mergeCell ref="N52:O52"/>
    <mergeCell ref="K41:L41"/>
    <mergeCell ref="N47:O47"/>
    <mergeCell ref="K50:L50"/>
    <mergeCell ref="K48:L48"/>
    <mergeCell ref="K3:L3"/>
    <mergeCell ref="K8:L9"/>
    <mergeCell ref="K46:L46"/>
    <mergeCell ref="K47:L47"/>
    <mergeCell ref="K52:L52"/>
    <mergeCell ref="K51:L51"/>
    <mergeCell ref="K10:L11"/>
    <mergeCell ref="N80:O80"/>
    <mergeCell ref="N72:O72"/>
    <mergeCell ref="A78:F78"/>
    <mergeCell ref="E66:F66"/>
    <mergeCell ref="E62:F62"/>
    <mergeCell ref="C72:D72"/>
    <mergeCell ref="C73:D73"/>
    <mergeCell ref="C62:D62"/>
    <mergeCell ref="C64:D64"/>
    <mergeCell ref="C65:D65"/>
    <mergeCell ref="C66:D66"/>
    <mergeCell ref="C67:D67"/>
    <mergeCell ref="C68:D68"/>
    <mergeCell ref="C69:D69"/>
    <mergeCell ref="C70:D70"/>
    <mergeCell ref="C71:D71"/>
    <mergeCell ref="E71:F71"/>
    <mergeCell ref="N78:O78"/>
    <mergeCell ref="N65:O65"/>
    <mergeCell ref="N42:O42"/>
    <mergeCell ref="N43:O43"/>
    <mergeCell ref="N45:O45"/>
    <mergeCell ref="K57:L57"/>
  </mergeCells>
  <phoneticPr fontId="10" type="noConversion"/>
  <conditionalFormatting sqref="H78:J78">
    <cfRule type="expression" dxfId="7" priority="1">
      <formula>$K$3="TC"</formula>
    </cfRule>
  </conditionalFormatting>
  <conditionalFormatting sqref="I77:J77">
    <cfRule type="expression" dxfId="6" priority="2">
      <formula>$L$2&lt;&gt;"Custom"</formula>
    </cfRule>
    <cfRule type="expression" dxfId="5" priority="3">
      <formula>$L$2="Custom"</formula>
    </cfRule>
  </conditionalFormatting>
  <conditionalFormatting sqref="P86:Q86">
    <cfRule type="expression" dxfId="4" priority="9">
      <formula>$N$80&gt;0</formula>
    </cfRule>
  </conditionalFormatting>
  <conditionalFormatting sqref="P87:Q95">
    <cfRule type="expression" dxfId="3" priority="8">
      <formula>$N$80&gt;0</formula>
    </cfRule>
  </conditionalFormatting>
  <conditionalFormatting sqref="Q15:Q29">
    <cfRule type="cellIs" dxfId="2" priority="14" operator="greaterThan">
      <formula>0</formula>
    </cfRule>
  </conditionalFormatting>
  <dataValidations count="3">
    <dataValidation errorStyle="warning" allowBlank="1" showInputMessage="1" sqref="K7" xr:uid="{00000000-0002-0000-0600-000000000000}"/>
    <dataValidation allowBlank="1" showErrorMessage="1" sqref="L2 K2:K3" xr:uid="{00000000-0002-0000-0600-000001000000}"/>
    <dataValidation type="whole" allowBlank="1" showInputMessage="1" showErrorMessage="1" sqref="A5:J6" xr:uid="{00000000-0002-0000-06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K30:O31 H32:H40 K53:O61 K51:O52 G94 A11 G62:I73 O72 O71 O70 O69 O68 O67 O66 O65 O64 O63 O62 O73 N72 N73 N62 N63 N64 N65 N66 N67 N68 N69 N70 N71 K15:L15 N15:O15 K16:L16 N16:O16 K17:L17 N17:O17 K18:L18 N18:O18 K19:L19 N19:O19 K20:L20 N20:O20 K21:L21 N21:O21 K22:L22 N22:O22 K23:L23 N23:O23 K24:L24 N24:O24 K25:L25 N25:O25 K26:L26 N26:O26 K27:L27 N27:O27 K28:L28 N28:O28 K29:L29 N29:O29 K41:O50 K32:L32 N32:O32 K33:L33 N33:O33 K34:L34 N34:O34 K35:L35 N35:O35 K36:L36 N36:O36 K37:L37 N37:O37 K38 N38 K39:L39 N39:O39 K40 N40" unlockedFormula="1"/>
    <ignoredError sqref="G51:G52" numberStoredAsText="1"/>
    <ignoredError sqref="J62:J73"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pageSetUpPr fitToPage="1"/>
  </sheetPr>
  <dimension ref="A1:R90"/>
  <sheetViews>
    <sheetView showGridLines="0" zoomScaleNormal="100" zoomScaleSheetLayoutView="100" workbookViewId="0">
      <selection activeCell="R1" sqref="R1"/>
    </sheetView>
  </sheetViews>
  <sheetFormatPr defaultRowHeight="13.2" outlineLevelCol="1"/>
  <cols>
    <col min="1" max="1" width="2.44140625" customWidth="1"/>
    <col min="2" max="2" width="3.88671875" customWidth="1"/>
    <col min="3" max="3" width="1.5546875" customWidth="1"/>
    <col min="4" max="4" width="27.109375" customWidth="1"/>
    <col min="5" max="5" width="6.5546875" customWidth="1"/>
    <col min="6" max="6" width="9" customWidth="1"/>
    <col min="7" max="7" width="11.33203125" customWidth="1"/>
    <col min="8" max="10" width="6.88671875" customWidth="1"/>
    <col min="11" max="12" width="12.109375" customWidth="1"/>
    <col min="13" max="13" width="5.88671875" style="79" customWidth="1" outlineLevel="1"/>
    <col min="14" max="14" width="12.109375" customWidth="1" outlineLevel="1"/>
    <col min="15" max="15" width="12.109375" style="79" customWidth="1" outlineLevel="1"/>
    <col min="16" max="17" width="14.44140625" style="79" customWidth="1" outlineLevel="1"/>
    <col min="18" max="18" width="35.5546875" style="1" bestFit="1" customWidth="1"/>
  </cols>
  <sheetData>
    <row r="1" spans="1:18" s="7" customFormat="1" ht="14.25" customHeight="1" thickBot="1">
      <c r="A1" s="873" t="str">
        <f>'BP1'!A1:L1</f>
        <v>Title</v>
      </c>
      <c r="B1" s="874"/>
      <c r="C1" s="874"/>
      <c r="D1" s="874"/>
      <c r="E1" s="874"/>
      <c r="F1" s="874"/>
      <c r="G1" s="874"/>
      <c r="H1" s="874"/>
      <c r="I1" s="874"/>
      <c r="J1" s="875"/>
      <c r="K1" s="650" t="s">
        <v>221</v>
      </c>
      <c r="L1" s="651"/>
      <c r="M1" s="865"/>
      <c r="N1" s="865"/>
      <c r="O1" s="865"/>
      <c r="P1" s="377"/>
      <c r="Q1" s="377"/>
      <c r="R1" s="117" t="s">
        <v>184</v>
      </c>
    </row>
    <row r="2" spans="1:18" s="7" customFormat="1" ht="14.25" customHeight="1">
      <c r="A2" s="876"/>
      <c r="B2" s="877"/>
      <c r="C2" s="877"/>
      <c r="D2" s="877"/>
      <c r="E2" s="877"/>
      <c r="F2" s="877"/>
      <c r="G2" s="877"/>
      <c r="H2" s="877"/>
      <c r="I2" s="877"/>
      <c r="J2" s="877"/>
      <c r="K2" s="458" t="str">
        <f>'BP1'!K2</f>
        <v>Federal</v>
      </c>
      <c r="L2" s="459" t="str">
        <f>'BP1'!L2</f>
        <v>On Campus</v>
      </c>
      <c r="M2" s="865"/>
      <c r="N2" s="865"/>
      <c r="O2" s="865"/>
      <c r="P2" s="377"/>
      <c r="Q2" s="377"/>
      <c r="R2" s="115" t="s">
        <v>215</v>
      </c>
    </row>
    <row r="3" spans="1:18" s="7" customFormat="1" ht="14.25" customHeight="1">
      <c r="A3" s="876"/>
      <c r="B3" s="877"/>
      <c r="C3" s="877"/>
      <c r="D3" s="877"/>
      <c r="E3" s="877"/>
      <c r="F3" s="877"/>
      <c r="G3" s="877"/>
      <c r="H3" s="877"/>
      <c r="I3" s="877"/>
      <c r="J3" s="877"/>
      <c r="K3" s="892" t="str">
        <f>'BP1'!K3</f>
        <v>MTDC</v>
      </c>
      <c r="L3" s="893"/>
      <c r="M3" s="865"/>
      <c r="N3" s="865"/>
      <c r="O3" s="865"/>
      <c r="P3" s="377"/>
      <c r="Q3" s="377"/>
      <c r="R3" s="115" t="s">
        <v>215</v>
      </c>
    </row>
    <row r="4" spans="1:18" s="7" customFormat="1" ht="14.25" customHeight="1">
      <c r="A4" s="876"/>
      <c r="B4" s="877"/>
      <c r="C4" s="877"/>
      <c r="D4" s="877"/>
      <c r="E4" s="877"/>
      <c r="F4" s="877"/>
      <c r="G4" s="877"/>
      <c r="H4" s="877"/>
      <c r="I4" s="877"/>
      <c r="J4" s="878"/>
      <c r="K4" s="652" t="s">
        <v>441</v>
      </c>
      <c r="L4" s="653"/>
      <c r="M4" s="865"/>
      <c r="N4" s="865"/>
      <c r="O4" s="865"/>
      <c r="P4" s="377"/>
      <c r="Q4" s="377"/>
      <c r="R4" s="115" t="s">
        <v>215</v>
      </c>
    </row>
    <row r="5" spans="1:18" s="7" customFormat="1" ht="14.25" customHeight="1">
      <c r="A5" s="885" t="s">
        <v>290</v>
      </c>
      <c r="B5" s="886"/>
      <c r="C5" s="886"/>
      <c r="D5" s="886"/>
      <c r="E5" s="886"/>
      <c r="F5" s="886"/>
      <c r="G5" s="886"/>
      <c r="H5" s="886"/>
      <c r="I5" s="886"/>
      <c r="J5" s="887"/>
      <c r="K5" s="871">
        <f>'BP1'!K5</f>
        <v>1</v>
      </c>
      <c r="L5" s="872"/>
      <c r="M5" s="865"/>
      <c r="N5" s="865"/>
      <c r="O5" s="865"/>
      <c r="P5" s="377"/>
      <c r="Q5" s="377"/>
      <c r="R5" s="115" t="s">
        <v>215</v>
      </c>
    </row>
    <row r="6" spans="1:18" s="7" customFormat="1" ht="13.5" customHeight="1">
      <c r="A6" s="885"/>
      <c r="B6" s="886"/>
      <c r="C6" s="886"/>
      <c r="D6" s="886"/>
      <c r="E6" s="886"/>
      <c r="F6" s="886"/>
      <c r="G6" s="886"/>
      <c r="H6" s="886"/>
      <c r="I6" s="886"/>
      <c r="J6" s="887"/>
      <c r="K6" s="656" t="s">
        <v>94</v>
      </c>
      <c r="L6" s="657"/>
      <c r="M6" s="866"/>
      <c r="N6" s="865"/>
      <c r="O6" s="865"/>
      <c r="P6" s="377"/>
      <c r="Q6" s="377"/>
      <c r="R6" s="115" t="s">
        <v>215</v>
      </c>
    </row>
    <row r="7" spans="1:18" s="7" customFormat="1" ht="14.25" customHeight="1">
      <c r="A7" s="212"/>
      <c r="B7" s="213"/>
      <c r="C7" s="213"/>
      <c r="D7" s="214"/>
      <c r="E7" s="214"/>
      <c r="F7" s="214"/>
      <c r="G7" s="215"/>
      <c r="H7" s="213"/>
      <c r="I7" s="213"/>
      <c r="J7" s="216"/>
      <c r="K7" s="845">
        <f>'BP1'!K7</f>
        <v>0.03</v>
      </c>
      <c r="L7" s="846"/>
      <c r="M7" s="866"/>
      <c r="N7" s="865"/>
      <c r="O7" s="865"/>
      <c r="P7" s="377"/>
      <c r="Q7" s="377"/>
      <c r="R7" s="115" t="s">
        <v>215</v>
      </c>
    </row>
    <row r="8" spans="1:18" s="7" customFormat="1" ht="14.25" customHeight="1">
      <c r="A8" s="177" t="s">
        <v>196</v>
      </c>
      <c r="B8" s="178"/>
      <c r="C8" s="178"/>
      <c r="D8" s="179"/>
      <c r="E8" s="180" t="str">
        <f>'BP1'!E8</f>
        <v>Originating Sponsor</v>
      </c>
      <c r="F8" s="154"/>
      <c r="G8" s="154"/>
      <c r="H8" s="666" t="s">
        <v>509</v>
      </c>
      <c r="I8" s="666"/>
      <c r="J8" s="667"/>
      <c r="K8" s="662">
        <f>'BP1'!K8</f>
        <v>44804</v>
      </c>
      <c r="L8" s="860"/>
      <c r="M8" s="866"/>
      <c r="N8" s="865"/>
      <c r="O8" s="865"/>
      <c r="P8" s="377"/>
      <c r="Q8" s="377"/>
      <c r="R8" s="115" t="s">
        <v>215</v>
      </c>
    </row>
    <row r="9" spans="1:18" s="7" customFormat="1" ht="14.25" customHeight="1">
      <c r="A9" s="637" t="s">
        <v>1</v>
      </c>
      <c r="B9" s="638"/>
      <c r="C9" s="638"/>
      <c r="D9" s="638"/>
      <c r="E9" s="863" t="str">
        <f>IF(ISBLANK('BP1'!E9),"",'BP1'!E9)</f>
        <v/>
      </c>
      <c r="F9" s="863"/>
      <c r="G9" s="863"/>
      <c r="H9" s="668"/>
      <c r="I9" s="668"/>
      <c r="J9" s="669"/>
      <c r="K9" s="861"/>
      <c r="L9" s="862"/>
      <c r="M9" s="867"/>
      <c r="N9" s="868"/>
      <c r="O9" s="868"/>
      <c r="P9" s="377"/>
      <c r="Q9" s="377"/>
      <c r="R9" s="115" t="s">
        <v>215</v>
      </c>
    </row>
    <row r="10" spans="1:18" s="7" customFormat="1" ht="14.25" customHeight="1">
      <c r="A10" s="181" t="s">
        <v>201</v>
      </c>
      <c r="B10" s="142"/>
      <c r="C10" s="142"/>
      <c r="D10" s="143"/>
      <c r="E10" s="180" t="str">
        <f>'BP1'!E10</f>
        <v>Flow-through Sponsor</v>
      </c>
      <c r="F10" s="154"/>
      <c r="G10" s="154"/>
      <c r="H10" s="666" t="s">
        <v>510</v>
      </c>
      <c r="I10" s="666"/>
      <c r="J10" s="667"/>
      <c r="K10" s="662">
        <f ca="1">INDIRECT("BP"&amp;'BP1'!K5&amp;"!K10")</f>
        <v>45168</v>
      </c>
      <c r="L10" s="860"/>
      <c r="M10" s="672" t="s">
        <v>557</v>
      </c>
      <c r="N10" s="673"/>
      <c r="O10" s="869"/>
      <c r="P10" s="382"/>
      <c r="Q10" s="382"/>
      <c r="R10" s="115" t="s">
        <v>215</v>
      </c>
    </row>
    <row r="11" spans="1:18" s="7" customFormat="1" ht="14.25" customHeight="1">
      <c r="A11" s="639" t="str">
        <f>'BP1'!A11:D11</f>
        <v>Professor McCormick</v>
      </c>
      <c r="B11" s="640"/>
      <c r="C11" s="640"/>
      <c r="D11" s="640"/>
      <c r="E11" s="863" t="str">
        <f>IF(ISBLANK('BP1'!E11),"",'BP1'!E11)</f>
        <v/>
      </c>
      <c r="F11" s="863"/>
      <c r="G11" s="863"/>
      <c r="H11" s="668"/>
      <c r="I11" s="668"/>
      <c r="J11" s="669"/>
      <c r="K11" s="861"/>
      <c r="L11" s="862"/>
      <c r="M11" s="674"/>
      <c r="N11" s="675"/>
      <c r="O11" s="870"/>
      <c r="P11" s="382"/>
      <c r="Q11" s="382"/>
      <c r="R11" s="115" t="s">
        <v>215</v>
      </c>
    </row>
    <row r="12" spans="1:18" s="7" customFormat="1" ht="14.25" customHeight="1">
      <c r="A12" s="181" t="s">
        <v>198</v>
      </c>
      <c r="B12" s="267"/>
      <c r="C12" s="267"/>
      <c r="D12" s="269"/>
      <c r="E12" s="155"/>
      <c r="F12" s="329"/>
      <c r="G12" s="680" t="s">
        <v>897</v>
      </c>
      <c r="H12" s="683" t="s">
        <v>511</v>
      </c>
      <c r="I12" s="684"/>
      <c r="J12" s="685"/>
      <c r="K12" s="628" t="s">
        <v>35</v>
      </c>
      <c r="L12" s="629"/>
      <c r="M12" s="375" t="s">
        <v>282</v>
      </c>
      <c r="N12" s="628" t="s">
        <v>35</v>
      </c>
      <c r="O12" s="629"/>
      <c r="P12" s="383"/>
      <c r="Q12" s="383"/>
      <c r="R12" s="115" t="s">
        <v>215</v>
      </c>
    </row>
    <row r="13" spans="1:18" s="7" customFormat="1" ht="14.25" customHeight="1">
      <c r="A13" s="141"/>
      <c r="B13" s="142"/>
      <c r="C13" s="142"/>
      <c r="D13" s="155"/>
      <c r="E13" s="155"/>
      <c r="F13" s="330"/>
      <c r="G13" s="681"/>
      <c r="H13" s="676" t="s">
        <v>281</v>
      </c>
      <c r="I13" s="677"/>
      <c r="J13" s="678"/>
      <c r="K13" s="630"/>
      <c r="L13" s="631"/>
      <c r="M13" s="374" t="s">
        <v>283</v>
      </c>
      <c r="N13" s="630"/>
      <c r="O13" s="631"/>
      <c r="P13" s="383"/>
      <c r="Q13" s="383"/>
      <c r="R13" s="115" t="s">
        <v>215</v>
      </c>
    </row>
    <row r="14" spans="1:18" s="7" customFormat="1" ht="14.25" customHeight="1">
      <c r="A14" s="141"/>
      <c r="B14" s="153"/>
      <c r="C14" s="153"/>
      <c r="D14" s="151"/>
      <c r="E14" s="151"/>
      <c r="F14" s="376"/>
      <c r="G14" s="682"/>
      <c r="H14" s="171" t="s">
        <v>2</v>
      </c>
      <c r="I14" s="172" t="s">
        <v>194</v>
      </c>
      <c r="J14" s="172" t="s">
        <v>195</v>
      </c>
      <c r="K14" s="168" t="s">
        <v>33</v>
      </c>
      <c r="L14" s="169" t="s">
        <v>34</v>
      </c>
      <c r="M14" s="234" t="s">
        <v>284</v>
      </c>
      <c r="N14" s="168" t="s">
        <v>33</v>
      </c>
      <c r="O14" s="169" t="s">
        <v>34</v>
      </c>
      <c r="P14" s="193" t="s">
        <v>857</v>
      </c>
      <c r="Q14" s="384"/>
      <c r="R14" s="115" t="s">
        <v>215</v>
      </c>
    </row>
    <row r="15" spans="1:18" s="7" customFormat="1" ht="14.25" customHeight="1">
      <c r="A15" s="182">
        <v>1</v>
      </c>
      <c r="B15" s="842" t="str">
        <f>A11</f>
        <v>Professor McCormick</v>
      </c>
      <c r="C15" s="843"/>
      <c r="D15" s="843"/>
      <c r="E15" s="843"/>
      <c r="F15" s="844"/>
      <c r="G15" s="227">
        <f>IF('BP1'!G15&gt;0,'BP1'!G15,"")</f>
        <v>9</v>
      </c>
      <c r="H15" s="198">
        <f>'BP1'!H15+'BP2'!H15+'BP3'!H15+'BP4'!H15+'BP5'!H15</f>
        <v>0</v>
      </c>
      <c r="I15" s="198">
        <f>'BP1'!I15+'BP2'!I15+'BP3'!I15+'BP4'!I15+'BP5'!I15</f>
        <v>0</v>
      </c>
      <c r="J15" s="198">
        <f>'BP1'!J15+'BP2'!J15+'BP3'!J15+'BP4'!J15+'BP5'!J15</f>
        <v>0</v>
      </c>
      <c r="K15" s="140">
        <f ca="1">'BP1'!K15+'BP2'!K15+'BP3'!K15+'BP4'!K15+'BP5'!K15</f>
        <v>0</v>
      </c>
      <c r="L15" s="139">
        <f ca="1">'BP1'!L15+'BP2'!L15+'BP3'!L15+'BP4'!L15+'BP5'!L15</f>
        <v>0</v>
      </c>
      <c r="M15" s="232">
        <f>'BP1'!M15+'BP2'!M15+'BP3'!M15+'BP4'!M15+'BP5'!M15</f>
        <v>0</v>
      </c>
      <c r="N15" s="138">
        <f ca="1">'BP1'!N15+'BP2'!N15+'BP3'!N15+'BP4'!N15+'BP5'!N15</f>
        <v>0</v>
      </c>
      <c r="O15" s="139">
        <f ca="1">'BP1'!O15+'BP2'!O15+'BP3'!O15+'BP4'!O15+'BP5'!O15</f>
        <v>0</v>
      </c>
      <c r="P15" s="596">
        <f>'BP1'!T15+'BP2'!Q15+'BP3'!Q15+'BP4'!Q15+'BP5'!Q15</f>
        <v>0</v>
      </c>
      <c r="Q15" s="325"/>
      <c r="R15" s="115" t="s">
        <v>215</v>
      </c>
    </row>
    <row r="16" spans="1:18" s="7" customFormat="1" ht="14.25" customHeight="1">
      <c r="A16" s="182">
        <v>2</v>
      </c>
      <c r="B16" s="842" t="str">
        <f>IF('BP1'!B16&gt;0,'BP1'!B16,"")</f>
        <v/>
      </c>
      <c r="C16" s="843"/>
      <c r="D16" s="843"/>
      <c r="E16" s="843"/>
      <c r="F16" s="844"/>
      <c r="G16" s="227" t="str">
        <f>IF('BP1'!G16&gt;0,'BP1'!G16,"")</f>
        <v/>
      </c>
      <c r="H16" s="198">
        <f>'BP1'!H16+'BP2'!H16+'BP3'!H16+'BP4'!H16+'BP5'!H16</f>
        <v>0</v>
      </c>
      <c r="I16" s="198">
        <f>'BP1'!I16+'BP2'!I16+'BP3'!I16+'BP4'!I16+'BP5'!I16</f>
        <v>0</v>
      </c>
      <c r="J16" s="198">
        <f>'BP1'!J16+'BP2'!J16+'BP3'!J16+'BP4'!J16+'BP5'!J16</f>
        <v>0</v>
      </c>
      <c r="K16" s="140">
        <f ca="1">'BP1'!K16+'BP2'!K16+'BP3'!K16+'BP4'!K16+'BP5'!K16</f>
        <v>0</v>
      </c>
      <c r="L16" s="139">
        <f ca="1">'BP1'!L16+'BP2'!L16+'BP3'!L16+'BP4'!L16+'BP5'!L16</f>
        <v>0</v>
      </c>
      <c r="M16" s="232">
        <f>'BP1'!M16+'BP2'!M16+'BP3'!M16+'BP4'!M16+'BP5'!M16</f>
        <v>0</v>
      </c>
      <c r="N16" s="138">
        <f ca="1">'BP1'!N16+'BP2'!N16+'BP3'!N16+'BP4'!N16+'BP5'!N16</f>
        <v>0</v>
      </c>
      <c r="O16" s="139">
        <f ca="1">'BP1'!O16+'BP2'!O16+'BP3'!O16+'BP4'!O16+'BP5'!O16</f>
        <v>0</v>
      </c>
      <c r="P16" s="596">
        <f>'BP1'!T16+'BP2'!Q16+'BP3'!Q16+'BP4'!Q16+'BP5'!Q16</f>
        <v>0</v>
      </c>
      <c r="Q16" s="325"/>
      <c r="R16" s="115" t="s">
        <v>215</v>
      </c>
    </row>
    <row r="17" spans="1:18" s="7" customFormat="1" ht="14.25" customHeight="1">
      <c r="A17" s="182">
        <v>3</v>
      </c>
      <c r="B17" s="842" t="str">
        <f>IF('BP1'!B17&gt;0,'BP1'!B17,"")</f>
        <v/>
      </c>
      <c r="C17" s="843"/>
      <c r="D17" s="843"/>
      <c r="E17" s="843"/>
      <c r="F17" s="844"/>
      <c r="G17" s="227" t="str">
        <f>IF('BP1'!G17&gt;0,'BP1'!G17,"")</f>
        <v/>
      </c>
      <c r="H17" s="198">
        <f>'BP1'!H17+'BP2'!H17+'BP3'!H17+'BP4'!H17+'BP5'!H17</f>
        <v>0</v>
      </c>
      <c r="I17" s="198">
        <f>'BP1'!I17+'BP2'!I17+'BP3'!I17+'BP4'!I17+'BP5'!I17</f>
        <v>0</v>
      </c>
      <c r="J17" s="198">
        <f>'BP1'!J17+'BP2'!J17+'BP3'!J17+'BP4'!J17+'BP5'!J17</f>
        <v>0</v>
      </c>
      <c r="K17" s="140">
        <f ca="1">'BP1'!K17+'BP2'!K17+'BP3'!K17+'BP4'!K17+'BP5'!K17</f>
        <v>0</v>
      </c>
      <c r="L17" s="139">
        <f ca="1">'BP1'!L17+'BP2'!L17+'BP3'!L17+'BP4'!L17+'BP5'!L17</f>
        <v>0</v>
      </c>
      <c r="M17" s="232">
        <f>'BP1'!M17+'BP2'!M17+'BP3'!M17+'BP4'!M17+'BP5'!M17</f>
        <v>0</v>
      </c>
      <c r="N17" s="138">
        <f ca="1">'BP1'!N17+'BP2'!N17+'BP3'!N17+'BP4'!N17+'BP5'!N17</f>
        <v>0</v>
      </c>
      <c r="O17" s="139">
        <f ca="1">'BP1'!O17+'BP2'!O17+'BP3'!O17+'BP4'!O17+'BP5'!O17</f>
        <v>0</v>
      </c>
      <c r="P17" s="596">
        <f>'BP1'!T17+'BP2'!Q17+'BP3'!Q17+'BP4'!Q17+'BP5'!Q17</f>
        <v>0</v>
      </c>
      <c r="Q17" s="325"/>
      <c r="R17" s="115" t="s">
        <v>215</v>
      </c>
    </row>
    <row r="18" spans="1:18" s="7" customFormat="1" ht="14.25" customHeight="1">
      <c r="A18" s="182">
        <v>4</v>
      </c>
      <c r="B18" s="842" t="str">
        <f>IF('BP1'!B18&gt;0,'BP1'!B18,"")</f>
        <v/>
      </c>
      <c r="C18" s="843"/>
      <c r="D18" s="843"/>
      <c r="E18" s="843"/>
      <c r="F18" s="844"/>
      <c r="G18" s="227" t="str">
        <f>IF('BP1'!G18&gt;0,'BP1'!G18,"")</f>
        <v/>
      </c>
      <c r="H18" s="198">
        <f>'BP1'!H18+'BP2'!H18+'BP3'!H18+'BP4'!H18+'BP5'!H18</f>
        <v>0</v>
      </c>
      <c r="I18" s="198">
        <f>'BP1'!I18+'BP2'!I18+'BP3'!I18+'BP4'!I18+'BP5'!I18</f>
        <v>0</v>
      </c>
      <c r="J18" s="198">
        <f>'BP1'!J18+'BP2'!J18+'BP3'!J18+'BP4'!J18+'BP5'!J18</f>
        <v>0</v>
      </c>
      <c r="K18" s="140">
        <f ca="1">'BP1'!K18+'BP2'!K18+'BP3'!K18+'BP4'!K18+'BP5'!K18</f>
        <v>0</v>
      </c>
      <c r="L18" s="139">
        <f ca="1">'BP1'!L18+'BP2'!L18+'BP3'!L18+'BP4'!L18+'BP5'!L18</f>
        <v>0</v>
      </c>
      <c r="M18" s="232">
        <f>'BP1'!M18+'BP2'!M18+'BP3'!M18+'BP4'!M18+'BP5'!M18</f>
        <v>0</v>
      </c>
      <c r="N18" s="138">
        <f ca="1">'BP1'!N18+'BP2'!N18+'BP3'!N18+'BP4'!N18+'BP5'!N18</f>
        <v>0</v>
      </c>
      <c r="O18" s="139">
        <f ca="1">'BP1'!O18+'BP2'!O18+'BP3'!O18+'BP4'!O18+'BP5'!O18</f>
        <v>0</v>
      </c>
      <c r="P18" s="596">
        <f>'BP1'!T18+'BP2'!Q18+'BP3'!Q18+'BP4'!Q18+'BP5'!Q18</f>
        <v>0</v>
      </c>
      <c r="Q18" s="325"/>
      <c r="R18" s="115" t="s">
        <v>215</v>
      </c>
    </row>
    <row r="19" spans="1:18" s="7" customFormat="1" ht="14.25" customHeight="1">
      <c r="A19" s="182">
        <v>5</v>
      </c>
      <c r="B19" s="842" t="str">
        <f>IF('BP1'!B19&gt;0,'BP1'!B19,"")</f>
        <v/>
      </c>
      <c r="C19" s="843"/>
      <c r="D19" s="843"/>
      <c r="E19" s="843"/>
      <c r="F19" s="844"/>
      <c r="G19" s="227" t="str">
        <f>IF('BP1'!G19&gt;0,'BP1'!G19,"")</f>
        <v/>
      </c>
      <c r="H19" s="198">
        <f>'BP1'!H19+'BP2'!H19+'BP3'!H19+'BP4'!H19+'BP5'!H19</f>
        <v>0</v>
      </c>
      <c r="I19" s="198">
        <f>'BP1'!I19+'BP2'!I19+'BP3'!I19+'BP4'!I19+'BP5'!I19</f>
        <v>0</v>
      </c>
      <c r="J19" s="198">
        <f>'BP1'!J19+'BP2'!J19+'BP3'!J19+'BP4'!J19+'BP5'!J19</f>
        <v>0</v>
      </c>
      <c r="K19" s="140">
        <f ca="1">'BP1'!K19+'BP2'!K19+'BP3'!K19+'BP4'!K19+'BP5'!K19</f>
        <v>0</v>
      </c>
      <c r="L19" s="139">
        <f ca="1">'BP1'!L19+'BP2'!L19+'BP3'!L19+'BP4'!L19+'BP5'!L19</f>
        <v>0</v>
      </c>
      <c r="M19" s="232">
        <f>'BP1'!M19+'BP2'!M19+'BP3'!M19+'BP4'!M19+'BP5'!M19</f>
        <v>0</v>
      </c>
      <c r="N19" s="138">
        <f ca="1">'BP1'!N19+'BP2'!N19+'BP3'!N19+'BP4'!N19+'BP5'!N19</f>
        <v>0</v>
      </c>
      <c r="O19" s="139">
        <f ca="1">'BP1'!O19+'BP2'!O19+'BP3'!O19+'BP4'!O19+'BP5'!O19</f>
        <v>0</v>
      </c>
      <c r="P19" s="596">
        <f>'BP1'!T19+'BP2'!Q19+'BP3'!Q19+'BP4'!Q19+'BP5'!Q19</f>
        <v>0</v>
      </c>
      <c r="Q19" s="325"/>
      <c r="R19" s="115" t="s">
        <v>215</v>
      </c>
    </row>
    <row r="20" spans="1:18" s="7" customFormat="1" ht="14.25" customHeight="1">
      <c r="A20" s="182">
        <v>6</v>
      </c>
      <c r="B20" s="842" t="str">
        <f>IF('BP1'!B20&gt;0,'BP1'!B20,"")</f>
        <v/>
      </c>
      <c r="C20" s="843"/>
      <c r="D20" s="843"/>
      <c r="E20" s="843"/>
      <c r="F20" s="844"/>
      <c r="G20" s="227" t="str">
        <f>IF('BP1'!G20&gt;0,'BP1'!G20,"")</f>
        <v/>
      </c>
      <c r="H20" s="198">
        <f>'BP1'!H20+'BP2'!H20+'BP3'!H20+'BP4'!H20+'BP5'!H20</f>
        <v>0</v>
      </c>
      <c r="I20" s="198">
        <f>'BP1'!I20+'BP2'!I20+'BP3'!I20+'BP4'!I20+'BP5'!I20</f>
        <v>0</v>
      </c>
      <c r="J20" s="198">
        <f>'BP1'!J20+'BP2'!J20+'BP3'!J20+'BP4'!J20+'BP5'!J20</f>
        <v>0</v>
      </c>
      <c r="K20" s="140">
        <f ca="1">'BP1'!K20+'BP2'!K20+'BP3'!K20+'BP4'!K20+'BP5'!K20</f>
        <v>0</v>
      </c>
      <c r="L20" s="139">
        <f ca="1">'BP1'!L20+'BP2'!L20+'BP3'!L20+'BP4'!L20+'BP5'!L20</f>
        <v>0</v>
      </c>
      <c r="M20" s="232">
        <f>'BP1'!M20+'BP2'!M20+'BP3'!M20+'BP4'!M20+'BP5'!M20</f>
        <v>0</v>
      </c>
      <c r="N20" s="138">
        <f ca="1">'BP1'!N20+'BP2'!N20+'BP3'!N20+'BP4'!N20+'BP5'!N20</f>
        <v>0</v>
      </c>
      <c r="O20" s="139">
        <f ca="1">'BP1'!O20+'BP2'!O20+'BP3'!O20+'BP4'!O20+'BP5'!O20</f>
        <v>0</v>
      </c>
      <c r="P20" s="596">
        <f>'BP1'!T20+'BP2'!Q20+'BP3'!Q20+'BP4'!Q20+'BP5'!Q20</f>
        <v>0</v>
      </c>
      <c r="Q20" s="325"/>
      <c r="R20" s="115" t="s">
        <v>481</v>
      </c>
    </row>
    <row r="21" spans="1:18" s="7" customFormat="1" ht="14.25" customHeight="1">
      <c r="A21" s="182">
        <v>7</v>
      </c>
      <c r="B21" s="842" t="str">
        <f>IF('BP1'!B21&gt;0,'BP1'!B21,"")</f>
        <v/>
      </c>
      <c r="C21" s="843"/>
      <c r="D21" s="843"/>
      <c r="E21" s="843"/>
      <c r="F21" s="844"/>
      <c r="G21" s="227" t="str">
        <f>IF('BP1'!G21&gt;0,'BP1'!G21,"")</f>
        <v/>
      </c>
      <c r="H21" s="198">
        <f>'BP1'!H21+'BP2'!H21+'BP3'!H21+'BP4'!H21+'BP5'!H21</f>
        <v>0</v>
      </c>
      <c r="I21" s="198">
        <f>'BP1'!I21+'BP2'!I21+'BP3'!I21+'BP4'!I21+'BP5'!I21</f>
        <v>0</v>
      </c>
      <c r="J21" s="198">
        <f>'BP1'!J21+'BP2'!J21+'BP3'!J21+'BP4'!J21+'BP5'!J21</f>
        <v>0</v>
      </c>
      <c r="K21" s="140">
        <f ca="1">'BP1'!K21+'BP2'!K21+'BP3'!K21+'BP4'!K21+'BP5'!K21</f>
        <v>0</v>
      </c>
      <c r="L21" s="139">
        <f ca="1">'BP1'!L21+'BP2'!L21+'BP3'!L21+'BP4'!L21+'BP5'!L21</f>
        <v>0</v>
      </c>
      <c r="M21" s="232">
        <f>'BP1'!M21+'BP2'!M21+'BP3'!M21+'BP4'!M21+'BP5'!M21</f>
        <v>0</v>
      </c>
      <c r="N21" s="138">
        <f ca="1">'BP1'!N21+'BP2'!N21+'BP3'!N21+'BP4'!N21+'BP5'!N21</f>
        <v>0</v>
      </c>
      <c r="O21" s="139">
        <f ca="1">'BP1'!O21+'BP2'!O21+'BP3'!O21+'BP4'!O21+'BP5'!O21</f>
        <v>0</v>
      </c>
      <c r="P21" s="596">
        <f>'BP1'!T21+'BP2'!Q21+'BP3'!Q21+'BP4'!Q21+'BP5'!Q21</f>
        <v>0</v>
      </c>
      <c r="Q21" s="325"/>
      <c r="R21" s="115" t="s">
        <v>481</v>
      </c>
    </row>
    <row r="22" spans="1:18" s="7" customFormat="1" ht="14.25" customHeight="1">
      <c r="A22" s="182">
        <v>8</v>
      </c>
      <c r="B22" s="842" t="str">
        <f>IF('BP1'!B22&gt;0,'BP1'!B22,"")</f>
        <v/>
      </c>
      <c r="C22" s="843"/>
      <c r="D22" s="843"/>
      <c r="E22" s="843"/>
      <c r="F22" s="844"/>
      <c r="G22" s="227" t="str">
        <f>IF('BP1'!G22&gt;0,'BP1'!G22,"")</f>
        <v/>
      </c>
      <c r="H22" s="198">
        <f>'BP1'!H22+'BP2'!H22+'BP3'!H22+'BP4'!H22+'BP5'!H22</f>
        <v>0</v>
      </c>
      <c r="I22" s="198">
        <f>'BP1'!I22+'BP2'!I22+'BP3'!I22+'BP4'!I22+'BP5'!I22</f>
        <v>0</v>
      </c>
      <c r="J22" s="198">
        <f>'BP1'!J22+'BP2'!J22+'BP3'!J22+'BP4'!J22+'BP5'!J22</f>
        <v>0</v>
      </c>
      <c r="K22" s="140">
        <f ca="1">'BP1'!K22+'BP2'!K22+'BP3'!K22+'BP4'!K22+'BP5'!K22</f>
        <v>0</v>
      </c>
      <c r="L22" s="139">
        <f ca="1">'BP1'!L22+'BP2'!L22+'BP3'!L22+'BP4'!L22+'BP5'!L22</f>
        <v>0</v>
      </c>
      <c r="M22" s="232">
        <f>'BP1'!M22+'BP2'!M22+'BP3'!M22+'BP4'!M22+'BP5'!M22</f>
        <v>0</v>
      </c>
      <c r="N22" s="138">
        <f ca="1">'BP1'!N22+'BP2'!N22+'BP3'!N22+'BP4'!N22+'BP5'!N22</f>
        <v>0</v>
      </c>
      <c r="O22" s="139">
        <f ca="1">'BP1'!O22+'BP2'!O22+'BP3'!O22+'BP4'!O22+'BP5'!O22</f>
        <v>0</v>
      </c>
      <c r="P22" s="596">
        <f>'BP1'!T22+'BP2'!Q22+'BP3'!Q22+'BP4'!Q22+'BP5'!Q22</f>
        <v>0</v>
      </c>
      <c r="Q22" s="325"/>
      <c r="R22" s="115" t="s">
        <v>481</v>
      </c>
    </row>
    <row r="23" spans="1:18" s="7" customFormat="1" ht="14.25" customHeight="1">
      <c r="A23" s="182">
        <v>9</v>
      </c>
      <c r="B23" s="842" t="str">
        <f>IF('BP1'!B23&gt;0,'BP1'!B23,"")</f>
        <v/>
      </c>
      <c r="C23" s="843"/>
      <c r="D23" s="843"/>
      <c r="E23" s="843"/>
      <c r="F23" s="844"/>
      <c r="G23" s="227" t="str">
        <f>IF('BP1'!G23&gt;0,'BP1'!G23,"")</f>
        <v/>
      </c>
      <c r="H23" s="198">
        <f>'BP1'!H23+'BP2'!H23+'BP3'!H23+'BP4'!H23+'BP5'!H23</f>
        <v>0</v>
      </c>
      <c r="I23" s="198">
        <f>'BP1'!I23+'BP2'!I23+'BP3'!I23+'BP4'!I23+'BP5'!I23</f>
        <v>0</v>
      </c>
      <c r="J23" s="198">
        <f>'BP1'!J23+'BP2'!J23+'BP3'!J23+'BP4'!J23+'BP5'!J23</f>
        <v>0</v>
      </c>
      <c r="K23" s="140">
        <f ca="1">'BP1'!K23+'BP2'!K23+'BP3'!K23+'BP4'!K23+'BP5'!K23</f>
        <v>0</v>
      </c>
      <c r="L23" s="139">
        <f ca="1">'BP1'!L23+'BP2'!L23+'BP3'!L23+'BP4'!L23+'BP5'!L23</f>
        <v>0</v>
      </c>
      <c r="M23" s="232">
        <f>'BP1'!M23+'BP2'!M23+'BP3'!M23+'BP4'!M23+'BP5'!M23</f>
        <v>0</v>
      </c>
      <c r="N23" s="138">
        <f ca="1">'BP1'!N23+'BP2'!N23+'BP3'!N23+'BP4'!N23+'BP5'!N23</f>
        <v>0</v>
      </c>
      <c r="O23" s="139">
        <f ca="1">'BP1'!O23+'BP2'!O23+'BP3'!O23+'BP4'!O23+'BP5'!O23</f>
        <v>0</v>
      </c>
      <c r="P23" s="596">
        <f>'BP1'!T23+'BP2'!Q23+'BP3'!Q23+'BP4'!Q23+'BP5'!Q23</f>
        <v>0</v>
      </c>
      <c r="Q23" s="325"/>
      <c r="R23" s="115" t="s">
        <v>481</v>
      </c>
    </row>
    <row r="24" spans="1:18" s="7" customFormat="1" ht="14.25" customHeight="1">
      <c r="A24" s="182">
        <v>10</v>
      </c>
      <c r="B24" s="842" t="str">
        <f>IF('BP1'!B24&gt;0,'BP1'!B24,"")</f>
        <v/>
      </c>
      <c r="C24" s="843"/>
      <c r="D24" s="843"/>
      <c r="E24" s="843"/>
      <c r="F24" s="844"/>
      <c r="G24" s="227" t="str">
        <f>IF('BP1'!G24&gt;0,'BP1'!G24,"")</f>
        <v/>
      </c>
      <c r="H24" s="198">
        <f>'BP1'!H24+'BP2'!H24+'BP3'!H24+'BP4'!H24+'BP5'!H24</f>
        <v>0</v>
      </c>
      <c r="I24" s="198">
        <f>'BP1'!I24+'BP2'!I24+'BP3'!I24+'BP4'!I24+'BP5'!I24</f>
        <v>0</v>
      </c>
      <c r="J24" s="198">
        <f>'BP1'!J24+'BP2'!J24+'BP3'!J24+'BP4'!J24+'BP5'!J24</f>
        <v>0</v>
      </c>
      <c r="K24" s="140">
        <f ca="1">'BP1'!K24+'BP2'!K24+'BP3'!K24+'BP4'!K24+'BP5'!K24</f>
        <v>0</v>
      </c>
      <c r="L24" s="139">
        <f ca="1">'BP1'!L24+'BP2'!L24+'BP3'!L24+'BP4'!L24+'BP5'!L24</f>
        <v>0</v>
      </c>
      <c r="M24" s="232">
        <f>'BP1'!M24+'BP2'!M24+'BP3'!M24+'BP4'!M24+'BP5'!M24</f>
        <v>0</v>
      </c>
      <c r="N24" s="138">
        <f ca="1">'BP1'!N24+'BP2'!N24+'BP3'!N24+'BP4'!N24+'BP5'!N24</f>
        <v>0</v>
      </c>
      <c r="O24" s="139">
        <f ca="1">'BP1'!O24+'BP2'!O24+'BP3'!O24+'BP4'!O24+'BP5'!O24</f>
        <v>0</v>
      </c>
      <c r="P24" s="596">
        <f>'BP1'!T24+'BP2'!Q24+'BP3'!Q24+'BP4'!Q24+'BP5'!Q24</f>
        <v>0</v>
      </c>
      <c r="Q24" s="325"/>
      <c r="R24" s="115" t="s">
        <v>481</v>
      </c>
    </row>
    <row r="25" spans="1:18" s="7" customFormat="1" ht="14.25" customHeight="1">
      <c r="A25" s="182">
        <v>11</v>
      </c>
      <c r="B25" s="842" t="str">
        <f>IF('BP1'!B25&gt;0,'BP1'!B25,"")</f>
        <v/>
      </c>
      <c r="C25" s="843"/>
      <c r="D25" s="843"/>
      <c r="E25" s="843"/>
      <c r="F25" s="844"/>
      <c r="G25" s="227" t="str">
        <f>IF('BP1'!G25&gt;0,'BP1'!G25,"")</f>
        <v/>
      </c>
      <c r="H25" s="198">
        <f>'BP1'!H25+'BP2'!H25+'BP3'!H25+'BP4'!H25+'BP5'!H25</f>
        <v>0</v>
      </c>
      <c r="I25" s="198">
        <f>'BP1'!I25+'BP2'!I25+'BP3'!I25+'BP4'!I25+'BP5'!I25</f>
        <v>0</v>
      </c>
      <c r="J25" s="198">
        <f>'BP1'!J25+'BP2'!J25+'BP3'!J25+'BP4'!J25+'BP5'!J25</f>
        <v>0</v>
      </c>
      <c r="K25" s="140">
        <f ca="1">'BP1'!K25+'BP2'!K25+'BP3'!K25+'BP4'!K25+'BP5'!K25</f>
        <v>0</v>
      </c>
      <c r="L25" s="139">
        <f ca="1">'BP1'!L25+'BP2'!L25+'BP3'!L25+'BP4'!L25+'BP5'!L25</f>
        <v>0</v>
      </c>
      <c r="M25" s="232">
        <f>'BP1'!M25+'BP2'!M25+'BP3'!M25+'BP4'!M25+'BP5'!M25</f>
        <v>0</v>
      </c>
      <c r="N25" s="138">
        <f ca="1">'BP1'!N25+'BP2'!N25+'BP3'!N25+'BP4'!N25+'BP5'!N25</f>
        <v>0</v>
      </c>
      <c r="O25" s="139">
        <f ca="1">'BP1'!O25+'BP2'!O25+'BP3'!O25+'BP4'!O25+'BP5'!O25</f>
        <v>0</v>
      </c>
      <c r="P25" s="596">
        <f>'BP1'!T25+'BP2'!Q25+'BP3'!Q25+'BP4'!Q25+'BP5'!Q25</f>
        <v>0</v>
      </c>
      <c r="Q25" s="325"/>
      <c r="R25" s="115" t="s">
        <v>482</v>
      </c>
    </row>
    <row r="26" spans="1:18" s="7" customFormat="1" ht="14.25" customHeight="1">
      <c r="A26" s="182">
        <v>12</v>
      </c>
      <c r="B26" s="842" t="str">
        <f>IF('BP1'!B26&gt;0,'BP1'!B26,"")</f>
        <v/>
      </c>
      <c r="C26" s="843"/>
      <c r="D26" s="843"/>
      <c r="E26" s="843"/>
      <c r="F26" s="844"/>
      <c r="G26" s="227" t="str">
        <f>IF('BP1'!G26&gt;0,'BP1'!G26,"")</f>
        <v/>
      </c>
      <c r="H26" s="198">
        <f>'BP1'!H26+'BP2'!H26+'BP3'!H26+'BP4'!H26+'BP5'!H26</f>
        <v>0</v>
      </c>
      <c r="I26" s="198">
        <f>'BP1'!I26+'BP2'!I26+'BP3'!I26+'BP4'!I26+'BP5'!I26</f>
        <v>0</v>
      </c>
      <c r="J26" s="198">
        <f>'BP1'!J26+'BP2'!J26+'BP3'!J26+'BP4'!J26+'BP5'!J26</f>
        <v>0</v>
      </c>
      <c r="K26" s="140">
        <f ca="1">'BP1'!K26+'BP2'!K26+'BP3'!K26+'BP4'!K26+'BP5'!K26</f>
        <v>0</v>
      </c>
      <c r="L26" s="139">
        <f ca="1">'BP1'!L26+'BP2'!L26+'BP3'!L26+'BP4'!L26+'BP5'!L26</f>
        <v>0</v>
      </c>
      <c r="M26" s="232">
        <f>'BP1'!M26+'BP2'!M26+'BP3'!M26+'BP4'!M26+'BP5'!M26</f>
        <v>0</v>
      </c>
      <c r="N26" s="138">
        <f ca="1">'BP1'!N26+'BP2'!N26+'BP3'!N26+'BP4'!N26+'BP5'!N26</f>
        <v>0</v>
      </c>
      <c r="O26" s="139">
        <f ca="1">'BP1'!O26+'BP2'!O26+'BP3'!O26+'BP4'!O26+'BP5'!O26</f>
        <v>0</v>
      </c>
      <c r="P26" s="596">
        <f>'BP1'!T26+'BP2'!Q26+'BP3'!Q26+'BP4'!Q26+'BP5'!Q26</f>
        <v>0</v>
      </c>
      <c r="Q26" s="325"/>
      <c r="R26" s="115" t="s">
        <v>482</v>
      </c>
    </row>
    <row r="27" spans="1:18" s="7" customFormat="1" ht="14.25" customHeight="1">
      <c r="A27" s="182">
        <v>13</v>
      </c>
      <c r="B27" s="842" t="str">
        <f>IF('BP1'!B27&gt;0,'BP1'!B27,"")</f>
        <v/>
      </c>
      <c r="C27" s="843"/>
      <c r="D27" s="843"/>
      <c r="E27" s="843"/>
      <c r="F27" s="844"/>
      <c r="G27" s="227" t="str">
        <f>IF('BP1'!G27&gt;0,'BP1'!G27,"")</f>
        <v/>
      </c>
      <c r="H27" s="198">
        <f>'BP1'!H27+'BP2'!H27+'BP3'!H27+'BP4'!H27+'BP5'!H27</f>
        <v>0</v>
      </c>
      <c r="I27" s="198">
        <f>'BP1'!I27+'BP2'!I27+'BP3'!I27+'BP4'!I27+'BP5'!I27</f>
        <v>0</v>
      </c>
      <c r="J27" s="198">
        <f>'BP1'!J27+'BP2'!J27+'BP3'!J27+'BP4'!J27+'BP5'!J27</f>
        <v>0</v>
      </c>
      <c r="K27" s="140">
        <f ca="1">'BP1'!K27+'BP2'!K27+'BP3'!K27+'BP4'!K27+'BP5'!K27</f>
        <v>0</v>
      </c>
      <c r="L27" s="139">
        <f ca="1">'BP1'!L27+'BP2'!L27+'BP3'!L27+'BP4'!L27+'BP5'!L27</f>
        <v>0</v>
      </c>
      <c r="M27" s="232">
        <f>'BP1'!M27+'BP2'!M27+'BP3'!M27+'BP4'!M27+'BP5'!M27</f>
        <v>0</v>
      </c>
      <c r="N27" s="138">
        <f ca="1">'BP1'!N27+'BP2'!N27+'BP3'!N27+'BP4'!N27+'BP5'!N27</f>
        <v>0</v>
      </c>
      <c r="O27" s="139">
        <f ca="1">'BP1'!O27+'BP2'!O27+'BP3'!O27+'BP4'!O27+'BP5'!O27</f>
        <v>0</v>
      </c>
      <c r="P27" s="596">
        <f>'BP1'!T27+'BP2'!Q27+'BP3'!Q27+'BP4'!Q27+'BP5'!Q27</f>
        <v>0</v>
      </c>
      <c r="Q27" s="325"/>
      <c r="R27" s="115" t="s">
        <v>482</v>
      </c>
    </row>
    <row r="28" spans="1:18" s="7" customFormat="1" ht="14.25" customHeight="1">
      <c r="A28" s="182">
        <v>14</v>
      </c>
      <c r="B28" s="842" t="str">
        <f>IF('BP1'!B28&gt;0,'BP1'!B28,"")</f>
        <v/>
      </c>
      <c r="C28" s="843"/>
      <c r="D28" s="843"/>
      <c r="E28" s="843"/>
      <c r="F28" s="844"/>
      <c r="G28" s="227" t="str">
        <f>IF('BP1'!G28&gt;0,'BP1'!G28,"")</f>
        <v/>
      </c>
      <c r="H28" s="198">
        <f>'BP1'!H28+'BP2'!H28+'BP3'!H28+'BP4'!H28+'BP5'!H28</f>
        <v>0</v>
      </c>
      <c r="I28" s="198">
        <f>'BP1'!I28+'BP2'!I28+'BP3'!I28+'BP4'!I28+'BP5'!I28</f>
        <v>0</v>
      </c>
      <c r="J28" s="198">
        <f>'BP1'!J28+'BP2'!J28+'BP3'!J28+'BP4'!J28+'BP5'!J28</f>
        <v>0</v>
      </c>
      <c r="K28" s="140">
        <f ca="1">'BP1'!K28+'BP2'!K28+'BP3'!K28+'BP4'!K28+'BP5'!K28</f>
        <v>0</v>
      </c>
      <c r="L28" s="139">
        <f ca="1">'BP1'!L28+'BP2'!L28+'BP3'!L28+'BP4'!L28+'BP5'!L28</f>
        <v>0</v>
      </c>
      <c r="M28" s="232">
        <f>'BP1'!M28+'BP2'!M28+'BP3'!M28+'BP4'!M28+'BP5'!M28</f>
        <v>0</v>
      </c>
      <c r="N28" s="138">
        <f ca="1">'BP1'!N28+'BP2'!N28+'BP3'!N28+'BP4'!N28+'BP5'!N28</f>
        <v>0</v>
      </c>
      <c r="O28" s="139">
        <f ca="1">'BP1'!O28+'BP2'!O28+'BP3'!O28+'BP4'!O28+'BP5'!O28</f>
        <v>0</v>
      </c>
      <c r="P28" s="596">
        <f>'BP1'!T28+'BP2'!Q28+'BP3'!Q28+'BP4'!Q28+'BP5'!Q28</f>
        <v>0</v>
      </c>
      <c r="Q28" s="325"/>
      <c r="R28" s="115" t="s">
        <v>482</v>
      </c>
    </row>
    <row r="29" spans="1:18" s="7" customFormat="1" ht="14.25" customHeight="1">
      <c r="A29" s="182">
        <v>15</v>
      </c>
      <c r="B29" s="842" t="str">
        <f>IF('BP1'!B29&gt;0,'BP1'!B29,"")</f>
        <v/>
      </c>
      <c r="C29" s="843"/>
      <c r="D29" s="843"/>
      <c r="E29" s="843"/>
      <c r="F29" s="844"/>
      <c r="G29" s="227" t="str">
        <f>IF('BP1'!G29&gt;0,'BP1'!G29,"")</f>
        <v/>
      </c>
      <c r="H29" s="198">
        <f>'BP1'!H29+'BP2'!H29+'BP3'!H29+'BP4'!H29+'BP5'!H29</f>
        <v>0</v>
      </c>
      <c r="I29" s="198">
        <f>'BP1'!I29+'BP2'!I29+'BP3'!I29+'BP4'!I29+'BP5'!I29</f>
        <v>0</v>
      </c>
      <c r="J29" s="198">
        <f>'BP1'!J29+'BP2'!J29+'BP3'!J29+'BP4'!J29+'BP5'!J29</f>
        <v>0</v>
      </c>
      <c r="K29" s="140">
        <f ca="1">'BP1'!K29+'BP2'!K29+'BP3'!K29+'BP4'!K29+'BP5'!K29</f>
        <v>0</v>
      </c>
      <c r="L29" s="139">
        <f ca="1">'BP1'!L29+'BP2'!L29+'BP3'!L29+'BP4'!L29+'BP5'!L29</f>
        <v>0</v>
      </c>
      <c r="M29" s="232">
        <f>'BP1'!M29+'BP2'!M29+'BP3'!M29+'BP4'!M29+'BP5'!M29</f>
        <v>0</v>
      </c>
      <c r="N29" s="138">
        <f ca="1">'BP1'!N29+'BP2'!N29+'BP3'!N29+'BP4'!N29+'BP5'!N29</f>
        <v>0</v>
      </c>
      <c r="O29" s="139">
        <f ca="1">'BP1'!O29+'BP2'!O29+'BP3'!O29+'BP4'!O29+'BP5'!O29</f>
        <v>0</v>
      </c>
      <c r="P29" s="596">
        <f>'BP1'!T29+'BP2'!Q29+'BP3'!Q29+'BP4'!Q29+'BP5'!Q29</f>
        <v>0</v>
      </c>
      <c r="Q29" s="325"/>
      <c r="R29" s="115" t="s">
        <v>482</v>
      </c>
    </row>
    <row r="30" spans="1:18" s="7" customFormat="1" ht="14.25" customHeight="1">
      <c r="A30" s="605" t="s">
        <v>199</v>
      </c>
      <c r="B30" s="606"/>
      <c r="C30" s="606"/>
      <c r="D30" s="606"/>
      <c r="E30" s="606"/>
      <c r="F30" s="607"/>
      <c r="G30" s="17"/>
      <c r="H30" s="198">
        <f t="shared" ref="H30:P30" si="0">SUM(H15:H29)</f>
        <v>0</v>
      </c>
      <c r="I30" s="198">
        <f t="shared" si="0"/>
        <v>0</v>
      </c>
      <c r="J30" s="198">
        <f t="shared" si="0"/>
        <v>0</v>
      </c>
      <c r="K30" s="140">
        <f t="shared" ca="1" si="0"/>
        <v>0</v>
      </c>
      <c r="L30" s="140">
        <f t="shared" ca="1" si="0"/>
        <v>0</v>
      </c>
      <c r="M30" s="233">
        <f t="shared" si="0"/>
        <v>0</v>
      </c>
      <c r="N30" s="140">
        <f t="shared" ca="1" si="0"/>
        <v>0</v>
      </c>
      <c r="O30" s="139">
        <f ca="1">SUM(O15:O29)</f>
        <v>0</v>
      </c>
      <c r="P30" s="139">
        <f t="shared" si="0"/>
        <v>0</v>
      </c>
      <c r="Q30" s="325"/>
      <c r="R30" s="115" t="s">
        <v>215</v>
      </c>
    </row>
    <row r="31" spans="1:18" s="7" customFormat="1" ht="14.25" customHeight="1">
      <c r="A31" s="183" t="s">
        <v>200</v>
      </c>
      <c r="B31" s="263"/>
      <c r="C31" s="263"/>
      <c r="D31" s="264"/>
      <c r="E31" s="180"/>
      <c r="F31" s="180"/>
      <c r="G31" s="18"/>
      <c r="H31" s="15"/>
      <c r="I31" s="16"/>
      <c r="J31" s="16"/>
      <c r="K31" s="55"/>
      <c r="L31" s="56"/>
      <c r="M31" s="230"/>
      <c r="N31" s="26"/>
      <c r="O31" s="27"/>
      <c r="P31" s="60"/>
      <c r="Q31" s="60"/>
      <c r="R31" s="115" t="s">
        <v>215</v>
      </c>
    </row>
    <row r="32" spans="1:18" s="7" customFormat="1" ht="14.25" customHeight="1">
      <c r="A32" s="183" t="s">
        <v>3</v>
      </c>
      <c r="B32" s="226">
        <f>'BP1'!B32+'BP2'!B32+'BP3'!B32+'BP4'!B32+'BP5'!B32</f>
        <v>0</v>
      </c>
      <c r="C32" s="178" t="s">
        <v>453</v>
      </c>
      <c r="D32" s="180" t="str">
        <f>"Postdoctoral Scholar"&amp;IF(B32&gt;0,"s",)</f>
        <v>Postdoctoral Scholar</v>
      </c>
      <c r="E32" s="180"/>
      <c r="F32" s="180"/>
      <c r="G32" s="201" t="s">
        <v>461</v>
      </c>
      <c r="H32" s="198">
        <f>'BP1'!H32+'BP2'!H32+'BP3'!H32+'BP4'!H32+'BP5'!H32</f>
        <v>0</v>
      </c>
      <c r="I32" s="197"/>
      <c r="J32" s="197"/>
      <c r="K32" s="140">
        <f ca="1">'BP1'!K32+'BP2'!K32+'BP3'!K32+'BP4'!K32+'BP5'!K32</f>
        <v>0</v>
      </c>
      <c r="L32" s="139">
        <f>'BP1'!L32+'BP2'!L32+'BP3'!L32+'BP4'!L32+'BP5'!L32</f>
        <v>0</v>
      </c>
      <c r="M32" s="232">
        <f>'BP1'!M32+'BP2'!M32+'BP3'!M32+'BP4'!M32+'BP5'!M32</f>
        <v>0</v>
      </c>
      <c r="N32" s="138">
        <f ca="1">'BP1'!N32+'BP2'!N32+'BP3'!N32+'BP4'!N32+'BP5'!N32</f>
        <v>0</v>
      </c>
      <c r="O32" s="139">
        <f ca="1">'BP1'!O32+'BP2'!O32+'BP3'!O32+'BP4'!O32+'BP5'!O32</f>
        <v>0</v>
      </c>
      <c r="P32" s="325"/>
      <c r="Q32" s="325"/>
      <c r="R32" s="115" t="s">
        <v>215</v>
      </c>
    </row>
    <row r="33" spans="1:18" s="7" customFormat="1" ht="14.25" customHeight="1">
      <c r="A33" s="183" t="s">
        <v>484</v>
      </c>
      <c r="B33" s="226">
        <f>'BP1'!B33+'BP2'!B33+'BP3'!B33+'BP4'!B33+'BP5'!B33</f>
        <v>0</v>
      </c>
      <c r="C33" s="178" t="s">
        <v>453</v>
      </c>
      <c r="D33" s="180" t="str">
        <f>'BP1'!D33</f>
        <v>Other Professional</v>
      </c>
      <c r="E33" s="180"/>
      <c r="F33" s="180"/>
      <c r="G33" s="202" t="s">
        <v>461</v>
      </c>
      <c r="H33" s="198">
        <f>'BP1'!H33+'BP2'!H33+'BP3'!H33+'BP4'!H33+'BP5'!H33</f>
        <v>0</v>
      </c>
      <c r="I33" s="197"/>
      <c r="J33" s="197"/>
      <c r="K33" s="140">
        <f ca="1">'BP1'!K33+'BP2'!K33+'BP3'!K33+'BP4'!K33+'BP5'!K33</f>
        <v>0</v>
      </c>
      <c r="L33" s="139">
        <f>'BP1'!L33+'BP2'!L33+'BP3'!L33+'BP4'!L33+'BP5'!L33</f>
        <v>0</v>
      </c>
      <c r="M33" s="232">
        <f>'BP1'!M33+'BP2'!M33+'BP3'!M33+'BP4'!M33+'BP5'!M33</f>
        <v>0</v>
      </c>
      <c r="N33" s="138">
        <f ca="1">'BP1'!N33+'BP2'!N33+'BP3'!N33+'BP4'!N33+'BP5'!N33</f>
        <v>0</v>
      </c>
      <c r="O33" s="139">
        <f ca="1">'BP1'!O33+'BP2'!O33+'BP3'!O33+'BP4'!O33+'BP5'!O33</f>
        <v>0</v>
      </c>
      <c r="P33" s="325"/>
      <c r="Q33" s="325"/>
      <c r="R33" s="115" t="s">
        <v>215</v>
      </c>
    </row>
    <row r="34" spans="1:18" s="7" customFormat="1" ht="14.25" customHeight="1">
      <c r="A34" s="183" t="s">
        <v>485</v>
      </c>
      <c r="B34" s="226">
        <f>'BP1'!B34+'BP2'!B34+'BP3'!B34+'BP4'!B34+'BP5'!B34</f>
        <v>0</v>
      </c>
      <c r="C34" s="178" t="s">
        <v>453</v>
      </c>
      <c r="D34" s="180" t="str">
        <f>'BP1'!D34</f>
        <v>Other Professional</v>
      </c>
      <c r="E34" s="180"/>
      <c r="F34" s="180"/>
      <c r="G34" s="202" t="s">
        <v>461</v>
      </c>
      <c r="H34" s="198">
        <f>'BP1'!H34+'BP2'!H34+'BP3'!H34+'BP4'!H34+'BP5'!H34</f>
        <v>0</v>
      </c>
      <c r="I34" s="197"/>
      <c r="J34" s="197"/>
      <c r="K34" s="140">
        <f ca="1">'BP1'!K34+'BP2'!K34+'BP3'!K34+'BP4'!K34+'BP5'!K34</f>
        <v>0</v>
      </c>
      <c r="L34" s="139">
        <f>'BP1'!L34+'BP2'!L34+'BP3'!L34+'BP4'!L34+'BP5'!L34</f>
        <v>0</v>
      </c>
      <c r="M34" s="232">
        <f>'BP1'!M34+'BP2'!M34+'BP3'!M34+'BP4'!M34+'BP5'!M34</f>
        <v>0</v>
      </c>
      <c r="N34" s="138">
        <f ca="1">'BP1'!N34+'BP2'!N34+'BP3'!N34+'BP4'!N34+'BP5'!N34</f>
        <v>0</v>
      </c>
      <c r="O34" s="139">
        <f ca="1">'BP1'!O34+'BP2'!O34+'BP3'!O34+'BP4'!O34+'BP5'!O34</f>
        <v>0</v>
      </c>
      <c r="P34" s="325"/>
      <c r="Q34" s="325"/>
      <c r="R34" s="115" t="s">
        <v>489</v>
      </c>
    </row>
    <row r="35" spans="1:18" s="7" customFormat="1" ht="14.25" customHeight="1">
      <c r="A35" s="183" t="s">
        <v>486</v>
      </c>
      <c r="B35" s="226">
        <f>'BP1'!B35+'BP2'!B35+'BP3'!B35+'BP4'!B35+'BP5'!B35</f>
        <v>0</v>
      </c>
      <c r="C35" s="178" t="s">
        <v>453</v>
      </c>
      <c r="D35" s="180" t="str">
        <f>'BP1'!D35</f>
        <v>Other Professional</v>
      </c>
      <c r="E35" s="180"/>
      <c r="F35" s="180"/>
      <c r="G35" s="202" t="s">
        <v>461</v>
      </c>
      <c r="H35" s="198">
        <f>'BP1'!H35+'BP2'!H35+'BP3'!H35+'BP4'!H35+'BP5'!H35</f>
        <v>0</v>
      </c>
      <c r="I35" s="197"/>
      <c r="J35" s="197"/>
      <c r="K35" s="140">
        <f ca="1">'BP1'!K35+'BP2'!K35+'BP3'!K35+'BP4'!K35+'BP5'!K35</f>
        <v>0</v>
      </c>
      <c r="L35" s="139">
        <f>'BP1'!L35+'BP2'!L35+'BP3'!L35+'BP4'!L35+'BP5'!L35</f>
        <v>0</v>
      </c>
      <c r="M35" s="232">
        <f>'BP1'!M35+'BP2'!M35+'BP3'!M35+'BP4'!M35+'BP5'!M35</f>
        <v>0</v>
      </c>
      <c r="N35" s="138">
        <f ca="1">'BP1'!N35+'BP2'!N35+'BP3'!N35+'BP4'!N35+'BP5'!N35</f>
        <v>0</v>
      </c>
      <c r="O35" s="139">
        <f ca="1">'BP1'!O35+'BP2'!O35+'BP3'!O35+'BP4'!O35+'BP5'!O35</f>
        <v>0</v>
      </c>
      <c r="P35" s="325"/>
      <c r="Q35" s="325"/>
      <c r="R35" s="115" t="s">
        <v>489</v>
      </c>
    </row>
    <row r="36" spans="1:18" s="7" customFormat="1" ht="14.25" customHeight="1">
      <c r="A36" s="183" t="s">
        <v>487</v>
      </c>
      <c r="B36" s="226">
        <f>'BP1'!B36+'BP2'!B36+'BP3'!B36+'BP4'!B36+'BP5'!B36</f>
        <v>0</v>
      </c>
      <c r="C36" s="178" t="s">
        <v>453</v>
      </c>
      <c r="D36" s="180" t="str">
        <f>'BP1'!D36</f>
        <v>Other Professional</v>
      </c>
      <c r="E36" s="180"/>
      <c r="F36" s="180"/>
      <c r="G36" s="202" t="s">
        <v>461</v>
      </c>
      <c r="H36" s="198">
        <f>'BP1'!H36+'BP2'!H36+'BP3'!H36+'BP4'!H36+'BP5'!H36</f>
        <v>0</v>
      </c>
      <c r="I36" s="197"/>
      <c r="J36" s="197"/>
      <c r="K36" s="140">
        <f ca="1">'BP1'!K36+'BP2'!K36+'BP3'!K36+'BP4'!K36+'BP5'!K36</f>
        <v>0</v>
      </c>
      <c r="L36" s="139">
        <f>'BP1'!L36+'BP2'!L36+'BP3'!L36+'BP4'!L36+'BP5'!L36</f>
        <v>0</v>
      </c>
      <c r="M36" s="232">
        <f>'BP1'!M36+'BP2'!M36+'BP3'!M36+'BP4'!M36+'BP5'!M36</f>
        <v>0</v>
      </c>
      <c r="N36" s="138">
        <f ca="1">'BP1'!N36+'BP2'!N36+'BP3'!N36+'BP4'!N36+'BP5'!N36</f>
        <v>0</v>
      </c>
      <c r="O36" s="139">
        <f ca="1">'BP1'!O36+'BP2'!O36+'BP3'!O36+'BP4'!O36+'BP5'!O36</f>
        <v>0</v>
      </c>
      <c r="P36" s="325"/>
      <c r="Q36" s="325"/>
      <c r="R36" s="115" t="s">
        <v>489</v>
      </c>
    </row>
    <row r="37" spans="1:18" s="7" customFormat="1" ht="14.25" customHeight="1">
      <c r="A37" s="183" t="s">
        <v>488</v>
      </c>
      <c r="B37" s="226">
        <f>'BP1'!B37+'BP2'!B37+'BP3'!B37+'BP4'!B37+'BP5'!B37</f>
        <v>0</v>
      </c>
      <c r="C37" s="178" t="s">
        <v>453</v>
      </c>
      <c r="D37" s="180" t="str">
        <f>'BP1'!D37</f>
        <v>Other Professional</v>
      </c>
      <c r="E37" s="180"/>
      <c r="F37" s="180"/>
      <c r="G37" s="202" t="s">
        <v>461</v>
      </c>
      <c r="H37" s="198">
        <f>'BP1'!H37+'BP2'!H37+'BP3'!H37+'BP4'!H37+'BP5'!H37</f>
        <v>0</v>
      </c>
      <c r="I37" s="197"/>
      <c r="J37" s="197"/>
      <c r="K37" s="140">
        <f ca="1">'BP1'!K37+'BP2'!K37+'BP3'!K37+'BP4'!K37+'BP5'!K37</f>
        <v>0</v>
      </c>
      <c r="L37" s="139">
        <f>'BP1'!L37+'BP2'!L37+'BP3'!L37+'BP4'!L37+'BP5'!L37</f>
        <v>0</v>
      </c>
      <c r="M37" s="232">
        <f>'BP1'!M37+'BP2'!M37+'BP3'!M37+'BP4'!M37+'BP5'!M37</f>
        <v>0</v>
      </c>
      <c r="N37" s="138">
        <f ca="1">'BP1'!N37+'BP2'!N37+'BP3'!N37+'BP4'!N37+'BP5'!N37</f>
        <v>0</v>
      </c>
      <c r="O37" s="139">
        <f ca="1">'BP1'!O37+'BP2'!O37+'BP3'!O37+'BP4'!O37+'BP5'!O37</f>
        <v>0</v>
      </c>
      <c r="P37" s="325"/>
      <c r="Q37" s="325"/>
      <c r="R37" s="115" t="s">
        <v>489</v>
      </c>
    </row>
    <row r="38" spans="1:18" s="7" customFormat="1" ht="14.25" customHeight="1">
      <c r="A38" s="183" t="s">
        <v>4</v>
      </c>
      <c r="B38" s="226">
        <f>'BP1'!B38+'BP2'!B38+'BP3'!B38+'BP4'!B38+'BP5'!B38</f>
        <v>0</v>
      </c>
      <c r="C38" s="178" t="s">
        <v>453</v>
      </c>
      <c r="D38" s="180" t="str">
        <f>"Graduate Student"&amp;IF(B38&gt;0,"s",)</f>
        <v>Graduate Student</v>
      </c>
      <c r="E38" s="180"/>
      <c r="F38" s="180"/>
      <c r="G38" s="202" t="s">
        <v>461</v>
      </c>
      <c r="H38" s="198">
        <f>'BP1'!H38+'BP2'!H38+'BP3'!H38+'BP4'!H38+'BP5'!H38</f>
        <v>0</v>
      </c>
      <c r="I38" s="197"/>
      <c r="J38" s="197"/>
      <c r="K38" s="140">
        <f ca="1">'BP1'!K38+'BP2'!K38+'BP3'!K38+'BP4'!K38+'BP5'!K38</f>
        <v>0</v>
      </c>
      <c r="L38" s="139">
        <f ca="1">'BP1'!L38+'BP2'!L38+'BP3'!L38+'BP4'!L38+'BP5'!L38</f>
        <v>0</v>
      </c>
      <c r="M38" s="232">
        <f>'BP1'!M38+'BP2'!M38+'BP3'!M38+'BP4'!M38+'BP5'!M38</f>
        <v>0</v>
      </c>
      <c r="N38" s="138">
        <f ca="1">'BP1'!N38+'BP2'!N38+'BP3'!N38+'BP4'!N38+'BP5'!N38</f>
        <v>0</v>
      </c>
      <c r="O38" s="139">
        <f ca="1">'BP1'!O38+'BP2'!O38+'BP3'!O38+'BP4'!O38+'BP5'!O38</f>
        <v>0</v>
      </c>
      <c r="P38" s="325"/>
      <c r="Q38" s="325"/>
      <c r="R38" s="115" t="s">
        <v>215</v>
      </c>
    </row>
    <row r="39" spans="1:18" s="7" customFormat="1" ht="14.25" customHeight="1">
      <c r="A39" s="183" t="s">
        <v>5</v>
      </c>
      <c r="B39" s="226">
        <f>'BP1'!B39+'BP2'!B39+'BP3'!B39+'BP4'!B39+'BP5'!B39</f>
        <v>0</v>
      </c>
      <c r="C39" s="178" t="s">
        <v>453</v>
      </c>
      <c r="D39" s="180" t="str">
        <f>"Undergraduate Student"&amp;IF(B39&gt;0,"s",)</f>
        <v>Undergraduate Student</v>
      </c>
      <c r="E39" s="180"/>
      <c r="F39" s="180"/>
      <c r="G39" s="202" t="s">
        <v>461</v>
      </c>
      <c r="H39" s="198">
        <f>'BP1'!H39+'BP2'!H39+'BP3'!H39+'BP4'!H39+'BP5'!H39</f>
        <v>0</v>
      </c>
      <c r="I39" s="197"/>
      <c r="J39" s="197"/>
      <c r="K39" s="140">
        <f ca="1">'BP1'!K39+'BP2'!K39+'BP3'!K39+'BP4'!K39+'BP5'!K39</f>
        <v>0</v>
      </c>
      <c r="L39" s="197"/>
      <c r="M39" s="232">
        <f>'BP1'!M39+'BP2'!M39+'BP3'!M39+'BP4'!M39+'BP5'!M39</f>
        <v>0</v>
      </c>
      <c r="N39" s="138">
        <f ca="1">'BP1'!N39+'BP2'!N39+'BP3'!N39+'BP4'!N39+'BP5'!N39</f>
        <v>0</v>
      </c>
      <c r="O39" s="139">
        <f>'BP1'!O39+'BP2'!O39+'BP3'!O39+'BP4'!O39+'BP5'!O39</f>
        <v>0</v>
      </c>
      <c r="P39" s="325"/>
      <c r="Q39" s="325"/>
      <c r="R39" s="115" t="s">
        <v>215</v>
      </c>
    </row>
    <row r="40" spans="1:18" s="7" customFormat="1" ht="14.25" customHeight="1" thickBot="1">
      <c r="A40" s="183" t="s">
        <v>6</v>
      </c>
      <c r="B40" s="226">
        <f>'BP1'!B40+'BP2'!B40+'BP3'!B40+'BP4'!B40+'BP5'!B40</f>
        <v>0</v>
      </c>
      <c r="C40" s="178" t="s">
        <v>453</v>
      </c>
      <c r="D40" s="180" t="str">
        <f>"Other"&amp;IF(B40&gt;0,"s",)&amp;" (Carrying Statutory Benefits)"</f>
        <v>Other (Carrying Statutory Benefits)</v>
      </c>
      <c r="E40" s="180"/>
      <c r="F40" s="180"/>
      <c r="G40" s="202" t="s">
        <v>461</v>
      </c>
      <c r="H40" s="198">
        <f>'BP1'!H40+'BP2'!H40+'BP3'!H40+'BP4'!H40+'BP5'!H40</f>
        <v>0</v>
      </c>
      <c r="I40" s="197"/>
      <c r="J40" s="197"/>
      <c r="K40" s="219">
        <f ca="1">'BP1'!K40+'BP2'!K40+'BP3'!K40+'BP4'!K40+'BP5'!K40</f>
        <v>0</v>
      </c>
      <c r="L40" s="220">
        <f ca="1">'BP1'!L40+'BP2'!L40+'BP3'!L40+'BP4'!L40+'BP5'!L40</f>
        <v>0</v>
      </c>
      <c r="M40" s="232">
        <f>'BP1'!M40+'BP2'!M40+'BP3'!M40+'BP4'!M40+'BP5'!M40</f>
        <v>0</v>
      </c>
      <c r="N40" s="138">
        <f ca="1">'BP1'!N40+'BP2'!N40+'BP3'!N40+'BP4'!N40+'BP5'!N40</f>
        <v>0</v>
      </c>
      <c r="O40" s="139">
        <f ca="1">'BP1'!O40+'BP2'!O40+'BP3'!O40+'BP4'!O40+'BP5'!O40</f>
        <v>0</v>
      </c>
      <c r="P40" s="325"/>
      <c r="Q40" s="325"/>
      <c r="R40" s="115" t="s">
        <v>215</v>
      </c>
    </row>
    <row r="41" spans="1:18" s="7" customFormat="1" ht="14.25" customHeight="1" thickBot="1">
      <c r="A41" s="161"/>
      <c r="B41" s="178" t="s">
        <v>86</v>
      </c>
      <c r="C41" s="162"/>
      <c r="D41" s="156"/>
      <c r="E41" s="156"/>
      <c r="F41" s="156"/>
      <c r="G41" s="156"/>
      <c r="H41" s="163"/>
      <c r="I41" s="164"/>
      <c r="J41" s="162"/>
      <c r="K41" s="697">
        <f ca="1">SUM(K30:K40)</f>
        <v>0</v>
      </c>
      <c r="L41" s="698"/>
      <c r="M41" s="229"/>
      <c r="N41" s="711">
        <f ca="1">SUM(N30:N40)</f>
        <v>0</v>
      </c>
      <c r="O41" s="712"/>
      <c r="P41" s="235"/>
      <c r="Q41" s="235"/>
      <c r="R41" s="115" t="s">
        <v>215</v>
      </c>
    </row>
    <row r="42" spans="1:18" s="7" customFormat="1" ht="14.25" customHeight="1" thickBot="1">
      <c r="A42" s="183" t="s">
        <v>87</v>
      </c>
      <c r="B42" s="162"/>
      <c r="C42" s="162"/>
      <c r="D42" s="154"/>
      <c r="E42" s="154"/>
      <c r="F42" s="165"/>
      <c r="G42" s="166"/>
      <c r="H42" s="167"/>
      <c r="I42" s="164"/>
      <c r="J42" s="162"/>
      <c r="K42" s="697">
        <f ca="1">SUM(L30:L40)</f>
        <v>0</v>
      </c>
      <c r="L42" s="698"/>
      <c r="M42" s="229"/>
      <c r="N42" s="711">
        <f ca="1">SUM(O30:O40)</f>
        <v>0</v>
      </c>
      <c r="O42" s="712"/>
      <c r="P42" s="235"/>
      <c r="Q42" s="235"/>
      <c r="R42" s="115" t="s">
        <v>215</v>
      </c>
    </row>
    <row r="43" spans="1:18" s="7" customFormat="1" ht="14.25" customHeight="1" thickBot="1">
      <c r="A43" s="146"/>
      <c r="B43" s="184" t="s">
        <v>202</v>
      </c>
      <c r="C43" s="147"/>
      <c r="D43" s="148"/>
      <c r="E43" s="148"/>
      <c r="F43" s="148"/>
      <c r="G43" s="148"/>
      <c r="H43" s="147"/>
      <c r="I43" s="147"/>
      <c r="J43" s="147"/>
      <c r="K43" s="697">
        <f ca="1">SUM(K41:K42)</f>
        <v>0</v>
      </c>
      <c r="L43" s="698"/>
      <c r="M43" s="229"/>
      <c r="N43" s="711">
        <f ca="1">SUM(N41:N42)</f>
        <v>0</v>
      </c>
      <c r="O43" s="712"/>
      <c r="P43" s="235"/>
      <c r="Q43" s="235"/>
      <c r="R43" s="115" t="s">
        <v>215</v>
      </c>
    </row>
    <row r="44" spans="1:18" s="7" customFormat="1" ht="14.25" customHeight="1" thickBot="1">
      <c r="A44" s="181" t="s">
        <v>203</v>
      </c>
      <c r="B44" s="267"/>
      <c r="C44" s="267"/>
      <c r="D44" s="268"/>
      <c r="E44" s="143"/>
      <c r="F44" s="143"/>
      <c r="G44" s="143"/>
      <c r="H44" s="142"/>
      <c r="I44" s="157"/>
      <c r="J44" s="142"/>
      <c r="K44" s="49"/>
      <c r="L44" s="50"/>
      <c r="M44" s="229"/>
      <c r="N44" s="28"/>
      <c r="O44" s="29"/>
      <c r="P44" s="385"/>
      <c r="Q44" s="385"/>
      <c r="R44" s="115" t="s">
        <v>215</v>
      </c>
    </row>
    <row r="45" spans="1:18" s="7" customFormat="1" ht="14.25" customHeight="1" thickBot="1">
      <c r="A45" s="181"/>
      <c r="B45" s="610">
        <f>'BP1'!B45</f>
        <v>0</v>
      </c>
      <c r="C45" s="611"/>
      <c r="D45" s="611"/>
      <c r="E45" s="611"/>
      <c r="F45" s="612"/>
      <c r="G45" s="158"/>
      <c r="H45" s="158"/>
      <c r="I45" s="185" t="s">
        <v>156</v>
      </c>
      <c r="J45" s="159"/>
      <c r="K45" s="613">
        <f>'BP1'!K45:L45+'BP2'!K45+'BP3'!K45+'BP4'!K45+'BP5'!K45</f>
        <v>0</v>
      </c>
      <c r="L45" s="703"/>
      <c r="M45" s="229"/>
      <c r="N45" s="613">
        <f>'BP1'!N45:O45+'BP2'!N45+'BP3'!N45+'BP4'!N45+'BP5'!N45</f>
        <v>0</v>
      </c>
      <c r="O45" s="703"/>
      <c r="P45" s="380"/>
      <c r="Q45" s="380"/>
      <c r="R45" s="115" t="s">
        <v>215</v>
      </c>
    </row>
    <row r="46" spans="1:18" s="7" customFormat="1" ht="14.25" customHeight="1" thickBot="1">
      <c r="A46" s="181"/>
      <c r="B46" s="610">
        <f>'BP1'!B46</f>
        <v>0</v>
      </c>
      <c r="C46" s="611"/>
      <c r="D46" s="611"/>
      <c r="E46" s="611"/>
      <c r="F46" s="612"/>
      <c r="G46" s="158"/>
      <c r="H46" s="158"/>
      <c r="I46" s="185" t="s">
        <v>157</v>
      </c>
      <c r="J46" s="159"/>
      <c r="K46" s="613">
        <f>'BP1'!K46:L46+'BP2'!K46+'BP3'!K46+'BP4'!K46+'BP5'!K46</f>
        <v>0</v>
      </c>
      <c r="L46" s="703"/>
      <c r="M46" s="229"/>
      <c r="N46" s="613">
        <f>'BP1'!N46:O46+'BP2'!N46+'BP3'!N46+'BP4'!N46+'BP5'!N46</f>
        <v>0</v>
      </c>
      <c r="O46" s="703"/>
      <c r="P46" s="380"/>
      <c r="Q46" s="380"/>
      <c r="R46" s="115" t="s">
        <v>483</v>
      </c>
    </row>
    <row r="47" spans="1:18" s="7" customFormat="1" ht="14.25" customHeight="1" thickBot="1">
      <c r="A47" s="181"/>
      <c r="B47" s="610">
        <f>'BP1'!B47</f>
        <v>0</v>
      </c>
      <c r="C47" s="611"/>
      <c r="D47" s="611"/>
      <c r="E47" s="611"/>
      <c r="F47" s="612"/>
      <c r="G47" s="158"/>
      <c r="H47" s="158"/>
      <c r="I47" s="185" t="s">
        <v>158</v>
      </c>
      <c r="J47" s="159"/>
      <c r="K47" s="613">
        <f>'BP1'!K47:L47+'BP2'!K47+'BP3'!K47+'BP4'!K47+'BP5'!K47</f>
        <v>0</v>
      </c>
      <c r="L47" s="703"/>
      <c r="M47" s="229"/>
      <c r="N47" s="613">
        <f>'BP1'!N47:O47+'BP2'!N47+'BP3'!N47+'BP4'!N47+'BP5'!N47</f>
        <v>0</v>
      </c>
      <c r="O47" s="703"/>
      <c r="P47" s="380"/>
      <c r="Q47" s="380"/>
      <c r="R47" s="115" t="s">
        <v>483</v>
      </c>
    </row>
    <row r="48" spans="1:18" s="7" customFormat="1" ht="14.25" customHeight="1" thickBot="1">
      <c r="A48" s="181"/>
      <c r="B48" s="610">
        <f>'BP1'!B48</f>
        <v>0</v>
      </c>
      <c r="C48" s="611"/>
      <c r="D48" s="611"/>
      <c r="E48" s="611"/>
      <c r="F48" s="612"/>
      <c r="G48" s="158"/>
      <c r="H48" s="158"/>
      <c r="I48" s="185" t="s">
        <v>159</v>
      </c>
      <c r="J48" s="159"/>
      <c r="K48" s="613">
        <f>'BP1'!K48:L48+'BP2'!K48+'BP3'!K48+'BP4'!K48+'BP5'!K48</f>
        <v>0</v>
      </c>
      <c r="L48" s="703"/>
      <c r="M48" s="229"/>
      <c r="N48" s="613">
        <f>'BP1'!N48:O48+'BP2'!N48+'BP3'!N48+'BP4'!N48+'BP5'!N48</f>
        <v>0</v>
      </c>
      <c r="O48" s="703"/>
      <c r="P48" s="380"/>
      <c r="Q48" s="380"/>
      <c r="R48" s="115" t="s">
        <v>483</v>
      </c>
    </row>
    <row r="49" spans="1:18" s="7" customFormat="1" ht="14.25" customHeight="1" thickBot="1">
      <c r="A49" s="181"/>
      <c r="B49" s="610">
        <f>'BP1'!B49</f>
        <v>0</v>
      </c>
      <c r="C49" s="611"/>
      <c r="D49" s="611"/>
      <c r="E49" s="611"/>
      <c r="F49" s="612"/>
      <c r="G49" s="158"/>
      <c r="H49" s="158"/>
      <c r="I49" s="185" t="s">
        <v>160</v>
      </c>
      <c r="J49" s="159"/>
      <c r="K49" s="613">
        <f>'BP1'!K49:L49+'BP2'!K49+'BP3'!K49+'BP4'!K49+'BP5'!K49</f>
        <v>0</v>
      </c>
      <c r="L49" s="703"/>
      <c r="M49" s="229"/>
      <c r="N49" s="613">
        <f>'BP1'!N49:O49+'BP2'!N49+'BP3'!N49+'BP4'!N49+'BP5'!N49</f>
        <v>0</v>
      </c>
      <c r="O49" s="703"/>
      <c r="P49" s="380"/>
      <c r="Q49" s="380"/>
      <c r="R49" s="115" t="s">
        <v>483</v>
      </c>
    </row>
    <row r="50" spans="1:18" s="7" customFormat="1" ht="14.25" customHeight="1" thickBot="1">
      <c r="A50" s="152"/>
      <c r="B50" s="176" t="s">
        <v>204</v>
      </c>
      <c r="C50" s="153"/>
      <c r="D50" s="145"/>
      <c r="E50" s="145"/>
      <c r="F50" s="145"/>
      <c r="G50" s="145"/>
      <c r="H50" s="145"/>
      <c r="I50" s="145"/>
      <c r="J50" s="145"/>
      <c r="K50" s="697">
        <f>'BP1'!K50:L50+'BP2'!K50+'BP3'!K50+'BP4'!K50+'BP5'!K50</f>
        <v>0</v>
      </c>
      <c r="L50" s="698"/>
      <c r="M50" s="229"/>
      <c r="N50" s="738">
        <f>'BP1'!N50+'BP2'!N50+'BP3'!N50+'BP4'!N50+'BP5'!N50</f>
        <v>0</v>
      </c>
      <c r="O50" s="739">
        <f>'BP1'!O45+'BP2'!O45+'BP3'!O45+'BP4'!O45+'BP5'!O45</f>
        <v>0</v>
      </c>
      <c r="P50" s="380"/>
      <c r="Q50" s="380"/>
      <c r="R50" s="115" t="s">
        <v>215</v>
      </c>
    </row>
    <row r="51" spans="1:18" s="7" customFormat="1" ht="14.25" customHeight="1">
      <c r="A51" s="186" t="s">
        <v>205</v>
      </c>
      <c r="B51" s="184"/>
      <c r="C51" s="184"/>
      <c r="D51" s="187"/>
      <c r="E51" s="187"/>
      <c r="F51" s="188"/>
      <c r="G51" s="366" t="s">
        <v>454</v>
      </c>
      <c r="H51" s="691" t="s">
        <v>88</v>
      </c>
      <c r="I51" s="692"/>
      <c r="J51" s="692"/>
      <c r="K51" s="888">
        <f>'BP1'!K51:L51+'BP2'!K51+'BP3'!K51+'BP4'!K51+'BP5'!K51</f>
        <v>0</v>
      </c>
      <c r="L51" s="889"/>
      <c r="M51" s="229"/>
      <c r="N51" s="881">
        <f>'BP1'!N51+'BP2'!N51+'BP3'!N51+'BP4'!N51+'BP5'!N51</f>
        <v>0</v>
      </c>
      <c r="O51" s="882">
        <f>'BP1'!O46+'BP2'!O46+'BP3'!O46+'BP4'!O46+'BP5'!O46</f>
        <v>0</v>
      </c>
      <c r="P51" s="380"/>
      <c r="Q51" s="380"/>
      <c r="R51" s="115" t="s">
        <v>215</v>
      </c>
    </row>
    <row r="52" spans="1:18" s="7" customFormat="1" ht="14.25" customHeight="1" thickBot="1">
      <c r="A52" s="186"/>
      <c r="B52" s="184"/>
      <c r="C52" s="184"/>
      <c r="D52" s="187"/>
      <c r="E52" s="187"/>
      <c r="F52" s="364"/>
      <c r="G52" s="366" t="s">
        <v>455</v>
      </c>
      <c r="H52" s="691" t="s">
        <v>89</v>
      </c>
      <c r="I52" s="692"/>
      <c r="J52" s="692"/>
      <c r="K52" s="890">
        <f>'BP1'!K52:L52+'BP2'!K52+'BP3'!K52+'BP4'!K52+'BP5'!K52</f>
        <v>0</v>
      </c>
      <c r="L52" s="891"/>
      <c r="M52" s="229"/>
      <c r="N52" s="883">
        <f>'BP1'!N52+'BP2'!N52+'BP3'!N52+'BP4'!N52+'BP5'!N52</f>
        <v>0</v>
      </c>
      <c r="O52" s="884">
        <f>'BP1'!O47+'BP2'!O47+'BP3'!O47+'BP4'!O47+'BP5'!O47</f>
        <v>0</v>
      </c>
      <c r="P52" s="380"/>
      <c r="Q52" s="380"/>
      <c r="R52" s="115" t="s">
        <v>215</v>
      </c>
    </row>
    <row r="53" spans="1:18" s="7" customFormat="1" ht="14.25" customHeight="1" thickBot="1">
      <c r="A53" s="170"/>
      <c r="B53" s="176"/>
      <c r="C53" s="176"/>
      <c r="D53" s="190"/>
      <c r="E53" s="190"/>
      <c r="F53" s="190"/>
      <c r="G53" s="190"/>
      <c r="H53" s="693" t="s">
        <v>104</v>
      </c>
      <c r="I53" s="693"/>
      <c r="J53" s="694"/>
      <c r="K53" s="697">
        <f>SUM(K51:L52)</f>
        <v>0</v>
      </c>
      <c r="L53" s="698"/>
      <c r="M53" s="229"/>
      <c r="N53" s="711">
        <f>N51+N52</f>
        <v>0</v>
      </c>
      <c r="O53" s="712"/>
      <c r="P53" s="235"/>
      <c r="Q53" s="235"/>
      <c r="R53" s="115" t="s">
        <v>215</v>
      </c>
    </row>
    <row r="54" spans="1:18" s="7" customFormat="1" ht="14.25" customHeight="1">
      <c r="A54" s="186" t="s">
        <v>206</v>
      </c>
      <c r="B54" s="265"/>
      <c r="C54" s="265"/>
      <c r="D54" s="266"/>
      <c r="E54" s="187"/>
      <c r="F54" s="187"/>
      <c r="G54" s="187"/>
      <c r="H54" s="184"/>
      <c r="I54" s="191"/>
      <c r="J54" s="184"/>
      <c r="K54" s="53"/>
      <c r="L54" s="54"/>
      <c r="M54" s="229"/>
      <c r="N54" s="30"/>
      <c r="O54" s="31"/>
      <c r="P54" s="385"/>
      <c r="Q54" s="385"/>
      <c r="R54" s="115" t="s">
        <v>215</v>
      </c>
    </row>
    <row r="55" spans="1:18" s="7" customFormat="1" ht="14.25" customHeight="1">
      <c r="A55" s="186"/>
      <c r="B55" s="192">
        <v>1</v>
      </c>
      <c r="C55" s="622" t="str">
        <f>'BP1'!C55</f>
        <v>Materials and Supplies</v>
      </c>
      <c r="D55" s="622"/>
      <c r="E55" s="622"/>
      <c r="F55" s="622"/>
      <c r="G55" s="622"/>
      <c r="H55" s="622"/>
      <c r="I55" s="622"/>
      <c r="J55" s="691"/>
      <c r="K55" s="707">
        <f>'BP1'!K55:L55+'BP2'!K55+'BP3'!K55+'BP4'!K55+'BP5'!K55</f>
        <v>0</v>
      </c>
      <c r="L55" s="708"/>
      <c r="M55" s="229"/>
      <c r="N55" s="613">
        <f>'BP1'!N55+'BP2'!N55+'BP3'!N55+'BP4'!N55+'BP5'!N55</f>
        <v>0</v>
      </c>
      <c r="O55" s="703">
        <f>'BP1'!O50+'BP2'!O50+'BP3'!O50+'BP4'!O50+'BP5'!O50</f>
        <v>0</v>
      </c>
      <c r="P55" s="380"/>
      <c r="Q55" s="380"/>
      <c r="R55" s="115" t="s">
        <v>215</v>
      </c>
    </row>
    <row r="56" spans="1:18" s="7" customFormat="1" ht="14.25" customHeight="1">
      <c r="A56" s="186"/>
      <c r="B56" s="192">
        <v>2</v>
      </c>
      <c r="C56" s="622" t="str">
        <f>'BP1'!C56</f>
        <v>Publication Costs</v>
      </c>
      <c r="D56" s="622"/>
      <c r="E56" s="622"/>
      <c r="F56" s="622"/>
      <c r="G56" s="622"/>
      <c r="H56" s="622"/>
      <c r="I56" s="622"/>
      <c r="J56" s="691"/>
      <c r="K56" s="707">
        <f>'BP1'!K56:L56+'BP2'!K56+'BP3'!K56+'BP4'!K56+'BP5'!K56</f>
        <v>0</v>
      </c>
      <c r="L56" s="708"/>
      <c r="M56" s="229"/>
      <c r="N56" s="613">
        <f>'BP1'!N56+'BP2'!N56+'BP3'!N56+'BP4'!N56+'BP5'!N56</f>
        <v>0</v>
      </c>
      <c r="O56" s="703">
        <f>'BP1'!O51+'BP2'!O51+'BP3'!O51+'BP4'!O51+'BP5'!O51</f>
        <v>0</v>
      </c>
      <c r="P56" s="380"/>
      <c r="Q56" s="380"/>
      <c r="R56" s="115" t="s">
        <v>215</v>
      </c>
    </row>
    <row r="57" spans="1:18" s="7" customFormat="1" ht="14.25" customHeight="1">
      <c r="A57" s="186"/>
      <c r="B57" s="192">
        <v>3</v>
      </c>
      <c r="C57" s="622" t="str">
        <f>'BP1'!C57</f>
        <v>Consultant Services</v>
      </c>
      <c r="D57" s="622"/>
      <c r="E57" s="622"/>
      <c r="F57" s="622"/>
      <c r="G57" s="622"/>
      <c r="H57" s="622"/>
      <c r="I57" s="622"/>
      <c r="J57" s="691"/>
      <c r="K57" s="707">
        <f>'BP1'!K57:L57+'BP2'!K57+'BP3'!K57+'BP4'!K57+'BP5'!K57</f>
        <v>0</v>
      </c>
      <c r="L57" s="708"/>
      <c r="M57" s="229"/>
      <c r="N57" s="613">
        <f>'BP1'!N57+'BP2'!N57+'BP3'!N57+'BP4'!N57+'BP5'!N57</f>
        <v>0</v>
      </c>
      <c r="O57" s="703">
        <f>'BP1'!O52+'BP2'!O52+'BP3'!O52+'BP4'!O52+'BP5'!O52</f>
        <v>0</v>
      </c>
      <c r="P57" s="380"/>
      <c r="Q57" s="380"/>
      <c r="R57" s="115" t="s">
        <v>215</v>
      </c>
    </row>
    <row r="58" spans="1:18" s="7" customFormat="1" ht="14.25" customHeight="1">
      <c r="A58" s="186"/>
      <c r="B58" s="192">
        <v>4</v>
      </c>
      <c r="C58" s="622" t="str">
        <f>'BP1'!C58</f>
        <v>Computer Services</v>
      </c>
      <c r="D58" s="622"/>
      <c r="E58" s="622"/>
      <c r="F58" s="622"/>
      <c r="G58" s="622"/>
      <c r="H58" s="622"/>
      <c r="I58" s="622"/>
      <c r="J58" s="691"/>
      <c r="K58" s="707">
        <f>'BP1'!K58:L58+'BP2'!K58+'BP3'!K58+'BP4'!K58+'BP5'!K58</f>
        <v>0</v>
      </c>
      <c r="L58" s="708"/>
      <c r="M58" s="229"/>
      <c r="N58" s="613">
        <f>'BP1'!N58+'BP2'!N58+'BP3'!N58+'BP4'!N58+'BP5'!N58</f>
        <v>0</v>
      </c>
      <c r="O58" s="703">
        <f>'BP1'!O53+'BP2'!O53+'BP3'!O53+'BP4'!O53+'BP5'!O53</f>
        <v>0</v>
      </c>
      <c r="P58" s="380"/>
      <c r="Q58" s="380"/>
      <c r="R58" s="115" t="s">
        <v>215</v>
      </c>
    </row>
    <row r="59" spans="1:18" s="7" customFormat="1" ht="14.25" customHeight="1">
      <c r="A59" s="186"/>
      <c r="B59" s="192">
        <v>5</v>
      </c>
      <c r="C59" s="622" t="s">
        <v>211</v>
      </c>
      <c r="D59" s="622"/>
      <c r="E59" s="622"/>
      <c r="F59" s="622"/>
      <c r="G59" s="622"/>
      <c r="H59" s="622"/>
      <c r="I59" s="622"/>
      <c r="J59" s="691"/>
      <c r="K59" s="707">
        <f>'BP1'!K59:L59+'BP2'!K59+'BP3'!K59+'BP4'!K59+'BP5'!K59</f>
        <v>0</v>
      </c>
      <c r="L59" s="708"/>
      <c r="M59" s="229"/>
      <c r="N59" s="707">
        <f>'BP1'!N59+'BP2'!N59+'BP3'!N59+'BP4'!N59+'BP5'!N59</f>
        <v>0</v>
      </c>
      <c r="O59" s="708">
        <f>'BP1'!O54+'BP2'!O54+'BP3'!O54+'BP4'!O54+'BP5'!O54</f>
        <v>0</v>
      </c>
      <c r="P59" s="235"/>
      <c r="Q59" s="235"/>
      <c r="R59" s="115" t="s">
        <v>215</v>
      </c>
    </row>
    <row r="60" spans="1:18" s="7" customFormat="1" ht="14.25" customHeight="1">
      <c r="A60" s="186"/>
      <c r="B60" s="192">
        <v>6</v>
      </c>
      <c r="C60" s="622" t="str">
        <f>'BP1'!C60</f>
        <v>MTDC Other</v>
      </c>
      <c r="D60" s="622"/>
      <c r="E60" s="622"/>
      <c r="F60" s="622"/>
      <c r="G60" s="622"/>
      <c r="H60" s="622"/>
      <c r="I60" s="622"/>
      <c r="J60" s="691"/>
      <c r="K60" s="707">
        <f>'BP1'!K60:L60+'BP2'!K60+'BP3'!K60+'BP4'!K60+'BP5'!K60</f>
        <v>0</v>
      </c>
      <c r="L60" s="708"/>
      <c r="M60" s="229"/>
      <c r="N60" s="613">
        <f>'BP1'!N60+'BP2'!N60+'BP3'!N60+'BP4'!N60+'BP5'!N60</f>
        <v>0</v>
      </c>
      <c r="O60" s="703">
        <f>'BP1'!O55+'BP2'!O55+'BP3'!O55+'BP4'!O55+'BP5'!O55</f>
        <v>0</v>
      </c>
      <c r="P60" s="380"/>
      <c r="Q60" s="380"/>
      <c r="R60" s="115" t="s">
        <v>215</v>
      </c>
    </row>
    <row r="61" spans="1:18" s="7" customFormat="1" ht="14.25" customHeight="1" thickBot="1">
      <c r="A61" s="186"/>
      <c r="B61" s="192">
        <v>7</v>
      </c>
      <c r="C61" s="622" t="str">
        <f>'BP1'!C61</f>
        <v>Non-MTDC Other (no indirect costs)</v>
      </c>
      <c r="D61" s="622"/>
      <c r="E61" s="622"/>
      <c r="F61" s="622"/>
      <c r="G61" s="622"/>
      <c r="H61" s="622"/>
      <c r="I61" s="622"/>
      <c r="J61" s="691"/>
      <c r="K61" s="707">
        <f>'BP1'!K61:L61+'BP2'!K61+'BP3'!K61+'BP4'!K61+'BP5'!K61</f>
        <v>0</v>
      </c>
      <c r="L61" s="708"/>
      <c r="M61" s="229"/>
      <c r="N61" s="613">
        <f>'BP1'!N61+'BP2'!N61+'BP3'!N61+'BP4'!N61+'BP5'!N61</f>
        <v>0</v>
      </c>
      <c r="O61" s="703">
        <f>'BP1'!O56+'BP2'!O56+'BP3'!O56+'BP4'!O56+'BP5'!O56</f>
        <v>0</v>
      </c>
      <c r="P61" s="380"/>
      <c r="Q61" s="380"/>
      <c r="R61" s="115" t="s">
        <v>215</v>
      </c>
    </row>
    <row r="62" spans="1:18" s="7" customFormat="1" ht="14.25" customHeight="1" thickBot="1">
      <c r="A62" s="146"/>
      <c r="B62" s="211">
        <v>8</v>
      </c>
      <c r="C62" s="622" t="str">
        <f>'BP1'!C62:D62</f>
        <v>Subaward I</v>
      </c>
      <c r="D62" s="622"/>
      <c r="E62" s="620" t="s">
        <v>288</v>
      </c>
      <c r="F62" s="621"/>
      <c r="G62" s="610">
        <f>IF(ISBLANK('BP1'!G62),"",'BP1'!G62)</f>
        <v>0</v>
      </c>
      <c r="H62" s="611"/>
      <c r="I62" s="612"/>
      <c r="J62" s="254"/>
      <c r="K62" s="707">
        <f>IF('Subaward Calculator'!AD9&gt;0,'Subaward Calculator'!AD9,'BP1'!K62+IF('BP2'!K62="",0,'BP2'!K62)+IF('BP3'!K62="",0,'BP3'!K62)+IF('BP4'!K62="",0,'BP4'!K62)+IF('BP5'!K62="",0,'BP5'!K62))</f>
        <v>0</v>
      </c>
      <c r="L62" s="708"/>
      <c r="M62" s="229"/>
      <c r="N62" s="613">
        <f>'Subaward Calculator'!AF9</f>
        <v>0</v>
      </c>
      <c r="O62" s="703">
        <f>'BP1'!O57+'BP2'!O57+'BP3'!O57+'BP4'!O57+'BP5'!O57</f>
        <v>0</v>
      </c>
      <c r="P62" s="386"/>
      <c r="Q62" s="386"/>
      <c r="R62" s="115" t="s">
        <v>215</v>
      </c>
    </row>
    <row r="63" spans="1:18" s="7" customFormat="1" ht="14.25" customHeight="1" thickBot="1">
      <c r="A63" s="186"/>
      <c r="B63" s="211"/>
      <c r="C63" s="622" t="str">
        <f>'BP1'!C63:D63</f>
        <v>Subaward II</v>
      </c>
      <c r="D63" s="622"/>
      <c r="E63" s="620" t="s">
        <v>288</v>
      </c>
      <c r="F63" s="621"/>
      <c r="G63" s="610">
        <f>IF(ISBLANK('BP1'!G63),"",'BP1'!G63)</f>
        <v>0</v>
      </c>
      <c r="H63" s="611"/>
      <c r="I63" s="612"/>
      <c r="J63" s="254"/>
      <c r="K63" s="707">
        <f>IF('Subaward Calculator'!AD12&gt;0,'Subaward Calculator'!AD12,'BP1'!K63+IF('BP2'!K63="",0,'BP2'!K63)+IF('BP3'!K63="",0,'BP3'!K63)+IF('BP4'!K63="",0,'BP4'!K63)+IF('BP5'!K63="",0,'BP5'!K63))</f>
        <v>0</v>
      </c>
      <c r="L63" s="708"/>
      <c r="M63" s="229"/>
      <c r="N63" s="613">
        <f>'Subaward Calculator'!AF12</f>
        <v>0</v>
      </c>
      <c r="O63" s="703">
        <f>'BP1'!O58+'BP2'!O58+'BP3'!O58+'BP4'!O58+'BP5'!O58</f>
        <v>0</v>
      </c>
      <c r="P63" s="386"/>
      <c r="Q63" s="386"/>
      <c r="R63" s="115" t="s">
        <v>218</v>
      </c>
    </row>
    <row r="64" spans="1:18" s="7" customFormat="1" ht="14.25" customHeight="1" thickBot="1">
      <c r="A64" s="146"/>
      <c r="B64" s="211"/>
      <c r="C64" s="622" t="str">
        <f>'BP1'!C64:D64</f>
        <v>Subaward III</v>
      </c>
      <c r="D64" s="622"/>
      <c r="E64" s="620" t="s">
        <v>288</v>
      </c>
      <c r="F64" s="621"/>
      <c r="G64" s="610">
        <f>IF(ISBLANK('BP1'!G64),"",'BP1'!G64)</f>
        <v>0</v>
      </c>
      <c r="H64" s="611"/>
      <c r="I64" s="612"/>
      <c r="J64" s="254"/>
      <c r="K64" s="707">
        <f>IF('Subaward Calculator'!AD15&gt;0,'Subaward Calculator'!AD15,'BP1'!K64+IF('BP2'!K64="",0,'BP2'!K64)+IF('BP3'!K64="",0,'BP3'!K64)+IF('BP4'!K64="",0,'BP4'!K64)+IF('BP5'!K64="",0,'BP5'!K64))</f>
        <v>0</v>
      </c>
      <c r="L64" s="708"/>
      <c r="M64" s="229"/>
      <c r="N64" s="613">
        <f>'Subaward Calculator'!AF15</f>
        <v>0</v>
      </c>
      <c r="O64" s="703">
        <f>'BP1'!O59+'BP2'!O59+'BP3'!O59+'BP4'!O59+'BP5'!O59</f>
        <v>0</v>
      </c>
      <c r="P64" s="386"/>
      <c r="Q64" s="386"/>
      <c r="R64" s="115" t="s">
        <v>218</v>
      </c>
    </row>
    <row r="65" spans="1:18" s="7" customFormat="1" ht="14.25" customHeight="1" thickBot="1">
      <c r="A65" s="146"/>
      <c r="B65" s="211"/>
      <c r="C65" s="622" t="str">
        <f>'BP1'!C65:D65</f>
        <v>Subaward IV</v>
      </c>
      <c r="D65" s="622"/>
      <c r="E65" s="620" t="s">
        <v>288</v>
      </c>
      <c r="F65" s="621"/>
      <c r="G65" s="610">
        <f>IF(ISBLANK('BP1'!G65),"",'BP1'!G65)</f>
        <v>0</v>
      </c>
      <c r="H65" s="611"/>
      <c r="I65" s="612"/>
      <c r="J65" s="254"/>
      <c r="K65" s="707">
        <f>IF('Subaward Calculator'!AD18&gt;0,'Subaward Calculator'!AD18,'BP1'!K65+IF('BP2'!K65="",0,'BP2'!K65)+IF('BP3'!K65="",0,'BP3'!K65)+IF('BP4'!K65="",0,'BP4'!K65)+IF('BP5'!K65="",0,'BP5'!K65))</f>
        <v>0</v>
      </c>
      <c r="L65" s="708"/>
      <c r="M65" s="229"/>
      <c r="N65" s="613">
        <f>'Subaward Calculator'!AF18</f>
        <v>0</v>
      </c>
      <c r="O65" s="703">
        <f>'BP1'!O60+'BP2'!O60+'BP3'!O60+'BP4'!O60+'BP5'!O60</f>
        <v>0</v>
      </c>
      <c r="P65" s="386"/>
      <c r="Q65" s="386"/>
      <c r="R65" s="115" t="s">
        <v>218</v>
      </c>
    </row>
    <row r="66" spans="1:18" s="7" customFormat="1" ht="14.25" customHeight="1" thickBot="1">
      <c r="A66" s="146"/>
      <c r="B66" s="211"/>
      <c r="C66" s="622" t="str">
        <f>'BP1'!C66:D66</f>
        <v>Subaward V</v>
      </c>
      <c r="D66" s="622"/>
      <c r="E66" s="620" t="s">
        <v>288</v>
      </c>
      <c r="F66" s="621"/>
      <c r="G66" s="610">
        <f>IF(ISBLANK('BP1'!G66),"",'BP1'!G66)</f>
        <v>0</v>
      </c>
      <c r="H66" s="611"/>
      <c r="I66" s="612"/>
      <c r="J66" s="254"/>
      <c r="K66" s="707">
        <f>IF('Subaward Calculator'!AD21&gt;0,'Subaward Calculator'!AD21,'BP1'!K66+IF('BP2'!K66="",0,'BP2'!K66)+IF('BP3'!K66="",0,'BP3'!K66)+IF('BP4'!K66="",0,'BP4'!K66)+IF('BP5'!K66="",0,'BP5'!K66))</f>
        <v>0</v>
      </c>
      <c r="L66" s="708"/>
      <c r="M66" s="229"/>
      <c r="N66" s="613">
        <f>'Subaward Calculator'!AF21</f>
        <v>0</v>
      </c>
      <c r="O66" s="703">
        <f>'BP1'!O61+'BP2'!O61+'BP3'!O61+'BP4'!O61+'BP5'!O61</f>
        <v>0</v>
      </c>
      <c r="P66" s="386"/>
      <c r="Q66" s="386"/>
      <c r="R66" s="115" t="s">
        <v>218</v>
      </c>
    </row>
    <row r="67" spans="1:18" s="7" customFormat="1" ht="14.25" customHeight="1" thickBot="1">
      <c r="A67" s="146"/>
      <c r="B67" s="211"/>
      <c r="C67" s="622" t="str">
        <f>'BP1'!C67:D67</f>
        <v>Subaward VI</v>
      </c>
      <c r="D67" s="622"/>
      <c r="E67" s="620" t="s">
        <v>288</v>
      </c>
      <c r="F67" s="621"/>
      <c r="G67" s="610">
        <f>IF(ISBLANK('BP1'!G67),"",'BP1'!G67)</f>
        <v>0</v>
      </c>
      <c r="H67" s="611"/>
      <c r="I67" s="612"/>
      <c r="J67" s="254"/>
      <c r="K67" s="707">
        <f>IF('Subaward Calculator'!AD24&gt;0,'Subaward Calculator'!AD24,'BP1'!K67+IF('BP2'!K67="",0,'BP2'!K67)+IF('BP3'!K67="",0,'BP3'!K67)+IF('BP4'!K67="",0,'BP4'!K67)+IF('BP5'!K67="",0,'BP5'!K67))</f>
        <v>0</v>
      </c>
      <c r="L67" s="708"/>
      <c r="M67" s="229"/>
      <c r="N67" s="613">
        <f>'Subaward Calculator'!AF24</f>
        <v>0</v>
      </c>
      <c r="O67" s="703">
        <f>'BP1'!O62+'BP2'!O62+'BP3'!O62+'BP4'!O62+'BP5'!O62</f>
        <v>0</v>
      </c>
      <c r="P67" s="386"/>
      <c r="Q67" s="386"/>
      <c r="R67" s="115" t="s">
        <v>218</v>
      </c>
    </row>
    <row r="68" spans="1:18" s="7" customFormat="1" ht="14.25" customHeight="1" thickBot="1">
      <c r="A68" s="146"/>
      <c r="B68" s="211"/>
      <c r="C68" s="622" t="str">
        <f>'BP1'!C68:D68</f>
        <v>Subaward VII</v>
      </c>
      <c r="D68" s="622"/>
      <c r="E68" s="620" t="s">
        <v>288</v>
      </c>
      <c r="F68" s="621"/>
      <c r="G68" s="610">
        <f>IF(ISBLANK('BP1'!G68),"",'BP1'!G68)</f>
        <v>0</v>
      </c>
      <c r="H68" s="611"/>
      <c r="I68" s="612"/>
      <c r="J68" s="254"/>
      <c r="K68" s="707">
        <f>IF('Subaward Calculator'!AD27&gt;0,'Subaward Calculator'!AD27,'BP1'!K68+IF('BP2'!K68="",0,'BP2'!K68)+IF('BP3'!K68="",0,'BP3'!K68)+IF('BP4'!K68="",0,'BP4'!K68)+IF('BP5'!K68="",0,'BP5'!K68))</f>
        <v>0</v>
      </c>
      <c r="L68" s="708"/>
      <c r="M68" s="229"/>
      <c r="N68" s="613">
        <f>'Subaward Calculator'!AF27</f>
        <v>0</v>
      </c>
      <c r="O68" s="703">
        <f>'BP1'!O63+'BP2'!O63+'BP3'!O63+'BP4'!O63+'BP5'!O63</f>
        <v>0</v>
      </c>
      <c r="P68" s="386"/>
      <c r="Q68" s="386"/>
      <c r="R68" s="115" t="s">
        <v>219</v>
      </c>
    </row>
    <row r="69" spans="1:18" s="7" customFormat="1" ht="14.25" customHeight="1" thickBot="1">
      <c r="A69" s="146"/>
      <c r="B69" s="211"/>
      <c r="C69" s="622" t="str">
        <f>'BP1'!C69:D69</f>
        <v>Subaward VIII</v>
      </c>
      <c r="D69" s="622"/>
      <c r="E69" s="620" t="s">
        <v>288</v>
      </c>
      <c r="F69" s="621"/>
      <c r="G69" s="610">
        <f>IF(ISBLANK('BP1'!G69),"",'BP1'!G69)</f>
        <v>0</v>
      </c>
      <c r="H69" s="611"/>
      <c r="I69" s="612"/>
      <c r="J69" s="254"/>
      <c r="K69" s="707">
        <f>IF('Subaward Calculator'!AD30&gt;0,'Subaward Calculator'!AD30,'BP1'!K69+IF('BP2'!K69="",0,'BP2'!K69)+IF('BP3'!K69="",0,'BP3'!K69)+IF('BP4'!K69="",0,'BP4'!K69)+IF('BP5'!K69="",0,'BP5'!K69))</f>
        <v>0</v>
      </c>
      <c r="L69" s="708"/>
      <c r="M69" s="229"/>
      <c r="N69" s="613">
        <f>'Subaward Calculator'!AF30</f>
        <v>0</v>
      </c>
      <c r="O69" s="703">
        <f>'BP1'!O64+'BP2'!O64+'BP3'!O64+'BP4'!O64+'BP5'!O64</f>
        <v>0</v>
      </c>
      <c r="P69" s="386"/>
      <c r="Q69" s="386"/>
      <c r="R69" s="115" t="s">
        <v>219</v>
      </c>
    </row>
    <row r="70" spans="1:18" s="7" customFormat="1" ht="14.25" customHeight="1" thickBot="1">
      <c r="A70" s="146"/>
      <c r="B70" s="211"/>
      <c r="C70" s="622" t="str">
        <f>'BP1'!C70:D70</f>
        <v>Subaward IX</v>
      </c>
      <c r="D70" s="622"/>
      <c r="E70" s="620" t="s">
        <v>288</v>
      </c>
      <c r="F70" s="621"/>
      <c r="G70" s="610">
        <f>IF(ISBLANK('BP1'!G70),"",'BP1'!G70)</f>
        <v>0</v>
      </c>
      <c r="H70" s="611"/>
      <c r="I70" s="612"/>
      <c r="J70" s="254"/>
      <c r="K70" s="707">
        <f>IF('Subaward Calculator'!AD33&gt;0,'Subaward Calculator'!AD33,'BP1'!K70+IF('BP2'!K70="",0,'BP2'!K70)+IF('BP3'!K70="",0,'BP3'!K70)+IF('BP4'!K70="",0,'BP4'!K70)+IF('BP5'!K70="",0,'BP5'!K70))</f>
        <v>0</v>
      </c>
      <c r="L70" s="708"/>
      <c r="M70" s="229"/>
      <c r="N70" s="613">
        <f>'Subaward Calculator'!AF33</f>
        <v>0</v>
      </c>
      <c r="O70" s="703">
        <f>'BP1'!O65+'BP2'!O65+'BP3'!O65+'BP4'!O65+'BP5'!O65</f>
        <v>0</v>
      </c>
      <c r="P70" s="386"/>
      <c r="Q70" s="386"/>
      <c r="R70" s="115" t="s">
        <v>219</v>
      </c>
    </row>
    <row r="71" spans="1:18" s="7" customFormat="1" ht="14.25" customHeight="1" thickBot="1">
      <c r="A71" s="146"/>
      <c r="B71" s="211"/>
      <c r="C71" s="622" t="str">
        <f>'BP1'!C71:D71</f>
        <v>Subaward X</v>
      </c>
      <c r="D71" s="622"/>
      <c r="E71" s="620" t="s">
        <v>288</v>
      </c>
      <c r="F71" s="621"/>
      <c r="G71" s="610">
        <f>IF(ISBLANK('BP1'!G71),"",'BP1'!G71)</f>
        <v>0</v>
      </c>
      <c r="H71" s="611"/>
      <c r="I71" s="612"/>
      <c r="J71" s="254"/>
      <c r="K71" s="707">
        <f>IF('Subaward Calculator'!AD36&gt;0,'Subaward Calculator'!AD36,'BP1'!K71+IF('BP2'!K71="",0,'BP2'!K71)+IF('BP3'!K71="",0,'BP3'!K71)+IF('BP4'!K71="",0,'BP4'!K71)+IF('BP5'!K71="",0,'BP5'!K71))</f>
        <v>0</v>
      </c>
      <c r="L71" s="708"/>
      <c r="M71" s="229"/>
      <c r="N71" s="613">
        <f>'Subaward Calculator'!AF36</f>
        <v>0</v>
      </c>
      <c r="O71" s="703">
        <f>'BP1'!O66+'BP2'!O66+'BP3'!O66+'BP4'!O66+'BP5'!O66</f>
        <v>0</v>
      </c>
      <c r="P71" s="386"/>
      <c r="Q71" s="386"/>
      <c r="R71" s="115" t="s">
        <v>219</v>
      </c>
    </row>
    <row r="72" spans="1:18" s="7" customFormat="1" ht="14.25" customHeight="1" thickBot="1">
      <c r="A72" s="146"/>
      <c r="B72" s="211"/>
      <c r="C72" s="622" t="str">
        <f>'BP1'!C72:D72</f>
        <v>Subaward XI</v>
      </c>
      <c r="D72" s="622"/>
      <c r="E72" s="620" t="s">
        <v>288</v>
      </c>
      <c r="F72" s="621"/>
      <c r="G72" s="610">
        <f>IF(ISBLANK('BP1'!G72),"",'BP1'!G72)</f>
        <v>0</v>
      </c>
      <c r="H72" s="611"/>
      <c r="I72" s="612"/>
      <c r="J72" s="254"/>
      <c r="K72" s="707">
        <f>IF('Subaward Calculator'!AD39&gt;0,'Subaward Calculator'!AD39,'BP1'!K72+IF('BP2'!K72="",0,'BP2'!K72)+IF('BP3'!K72="",0,'BP3'!K72)+IF('BP4'!K72="",0,'BP4'!K72)+IF('BP5'!K72="",0,'BP5'!K72))</f>
        <v>0</v>
      </c>
      <c r="L72" s="708"/>
      <c r="M72" s="229"/>
      <c r="N72" s="613">
        <f>'Subaward Calculator'!AF39</f>
        <v>0</v>
      </c>
      <c r="O72" s="703">
        <f>'BP1'!O67+'BP2'!O67+'BP3'!O67+'BP4'!O67+'BP5'!O67</f>
        <v>0</v>
      </c>
      <c r="P72" s="386"/>
      <c r="Q72" s="386"/>
      <c r="R72" s="115" t="s">
        <v>219</v>
      </c>
    </row>
    <row r="73" spans="1:18" s="7" customFormat="1" ht="14.25" customHeight="1" thickBot="1">
      <c r="A73" s="146"/>
      <c r="B73" s="211"/>
      <c r="C73" s="622" t="str">
        <f>'BP1'!C73:D73</f>
        <v>Subaward XII</v>
      </c>
      <c r="D73" s="622"/>
      <c r="E73" s="620" t="s">
        <v>288</v>
      </c>
      <c r="F73" s="621"/>
      <c r="G73" s="610">
        <f>IF(ISBLANK('BP1'!G73),"",'BP1'!G73)</f>
        <v>0</v>
      </c>
      <c r="H73" s="611"/>
      <c r="I73" s="612"/>
      <c r="J73" s="254"/>
      <c r="K73" s="707">
        <f>IF('Subaward Calculator'!AD42&gt;0,'Subaward Calculator'!AD42,'BP1'!K73+IF('BP2'!K73="",0,'BP2'!K73)+IF('BP3'!K73="",0,'BP3'!K73)+IF('BP4'!K73="",0,'BP4'!K73)+IF('BP5'!K73="",0,'BP5'!K73))</f>
        <v>0</v>
      </c>
      <c r="L73" s="708"/>
      <c r="M73" s="229"/>
      <c r="N73" s="613">
        <f>'Subaward Calculator'!AF42</f>
        <v>0</v>
      </c>
      <c r="O73" s="703">
        <f>'BP1'!O68+'BP2'!O68+'BP3'!O68+'BP4'!O68+'BP5'!O68</f>
        <v>0</v>
      </c>
      <c r="P73" s="386"/>
      <c r="Q73" s="386"/>
      <c r="R73" s="115" t="s">
        <v>219</v>
      </c>
    </row>
    <row r="74" spans="1:18" s="7" customFormat="1" ht="14.25" customHeight="1" thickBot="1">
      <c r="A74" s="186" t="s">
        <v>90</v>
      </c>
      <c r="B74" s="147"/>
      <c r="C74" s="147"/>
      <c r="D74" s="150"/>
      <c r="E74" s="151"/>
      <c r="F74" s="151"/>
      <c r="G74" s="151"/>
      <c r="H74" s="147"/>
      <c r="I74" s="149"/>
      <c r="J74" s="147"/>
      <c r="K74" s="697">
        <f>SUM(K55:L73)</f>
        <v>0</v>
      </c>
      <c r="L74" s="698"/>
      <c r="M74" s="229"/>
      <c r="N74" s="711">
        <f>SUM(N55:N73)</f>
        <v>0</v>
      </c>
      <c r="O74" s="712"/>
      <c r="P74" s="235"/>
      <c r="Q74" s="235"/>
      <c r="R74" s="115" t="s">
        <v>215</v>
      </c>
    </row>
    <row r="75" spans="1:18" s="7" customFormat="1" ht="14.25" customHeight="1" thickBot="1">
      <c r="A75" s="186" t="s">
        <v>577</v>
      </c>
      <c r="B75" s="147"/>
      <c r="C75" s="147"/>
      <c r="D75" s="148"/>
      <c r="E75" s="148"/>
      <c r="F75" s="148"/>
      <c r="G75" s="148"/>
      <c r="H75" s="147"/>
      <c r="I75" s="149"/>
      <c r="J75" s="147"/>
      <c r="K75" s="697">
        <f ca="1">SUM(K43+K50+K53+$K$74)</f>
        <v>0</v>
      </c>
      <c r="L75" s="698"/>
      <c r="M75" s="229"/>
      <c r="N75" s="711">
        <f ca="1">SUM(N43+N50+N53+N74)</f>
        <v>0</v>
      </c>
      <c r="O75" s="712"/>
      <c r="P75" s="235"/>
      <c r="Q75" s="235"/>
      <c r="R75" s="115" t="s">
        <v>215</v>
      </c>
    </row>
    <row r="76" spans="1:18" s="7"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97" t="str">
        <f>IF('Appendix C-Grants.gov Form Info'!J1&gt;0,IF(AND(SUM(K62:K73)&gt;0,'Subaward Calculator'!AD46=0),"",SUM(K43+K50+K53+$K$74)-'Subaward Calculator'!AD46+'Subaward Calculator'!AD44),"")</f>
        <v/>
      </c>
      <c r="L76" s="698"/>
      <c r="M76" s="229"/>
      <c r="N76" s="239"/>
      <c r="O76" s="240"/>
      <c r="P76" s="235"/>
      <c r="Q76" s="235"/>
      <c r="R76" s="115" t="s">
        <v>215</v>
      </c>
    </row>
    <row r="77" spans="1:18" s="7" customFormat="1" ht="14.25" customHeight="1">
      <c r="A77" s="177" t="s">
        <v>91</v>
      </c>
      <c r="B77" s="178"/>
      <c r="C77" s="178"/>
      <c r="D77" s="178"/>
      <c r="E77" s="154"/>
      <c r="F77" s="241" t="s">
        <v>417</v>
      </c>
      <c r="G77" s="499">
        <f>IF('BP1'!L2="Custom",'BP1'!I77,'BP1'!G77)</f>
        <v>0.6</v>
      </c>
      <c r="H77" s="242"/>
      <c r="I77" s="242"/>
      <c r="J77" s="243"/>
      <c r="K77" s="49"/>
      <c r="L77" s="50"/>
      <c r="M77" s="229"/>
      <c r="N77" s="239"/>
      <c r="O77" s="240"/>
      <c r="P77" s="240"/>
      <c r="Q77" s="240"/>
      <c r="R77" s="115" t="s">
        <v>215</v>
      </c>
    </row>
    <row r="78" spans="1:18" s="7" customFormat="1" ht="14.25" customHeight="1" thickBot="1">
      <c r="A78" s="731" t="str">
        <f>IF(K3="MTDC","Modified Total Direct Costs (MTDC) Base =","Total Direct Costs (TDC) Base =")</f>
        <v>Modified Total Direct Costs (MTDC) Base =</v>
      </c>
      <c r="B78" s="732"/>
      <c r="C78" s="732"/>
      <c r="D78" s="732"/>
      <c r="E78" s="732"/>
      <c r="F78" s="732"/>
      <c r="G78" s="457">
        <f>'BP1'!G78:H78+'BP2'!G78+'BP3'!G78+'BP4'!G78+'BP5'!G78</f>
        <v>0</v>
      </c>
      <c r="H78" s="144"/>
      <c r="I78" s="144"/>
      <c r="J78" s="244"/>
      <c r="K78" s="51"/>
      <c r="L78" s="52"/>
      <c r="M78" s="229"/>
      <c r="N78" s="737" t="s">
        <v>285</v>
      </c>
      <c r="O78" s="737"/>
      <c r="P78" s="239"/>
      <c r="Q78" s="239"/>
      <c r="R78" s="115" t="s">
        <v>215</v>
      </c>
    </row>
    <row r="79" spans="1:18" s="7" customFormat="1" ht="14.25" customHeight="1" thickBot="1">
      <c r="A79" s="879">
        <f ca="1">IF(K3="MTDC",IF(G79&gt;0,"Modified Total Direct Costs (MTDC) Cost-Share Base =",),IF(G79&gt;0,"Total Direct Costs (TDC) Cost-Share Base =",))</f>
        <v>0</v>
      </c>
      <c r="B79" s="880"/>
      <c r="C79" s="880"/>
      <c r="D79" s="880"/>
      <c r="E79" s="880"/>
      <c r="F79" s="880"/>
      <c r="G79" s="500">
        <f ca="1">'BP1'!G79:H79+'BP2'!G79+'BP3'!G79+'BP4'!G79+'BP5'!G79</f>
        <v>0</v>
      </c>
      <c r="H79" s="735" t="s">
        <v>213</v>
      </c>
      <c r="I79" s="735"/>
      <c r="J79" s="735"/>
      <c r="K79" s="697">
        <f ca="1">'BP1'!K79+'BP2'!K79+'BP3'!K79+'BP4'!K79+'BP5'!K79</f>
        <v>0</v>
      </c>
      <c r="L79" s="698"/>
      <c r="M79" s="229"/>
      <c r="N79" s="711">
        <f ca="1">'BP1'!N79+'BP2'!N79+'BP3'!N79+'BP4'!N79+'BP5'!N79</f>
        <v>0</v>
      </c>
      <c r="O79" s="712"/>
      <c r="P79" s="235"/>
      <c r="Q79" s="235"/>
      <c r="R79" s="115" t="s">
        <v>215</v>
      </c>
    </row>
    <row r="80" spans="1:18" s="7" customFormat="1" ht="14.25" customHeight="1" thickBot="1">
      <c r="A80" s="186" t="s">
        <v>92</v>
      </c>
      <c r="B80" s="147"/>
      <c r="C80" s="147"/>
      <c r="D80" s="148"/>
      <c r="E80" s="148"/>
      <c r="F80" s="148"/>
      <c r="G80" s="148"/>
      <c r="H80" s="147"/>
      <c r="I80" s="149"/>
      <c r="J80" s="147"/>
      <c r="K80" s="697">
        <f ca="1">ROUND(K75,0)+ROUND(K79,0)</f>
        <v>0</v>
      </c>
      <c r="L80" s="698"/>
      <c r="M80" s="229"/>
      <c r="N80" s="709">
        <f ca="1">ROUND(N75,0)+ROUND(N79,0)</f>
        <v>0</v>
      </c>
      <c r="O80" s="710"/>
      <c r="P80" s="235"/>
      <c r="Q80" s="235"/>
      <c r="R80" s="115" t="s">
        <v>215</v>
      </c>
    </row>
    <row r="81" spans="1:18" s="7" customFormat="1" ht="14.25" customHeight="1">
      <c r="A81" s="260"/>
      <c r="B81" s="261"/>
      <c r="C81" s="261"/>
      <c r="D81" s="259"/>
      <c r="E81" s="259"/>
      <c r="F81" s="259"/>
      <c r="G81" s="259"/>
      <c r="H81" s="261"/>
      <c r="I81" s="262"/>
      <c r="J81" s="261"/>
      <c r="K81" s="235"/>
      <c r="L81" s="235"/>
      <c r="M81" s="229"/>
      <c r="N81" s="235"/>
      <c r="O81" s="235"/>
      <c r="P81" s="235"/>
      <c r="Q81" s="235"/>
      <c r="R81" s="115" t="s">
        <v>215</v>
      </c>
    </row>
    <row r="82" spans="1:18" s="7" customFormat="1" ht="14.25" customHeight="1" thickBot="1">
      <c r="A82" s="260"/>
      <c r="B82" s="261"/>
      <c r="C82" s="261"/>
      <c r="D82" s="259"/>
      <c r="E82" s="259"/>
      <c r="F82" s="259"/>
      <c r="G82" s="259"/>
      <c r="H82" s="261"/>
      <c r="I82" s="262"/>
      <c r="J82" s="261"/>
      <c r="K82" s="235"/>
      <c r="L82" s="235"/>
      <c r="M82" s="229"/>
      <c r="N82" s="235"/>
      <c r="O82" s="235"/>
      <c r="P82" s="235"/>
      <c r="Q82" s="235"/>
      <c r="R82" s="115" t="s">
        <v>215</v>
      </c>
    </row>
    <row r="83" spans="1:18" ht="13.8" thickBot="1">
      <c r="M83" s="229"/>
      <c r="N83" s="718" t="s">
        <v>581</v>
      </c>
      <c r="O83" s="719"/>
      <c r="R83" s="115" t="s">
        <v>215</v>
      </c>
    </row>
    <row r="84" spans="1:18" ht="15" thickBot="1">
      <c r="F84" s="727" t="str">
        <f ca="1">IF(N80&gt;0,"CUMULATIVE SUBAWARD COST-SHARE","")</f>
        <v/>
      </c>
      <c r="G84" s="727"/>
      <c r="H84" s="727"/>
      <c r="I84" s="727"/>
      <c r="J84" s="727"/>
      <c r="K84" s="727"/>
      <c r="L84" s="727"/>
      <c r="M84" s="1"/>
      <c r="N84" s="697">
        <f>'BP1'!$N$88+'BP2'!$N$88+'BP3'!$N$88+'BP4'!$N$88+'BP5'!$N$88</f>
        <v>0</v>
      </c>
      <c r="O84" s="698">
        <f>'BP1'!O78+'BP2'!O78+'BP3'!O78+'BP4'!O78+'BP5'!O78</f>
        <v>0</v>
      </c>
      <c r="P84" s="235"/>
      <c r="Q84" s="235"/>
      <c r="R84" s="115" t="s">
        <v>215</v>
      </c>
    </row>
    <row r="85" spans="1:18" ht="15" thickBot="1">
      <c r="F85" s="727" t="str">
        <f ca="1">IF(N80&gt;0,"CUMULATIVE THIRD PARTY COST-SHARE","")</f>
        <v/>
      </c>
      <c r="G85" s="727"/>
      <c r="H85" s="727"/>
      <c r="I85" s="727"/>
      <c r="J85" s="727"/>
      <c r="K85" s="727"/>
      <c r="L85" s="727"/>
      <c r="M85" s="1"/>
      <c r="N85" s="697">
        <f>'BP1'!$N$89+'BP2'!$N$89+'BP3'!$N$89+'BP4'!$N$89+'BP5'!$N$89</f>
        <v>0</v>
      </c>
      <c r="O85" s="698">
        <f>'BP1'!O77+'BP2'!O77+'BP3'!O77+'BP4'!O77+'BP5'!O77</f>
        <v>0</v>
      </c>
      <c r="P85" s="235"/>
      <c r="Q85" s="235"/>
      <c r="R85" s="115" t="s">
        <v>215</v>
      </c>
    </row>
    <row r="86" spans="1:18" ht="15" thickBot="1">
      <c r="F86" s="727" t="str">
        <f ca="1">IF(N80&gt;0,"CUMULATIVE TOTAL COST-SHARED","")</f>
        <v/>
      </c>
      <c r="G86" s="727" t="e">
        <f>IF(N78&gt;0,"TOTAL OF YEAR "&amp;#REF!&amp;" COST SHARED","")</f>
        <v>#REF!</v>
      </c>
      <c r="H86" s="727"/>
      <c r="I86" s="727"/>
      <c r="J86" s="727"/>
      <c r="K86" s="727"/>
      <c r="L86" s="727"/>
      <c r="M86" s="1"/>
      <c r="N86" s="697">
        <f ca="1">'BP1'!$N$90+'BP2'!$N$90+'BP3'!$N$90+'BP4'!$N$90+'BP5'!$N$90</f>
        <v>0</v>
      </c>
      <c r="O86" s="698">
        <f>'BP1'!O78+'BP2'!O78+'BP3'!O78+'BP4'!O78+'BP5'!O78</f>
        <v>0</v>
      </c>
      <c r="P86" s="235"/>
      <c r="Q86" s="235"/>
      <c r="R86" s="115" t="s">
        <v>215</v>
      </c>
    </row>
    <row r="87" spans="1:18" ht="15" thickBot="1">
      <c r="F87" s="727" t="str">
        <f ca="1">IF(N80&gt;0,"CUMULATIVE SPONSOR COSTS","")</f>
        <v/>
      </c>
      <c r="G87" s="727"/>
      <c r="H87" s="727"/>
      <c r="I87" s="727"/>
      <c r="J87" s="727"/>
      <c r="K87" s="727"/>
      <c r="L87" s="727"/>
      <c r="M87" s="1"/>
      <c r="N87" s="697">
        <f ca="1">'BP1'!$N$91+'BP2'!$N$91+'BP3'!$N$91+'BP4'!$N$91+'BP5'!$N$91</f>
        <v>0</v>
      </c>
      <c r="O87" s="698">
        <f>'BP1'!O79+'BP2'!O79+'BP3'!O79+'BP4'!O79+'BP5'!O79</f>
        <v>0</v>
      </c>
      <c r="P87" s="235"/>
      <c r="Q87" s="235"/>
      <c r="R87" s="115" t="s">
        <v>215</v>
      </c>
    </row>
    <row r="88" spans="1:18" ht="15" thickBot="1">
      <c r="F88" s="727" t="str">
        <f ca="1">IF(N80&gt;0,"CUMULATIVE PROJECT COSTS","")</f>
        <v/>
      </c>
      <c r="G88" s="727" t="e">
        <f>IF(N78&gt;0,"TOTAL YEAR "&amp;#REF!&amp;"  PROJECT COSTS","")</f>
        <v>#REF!</v>
      </c>
      <c r="H88" s="727"/>
      <c r="I88" s="727"/>
      <c r="J88" s="727"/>
      <c r="K88" s="727"/>
      <c r="L88" s="727"/>
      <c r="M88" s="1"/>
      <c r="N88" s="697">
        <f ca="1">'BP1'!$N$93+'BP2'!$N$93+'BP3'!$N$93+'BP4'!$N$93+'BP5'!$N$93</f>
        <v>0</v>
      </c>
      <c r="O88" s="698">
        <f>'BP1'!O80+'BP2'!O80+'BP3'!O80+'BP4'!O80+'BP5'!O80</f>
        <v>0</v>
      </c>
      <c r="P88" s="235"/>
      <c r="Q88" s="235"/>
      <c r="R88" s="115" t="s">
        <v>215</v>
      </c>
    </row>
    <row r="89" spans="1:18" ht="15" thickBot="1">
      <c r="F89" s="727" t="str">
        <f ca="1">IF(N80&gt;0,"CUMULATIVE COST-SHARE AS % OF SPONSOR COSTS","")</f>
        <v/>
      </c>
      <c r="G89" s="727" t="e">
        <f>IF(N78&gt;0,"YEAR "&amp;#REF!&amp;" COST SHARE AS % OF YEAR "&amp;#REF!&amp;" SPONSOR COSTS","")</f>
        <v>#REF!</v>
      </c>
      <c r="H89" s="727"/>
      <c r="I89" s="727"/>
      <c r="J89" s="727"/>
      <c r="K89" s="727"/>
      <c r="L89" s="727"/>
      <c r="M89" s="1"/>
      <c r="N89" s="715">
        <f ca="1">IFERROR($N$86/$N$87,)</f>
        <v>0</v>
      </c>
      <c r="O89" s="716"/>
      <c r="P89" s="381"/>
      <c r="Q89" s="381"/>
      <c r="R89" s="115" t="s">
        <v>215</v>
      </c>
    </row>
    <row r="90" spans="1:18" ht="15" thickBot="1">
      <c r="F90" s="727" t="str">
        <f ca="1">IF(N80&gt;0,"CUMULATIVE COST-SHARE AS % OF PROJECT COSTS","")</f>
        <v/>
      </c>
      <c r="G90" s="727"/>
      <c r="H90" s="727"/>
      <c r="I90" s="727"/>
      <c r="J90" s="727"/>
      <c r="K90" s="727"/>
      <c r="L90" s="727"/>
      <c r="M90" s="1"/>
      <c r="N90" s="715">
        <f ca="1">IFERROR($N$86/$N$88,)</f>
        <v>0</v>
      </c>
      <c r="O90" s="716"/>
      <c r="P90" s="381"/>
      <c r="Q90" s="381"/>
      <c r="R90" s="115" t="s">
        <v>215</v>
      </c>
    </row>
  </sheetData>
  <sheetProtection formatCells="0" formatColumns="0" formatRows="0"/>
  <autoFilter ref="R1:R90" xr:uid="{00000000-0009-0000-0000-000007000000}"/>
  <mergeCells count="180">
    <mergeCell ref="K3:L3"/>
    <mergeCell ref="K7:L7"/>
    <mergeCell ref="K49:L49"/>
    <mergeCell ref="N49:O49"/>
    <mergeCell ref="K45:L45"/>
    <mergeCell ref="N45:O45"/>
    <mergeCell ref="B46:F46"/>
    <mergeCell ref="K46:L46"/>
    <mergeCell ref="N46:O46"/>
    <mergeCell ref="B47:F47"/>
    <mergeCell ref="K47:L47"/>
    <mergeCell ref="N47:O47"/>
    <mergeCell ref="B48:F48"/>
    <mergeCell ref="K48:L48"/>
    <mergeCell ref="N48:O48"/>
    <mergeCell ref="H8:J9"/>
    <mergeCell ref="K10:L11"/>
    <mergeCell ref="B22:F22"/>
    <mergeCell ref="B23:F23"/>
    <mergeCell ref="H10:J11"/>
    <mergeCell ref="B21:F21"/>
    <mergeCell ref="K12:L13"/>
    <mergeCell ref="K43:L43"/>
    <mergeCell ref="B20:F20"/>
    <mergeCell ref="E9:G9"/>
    <mergeCell ref="F90:L90"/>
    <mergeCell ref="N90:O90"/>
    <mergeCell ref="F85:L85"/>
    <mergeCell ref="N85:O85"/>
    <mergeCell ref="F86:L86"/>
    <mergeCell ref="N86:O86"/>
    <mergeCell ref="F87:L87"/>
    <mergeCell ref="N87:O87"/>
    <mergeCell ref="F88:L88"/>
    <mergeCell ref="N88:O88"/>
    <mergeCell ref="F89:L89"/>
    <mergeCell ref="N89:O89"/>
    <mergeCell ref="K50:L50"/>
    <mergeCell ref="K51:L51"/>
    <mergeCell ref="K52:L52"/>
    <mergeCell ref="K53:L53"/>
    <mergeCell ref="K55:L55"/>
    <mergeCell ref="K56:L56"/>
    <mergeCell ref="K57:L57"/>
    <mergeCell ref="K58:L58"/>
    <mergeCell ref="K59:L59"/>
    <mergeCell ref="E11:G11"/>
    <mergeCell ref="H12:J12"/>
    <mergeCell ref="H13:J13"/>
    <mergeCell ref="C59:J59"/>
    <mergeCell ref="C55:J55"/>
    <mergeCell ref="C57:J57"/>
    <mergeCell ref="C58:J58"/>
    <mergeCell ref="B27:F27"/>
    <mergeCell ref="B28:F28"/>
    <mergeCell ref="B29:F29"/>
    <mergeCell ref="G12:G14"/>
    <mergeCell ref="C56:J56"/>
    <mergeCell ref="B45:F45"/>
    <mergeCell ref="B49:F49"/>
    <mergeCell ref="H51:J51"/>
    <mergeCell ref="H52:J52"/>
    <mergeCell ref="H53:J53"/>
    <mergeCell ref="N43:O43"/>
    <mergeCell ref="M1:O9"/>
    <mergeCell ref="M10:O11"/>
    <mergeCell ref="N12:O13"/>
    <mergeCell ref="N41:O41"/>
    <mergeCell ref="N42:O42"/>
    <mergeCell ref="A1:J4"/>
    <mergeCell ref="K1:L1"/>
    <mergeCell ref="K4:L4"/>
    <mergeCell ref="A5:J6"/>
    <mergeCell ref="K5:L5"/>
    <mergeCell ref="K6:L6"/>
    <mergeCell ref="K42:L42"/>
    <mergeCell ref="A30:F30"/>
    <mergeCell ref="B18:F18"/>
    <mergeCell ref="B19:F19"/>
    <mergeCell ref="B24:F24"/>
    <mergeCell ref="B25:F25"/>
    <mergeCell ref="B26:F26"/>
    <mergeCell ref="K41:L41"/>
    <mergeCell ref="B16:F16"/>
    <mergeCell ref="B15:F15"/>
    <mergeCell ref="B17:F17"/>
    <mergeCell ref="K8:L9"/>
    <mergeCell ref="N55:O55"/>
    <mergeCell ref="N56:O56"/>
    <mergeCell ref="N57:O57"/>
    <mergeCell ref="N58:O58"/>
    <mergeCell ref="N59:O59"/>
    <mergeCell ref="N50:O50"/>
    <mergeCell ref="N51:O51"/>
    <mergeCell ref="N52:O52"/>
    <mergeCell ref="N53:O53"/>
    <mergeCell ref="K76:L76"/>
    <mergeCell ref="N60:O60"/>
    <mergeCell ref="N61:O61"/>
    <mergeCell ref="N74:O74"/>
    <mergeCell ref="N75:O75"/>
    <mergeCell ref="C60:J60"/>
    <mergeCell ref="C61:J61"/>
    <mergeCell ref="K60:L60"/>
    <mergeCell ref="K61:L61"/>
    <mergeCell ref="K62:L62"/>
    <mergeCell ref="K63:L63"/>
    <mergeCell ref="K64:L64"/>
    <mergeCell ref="K65:L65"/>
    <mergeCell ref="K66:L66"/>
    <mergeCell ref="K67:L67"/>
    <mergeCell ref="K68:L68"/>
    <mergeCell ref="K69:L69"/>
    <mergeCell ref="K70:L70"/>
    <mergeCell ref="K71:L71"/>
    <mergeCell ref="K72:L72"/>
    <mergeCell ref="K73:L73"/>
    <mergeCell ref="K74:L74"/>
    <mergeCell ref="K75:L75"/>
    <mergeCell ref="C71:D71"/>
    <mergeCell ref="E72:F72"/>
    <mergeCell ref="G72:I72"/>
    <mergeCell ref="C73:D73"/>
    <mergeCell ref="E73:F73"/>
    <mergeCell ref="G73:I73"/>
    <mergeCell ref="C69:D69"/>
    <mergeCell ref="E69:F69"/>
    <mergeCell ref="G69:I69"/>
    <mergeCell ref="N71:O71"/>
    <mergeCell ref="N72:O72"/>
    <mergeCell ref="N73:O73"/>
    <mergeCell ref="E71:F71"/>
    <mergeCell ref="A9:D9"/>
    <mergeCell ref="A11:D11"/>
    <mergeCell ref="C70:D70"/>
    <mergeCell ref="E70:F70"/>
    <mergeCell ref="G70:I70"/>
    <mergeCell ref="C67:D67"/>
    <mergeCell ref="E67:F67"/>
    <mergeCell ref="G67:I67"/>
    <mergeCell ref="C68:D68"/>
    <mergeCell ref="E68:F68"/>
    <mergeCell ref="G68:I68"/>
    <mergeCell ref="C62:D62"/>
    <mergeCell ref="E62:F62"/>
    <mergeCell ref="G62:I62"/>
    <mergeCell ref="C63:D63"/>
    <mergeCell ref="E63:F63"/>
    <mergeCell ref="G63:I63"/>
    <mergeCell ref="C64:D64"/>
    <mergeCell ref="E64:F64"/>
    <mergeCell ref="G64:I64"/>
    <mergeCell ref="C65:D65"/>
    <mergeCell ref="E65:F65"/>
    <mergeCell ref="G65:I65"/>
    <mergeCell ref="C66:D66"/>
    <mergeCell ref="F84:L84"/>
    <mergeCell ref="N84:O84"/>
    <mergeCell ref="N83:O83"/>
    <mergeCell ref="N62:O62"/>
    <mergeCell ref="N63:O63"/>
    <mergeCell ref="N64:O64"/>
    <mergeCell ref="N65:O65"/>
    <mergeCell ref="N66:O66"/>
    <mergeCell ref="N67:O67"/>
    <mergeCell ref="N68:O68"/>
    <mergeCell ref="N69:O69"/>
    <mergeCell ref="N70:O70"/>
    <mergeCell ref="E66:F66"/>
    <mergeCell ref="G66:I66"/>
    <mergeCell ref="N78:O78"/>
    <mergeCell ref="N79:O79"/>
    <mergeCell ref="N80:O80"/>
    <mergeCell ref="A78:F78"/>
    <mergeCell ref="A79:F79"/>
    <mergeCell ref="H79:J79"/>
    <mergeCell ref="K79:L79"/>
    <mergeCell ref="K80:L80"/>
    <mergeCell ref="G71:I71"/>
    <mergeCell ref="C72:D72"/>
  </mergeCells>
  <phoneticPr fontId="10" type="noConversion"/>
  <dataValidations count="2">
    <dataValidation errorStyle="warning" allowBlank="1" showInputMessage="1" sqref="K7" xr:uid="{00000000-0002-0000-0700-000000000000}"/>
    <dataValidation allowBlank="1" showErrorMessage="1" sqref="K2:K3 L2" xr:uid="{00000000-0002-0000-0700-000001000000}"/>
  </dataValidations>
  <printOptions horizontalCentered="1" verticalCentered="1"/>
  <pageMargins left="0.5" right="0.5" top="0.5" bottom="1" header="0.5" footer="0.35"/>
  <pageSetup scale="91" orientation="portrait" horizontalDpi="300" r:id="rId1"/>
  <headerFooter alignWithMargins="0"/>
  <ignoredErrors>
    <ignoredError sqref="E9 E11 K45 N50:O61 N45 N15:O40 N46:O49 O45 G62:I73 B45:F49 K46:L49 A11 O62 N63:O73 N62 N42:O44 O41 P15 P16:P29" unlockedFormula="1"/>
    <ignoredError sqref="G51:G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35F9-9D12-4E63-8FA0-1B97C61C939A}">
  <sheetPr>
    <tabColor theme="6" tint="0.59999389629810485"/>
  </sheetPr>
  <dimension ref="A1:AE53"/>
  <sheetViews>
    <sheetView zoomScaleNormal="100" workbookViewId="0">
      <selection sqref="A1:U1"/>
    </sheetView>
  </sheetViews>
  <sheetFormatPr defaultRowHeight="13.2"/>
  <cols>
    <col min="1" max="3" width="9.109375" customWidth="1"/>
    <col min="4" max="21" width="8.33203125" customWidth="1"/>
    <col min="22" max="22" width="3.88671875" customWidth="1"/>
    <col min="23" max="25" width="9.109375" customWidth="1"/>
    <col min="26" max="31" width="8.33203125" customWidth="1"/>
  </cols>
  <sheetData>
    <row r="1" spans="1:31" ht="16.2" thickBot="1">
      <c r="A1" s="808" t="s">
        <v>197</v>
      </c>
      <c r="B1" s="809"/>
      <c r="C1" s="809"/>
      <c r="D1" s="809"/>
      <c r="E1" s="809"/>
      <c r="F1" s="809"/>
      <c r="G1" s="809"/>
      <c r="H1" s="809"/>
      <c r="I1" s="809"/>
      <c r="J1" s="809"/>
      <c r="K1" s="809"/>
      <c r="L1" s="809"/>
      <c r="M1" s="809"/>
      <c r="N1" s="809"/>
      <c r="O1" s="809"/>
      <c r="P1" s="809"/>
      <c r="Q1" s="809"/>
      <c r="R1" s="809"/>
      <c r="S1" s="809"/>
      <c r="T1" s="809"/>
      <c r="U1" s="810"/>
      <c r="V1" s="59"/>
      <c r="W1" s="802" t="s">
        <v>505</v>
      </c>
      <c r="X1" s="803"/>
      <c r="Y1" s="803"/>
      <c r="Z1" s="803"/>
      <c r="AA1" s="803"/>
      <c r="AB1" s="803"/>
      <c r="AC1" s="803"/>
      <c r="AD1" s="803"/>
      <c r="AE1" s="804"/>
    </row>
    <row r="2" spans="1:31" ht="15.6">
      <c r="A2" s="772" t="s">
        <v>223</v>
      </c>
      <c r="B2" s="772"/>
      <c r="C2" s="772"/>
      <c r="D2" s="783" t="s">
        <v>420</v>
      </c>
      <c r="E2" s="784"/>
      <c r="F2" s="785"/>
      <c r="G2" s="783" t="s">
        <v>421</v>
      </c>
      <c r="H2" s="784"/>
      <c r="I2" s="785"/>
      <c r="J2" s="783" t="s">
        <v>422</v>
      </c>
      <c r="K2" s="784"/>
      <c r="L2" s="785"/>
      <c r="M2" s="786" t="s">
        <v>423</v>
      </c>
      <c r="N2" s="786"/>
      <c r="O2" s="786"/>
      <c r="P2" s="783" t="s">
        <v>424</v>
      </c>
      <c r="Q2" s="784"/>
      <c r="R2" s="785"/>
      <c r="S2" s="783" t="s">
        <v>93</v>
      </c>
      <c r="T2" s="784"/>
      <c r="U2" s="785"/>
      <c r="V2" s="59"/>
      <c r="W2" s="805" t="s">
        <v>223</v>
      </c>
      <c r="X2" s="805"/>
      <c r="Y2" s="805"/>
      <c r="Z2" s="362" t="s">
        <v>447</v>
      </c>
      <c r="AA2" s="362" t="s">
        <v>448</v>
      </c>
      <c r="AB2" s="362" t="s">
        <v>449</v>
      </c>
      <c r="AC2" s="362" t="s">
        <v>450</v>
      </c>
      <c r="AD2" s="363" t="s">
        <v>451</v>
      </c>
      <c r="AE2" s="362" t="s">
        <v>93</v>
      </c>
    </row>
    <row r="3" spans="1:31" ht="15.6">
      <c r="A3" s="759" t="str">
        <f>IF('BP1'!$B$15="Professor McCormick","Senior Personnel 1",IF(ISBLANK('BP1'!$B$15),"Senior Personnel 1",'BP1'!$B$15))</f>
        <v>Senior Personnel 1</v>
      </c>
      <c r="B3" s="760"/>
      <c r="C3" s="761"/>
      <c r="D3" s="564" t="s">
        <v>2</v>
      </c>
      <c r="E3" s="566" t="s">
        <v>194</v>
      </c>
      <c r="F3" s="566" t="s">
        <v>195</v>
      </c>
      <c r="G3" s="564" t="s">
        <v>2</v>
      </c>
      <c r="H3" s="566" t="s">
        <v>194</v>
      </c>
      <c r="I3" s="566" t="s">
        <v>195</v>
      </c>
      <c r="J3" s="564" t="s">
        <v>2</v>
      </c>
      <c r="K3" s="566" t="s">
        <v>194</v>
      </c>
      <c r="L3" s="566" t="s">
        <v>195</v>
      </c>
      <c r="M3" s="564" t="s">
        <v>2</v>
      </c>
      <c r="N3" s="566" t="s">
        <v>194</v>
      </c>
      <c r="O3" s="566" t="s">
        <v>195</v>
      </c>
      <c r="P3" s="564" t="s">
        <v>2</v>
      </c>
      <c r="Q3" s="566" t="s">
        <v>194</v>
      </c>
      <c r="R3" s="566" t="s">
        <v>195</v>
      </c>
      <c r="S3" s="564" t="s">
        <v>2</v>
      </c>
      <c r="T3" s="566" t="s">
        <v>194</v>
      </c>
      <c r="U3" s="566" t="s">
        <v>195</v>
      </c>
      <c r="V3" s="59"/>
      <c r="W3" s="800" t="str">
        <f>IF('BP1'!$B$15="Professor McCormick","Senior Personnel 1",IF(ISBLANK('BP1'!$B$15),"Senior Personnel 1",'BP1'!$B$15))</f>
        <v>Senior Personnel 1</v>
      </c>
      <c r="X3" s="800"/>
      <c r="Y3" s="800"/>
      <c r="Z3" s="568" t="s">
        <v>284</v>
      </c>
      <c r="AA3" s="568" t="s">
        <v>284</v>
      </c>
      <c r="AB3" s="568" t="s">
        <v>284</v>
      </c>
      <c r="AC3" s="568" t="s">
        <v>284</v>
      </c>
      <c r="AD3" s="568" t="s">
        <v>284</v>
      </c>
      <c r="AE3" s="568" t="s">
        <v>284</v>
      </c>
    </row>
    <row r="4" spans="1:31" ht="15.6">
      <c r="A4" s="762"/>
      <c r="B4" s="763"/>
      <c r="C4" s="764"/>
      <c r="D4" s="565">
        <f>'Cost Share Summary'!Y9</f>
        <v>0</v>
      </c>
      <c r="E4" s="567">
        <f>'Cost Share Summary'!Z9</f>
        <v>0</v>
      </c>
      <c r="F4" s="567">
        <f>'Cost Share Summary'!AA9</f>
        <v>0</v>
      </c>
      <c r="G4" s="565">
        <f>'Cost Share Summary'!AB9</f>
        <v>0</v>
      </c>
      <c r="H4" s="567">
        <f>'Cost Share Summary'!AC9</f>
        <v>0</v>
      </c>
      <c r="I4" s="567">
        <f>'Cost Share Summary'!AD9</f>
        <v>0</v>
      </c>
      <c r="J4" s="565">
        <f>'Cost Share Summary'!AE9</f>
        <v>0</v>
      </c>
      <c r="K4" s="567">
        <f>'Cost Share Summary'!AF9</f>
        <v>0</v>
      </c>
      <c r="L4" s="567">
        <f>'Cost Share Summary'!AG9</f>
        <v>0</v>
      </c>
      <c r="M4" s="565">
        <f>'Cost Share Summary'!AH9</f>
        <v>0</v>
      </c>
      <c r="N4" s="567">
        <f>'Cost Share Summary'!AI9</f>
        <v>0</v>
      </c>
      <c r="O4" s="567">
        <f>'Cost Share Summary'!AJ9</f>
        <v>0</v>
      </c>
      <c r="P4" s="565">
        <f>'Cost Share Summary'!AK9</f>
        <v>0</v>
      </c>
      <c r="Q4" s="567">
        <f>'Cost Share Summary'!AL9</f>
        <v>0</v>
      </c>
      <c r="R4" s="567">
        <f>'Cost Share Summary'!AM9</f>
        <v>0</v>
      </c>
      <c r="S4" s="565">
        <f>D4+G4+J4+M4+P4</f>
        <v>0</v>
      </c>
      <c r="T4" s="567">
        <f>E4+H4+K4+N4+Q4</f>
        <v>0</v>
      </c>
      <c r="U4" s="567">
        <f>F4+I4+L4+O4+R4</f>
        <v>0</v>
      </c>
      <c r="V4" s="59"/>
      <c r="W4" s="800"/>
      <c r="X4" s="800"/>
      <c r="Y4" s="800"/>
      <c r="Z4" s="569">
        <f>'Cost Share Summary'!AU9</f>
        <v>0</v>
      </c>
      <c r="AA4" s="569">
        <f>'Cost Share Summary'!AV9</f>
        <v>0</v>
      </c>
      <c r="AB4" s="569">
        <f>'Cost Share Summary'!AW9</f>
        <v>0</v>
      </c>
      <c r="AC4" s="569">
        <f>'Cost Share Summary'!AX9</f>
        <v>0</v>
      </c>
      <c r="AD4" s="569">
        <f>'Cost Share Summary'!AY9</f>
        <v>0</v>
      </c>
      <c r="AE4" s="569">
        <f>Z4+AA4+AB4+AC4+AD4</f>
        <v>0</v>
      </c>
    </row>
    <row r="5" spans="1:31" ht="15.6">
      <c r="A5" s="759" t="str">
        <f>IF(ISBLANK('BP1'!$B$16),"Senior Personnel 2",""&amp;'BP1'!$B$16)</f>
        <v>Senior Personnel 2</v>
      </c>
      <c r="B5" s="760"/>
      <c r="C5" s="761"/>
      <c r="D5" s="564" t="s">
        <v>2</v>
      </c>
      <c r="E5" s="566" t="s">
        <v>194</v>
      </c>
      <c r="F5" s="566" t="s">
        <v>195</v>
      </c>
      <c r="G5" s="564" t="s">
        <v>2</v>
      </c>
      <c r="H5" s="566" t="s">
        <v>194</v>
      </c>
      <c r="I5" s="566" t="s">
        <v>195</v>
      </c>
      <c r="J5" s="564" t="s">
        <v>2</v>
      </c>
      <c r="K5" s="566" t="s">
        <v>194</v>
      </c>
      <c r="L5" s="566" t="s">
        <v>195</v>
      </c>
      <c r="M5" s="564" t="s">
        <v>2</v>
      </c>
      <c r="N5" s="566" t="s">
        <v>194</v>
      </c>
      <c r="O5" s="566" t="s">
        <v>195</v>
      </c>
      <c r="P5" s="564" t="s">
        <v>2</v>
      </c>
      <c r="Q5" s="566" t="s">
        <v>194</v>
      </c>
      <c r="R5" s="566" t="s">
        <v>195</v>
      </c>
      <c r="S5" s="564" t="s">
        <v>2</v>
      </c>
      <c r="T5" s="566" t="s">
        <v>194</v>
      </c>
      <c r="U5" s="566" t="s">
        <v>195</v>
      </c>
      <c r="V5" s="59"/>
      <c r="W5" s="800" t="str">
        <f>IF(ISBLANK('BP1'!$B$16),"Senior Personnel 2",""&amp;'BP1'!$B$16)</f>
        <v>Senior Personnel 2</v>
      </c>
      <c r="X5" s="800"/>
      <c r="Y5" s="800"/>
      <c r="Z5" s="568" t="s">
        <v>284</v>
      </c>
      <c r="AA5" s="568" t="s">
        <v>284</v>
      </c>
      <c r="AB5" s="568" t="s">
        <v>284</v>
      </c>
      <c r="AC5" s="568" t="s">
        <v>284</v>
      </c>
      <c r="AD5" s="568" t="s">
        <v>284</v>
      </c>
      <c r="AE5" s="568" t="s">
        <v>284</v>
      </c>
    </row>
    <row r="6" spans="1:31" ht="15.6">
      <c r="A6" s="762"/>
      <c r="B6" s="763"/>
      <c r="C6" s="764"/>
      <c r="D6" s="565">
        <f>'Cost Share Summary'!Y11</f>
        <v>0</v>
      </c>
      <c r="E6" s="567">
        <f>'Cost Share Summary'!Z11</f>
        <v>0</v>
      </c>
      <c r="F6" s="567">
        <f>'Cost Share Summary'!AA11</f>
        <v>0</v>
      </c>
      <c r="G6" s="565">
        <f>'Cost Share Summary'!AB11</f>
        <v>0</v>
      </c>
      <c r="H6" s="567">
        <f>'Cost Share Summary'!AC11</f>
        <v>0</v>
      </c>
      <c r="I6" s="567">
        <f>'Cost Share Summary'!AD11</f>
        <v>0</v>
      </c>
      <c r="J6" s="565">
        <f>'Cost Share Summary'!AE11</f>
        <v>0</v>
      </c>
      <c r="K6" s="567">
        <f>'Cost Share Summary'!AF11</f>
        <v>0</v>
      </c>
      <c r="L6" s="567">
        <f>'Cost Share Summary'!AG11</f>
        <v>0</v>
      </c>
      <c r="M6" s="565">
        <f>'Cost Share Summary'!AH11</f>
        <v>0</v>
      </c>
      <c r="N6" s="567">
        <f>'Cost Share Summary'!AI11</f>
        <v>0</v>
      </c>
      <c r="O6" s="567">
        <f>'Cost Share Summary'!AJ11</f>
        <v>0</v>
      </c>
      <c r="P6" s="565">
        <f>'Cost Share Summary'!AK11</f>
        <v>0</v>
      </c>
      <c r="Q6" s="567">
        <f>'Cost Share Summary'!AL11</f>
        <v>0</v>
      </c>
      <c r="R6" s="567">
        <f>'Cost Share Summary'!AM11</f>
        <v>0</v>
      </c>
      <c r="S6" s="565">
        <f>D6+G6+J6+M6+P6</f>
        <v>0</v>
      </c>
      <c r="T6" s="567">
        <f>E6+H6+K6+N6+Q6</f>
        <v>0</v>
      </c>
      <c r="U6" s="567">
        <f>F6+I6+L6+O6+R6</f>
        <v>0</v>
      </c>
      <c r="V6" s="59"/>
      <c r="W6" s="800"/>
      <c r="X6" s="800"/>
      <c r="Y6" s="800"/>
      <c r="Z6" s="569">
        <f>'Cost Share Summary'!AU11</f>
        <v>0</v>
      </c>
      <c r="AA6" s="569">
        <f>'Cost Share Summary'!AV11</f>
        <v>0</v>
      </c>
      <c r="AB6" s="569">
        <f>'Cost Share Summary'!AW11</f>
        <v>0</v>
      </c>
      <c r="AC6" s="569">
        <f>'Cost Share Summary'!AX11</f>
        <v>0</v>
      </c>
      <c r="AD6" s="569">
        <f>'Cost Share Summary'!AY11</f>
        <v>0</v>
      </c>
      <c r="AE6" s="569">
        <f>Z6+AA6+AB6+AC6+AD6</f>
        <v>0</v>
      </c>
    </row>
    <row r="7" spans="1:31" ht="15.6">
      <c r="A7" s="759" t="str">
        <f>IF(ISBLANK('BP1'!$B$17),"Senior Personnel 3",""&amp;'BP1'!$B$17)</f>
        <v>Senior Personnel 3</v>
      </c>
      <c r="B7" s="760"/>
      <c r="C7" s="761"/>
      <c r="D7" s="564" t="s">
        <v>2</v>
      </c>
      <c r="E7" s="566" t="s">
        <v>194</v>
      </c>
      <c r="F7" s="566" t="s">
        <v>195</v>
      </c>
      <c r="G7" s="564" t="s">
        <v>2</v>
      </c>
      <c r="H7" s="566" t="s">
        <v>194</v>
      </c>
      <c r="I7" s="566" t="s">
        <v>195</v>
      </c>
      <c r="J7" s="564" t="s">
        <v>2</v>
      </c>
      <c r="K7" s="566" t="s">
        <v>194</v>
      </c>
      <c r="L7" s="566" t="s">
        <v>195</v>
      </c>
      <c r="M7" s="564" t="s">
        <v>2</v>
      </c>
      <c r="N7" s="566" t="s">
        <v>194</v>
      </c>
      <c r="O7" s="566" t="s">
        <v>195</v>
      </c>
      <c r="P7" s="564" t="s">
        <v>2</v>
      </c>
      <c r="Q7" s="566" t="s">
        <v>194</v>
      </c>
      <c r="R7" s="566" t="s">
        <v>195</v>
      </c>
      <c r="S7" s="564" t="s">
        <v>2</v>
      </c>
      <c r="T7" s="566" t="s">
        <v>194</v>
      </c>
      <c r="U7" s="566" t="s">
        <v>195</v>
      </c>
      <c r="V7" s="59"/>
      <c r="W7" s="800" t="str">
        <f>IF(ISBLANK('BP1'!$B$17),"Senior Personnel 3",""&amp;'BP1'!$B$17)</f>
        <v>Senior Personnel 3</v>
      </c>
      <c r="X7" s="800"/>
      <c r="Y7" s="800"/>
      <c r="Z7" s="568" t="s">
        <v>284</v>
      </c>
      <c r="AA7" s="568" t="s">
        <v>284</v>
      </c>
      <c r="AB7" s="568" t="s">
        <v>284</v>
      </c>
      <c r="AC7" s="568" t="s">
        <v>284</v>
      </c>
      <c r="AD7" s="568" t="s">
        <v>284</v>
      </c>
      <c r="AE7" s="568" t="s">
        <v>284</v>
      </c>
    </row>
    <row r="8" spans="1:31" ht="15.6">
      <c r="A8" s="762"/>
      <c r="B8" s="763"/>
      <c r="C8" s="764"/>
      <c r="D8" s="565">
        <f>'Cost Share Summary'!Y13</f>
        <v>0</v>
      </c>
      <c r="E8" s="567">
        <f>'Cost Share Summary'!Z13</f>
        <v>0</v>
      </c>
      <c r="F8" s="567">
        <f>'Cost Share Summary'!AA13</f>
        <v>0</v>
      </c>
      <c r="G8" s="565">
        <f>'Cost Share Summary'!AB13</f>
        <v>0</v>
      </c>
      <c r="H8" s="567">
        <f>'Cost Share Summary'!AC13</f>
        <v>0</v>
      </c>
      <c r="I8" s="567">
        <f>'Cost Share Summary'!AD13</f>
        <v>0</v>
      </c>
      <c r="J8" s="565">
        <f>'Cost Share Summary'!AE13</f>
        <v>0</v>
      </c>
      <c r="K8" s="567">
        <f>'Cost Share Summary'!AF13</f>
        <v>0</v>
      </c>
      <c r="L8" s="567">
        <f>'Cost Share Summary'!AG13</f>
        <v>0</v>
      </c>
      <c r="M8" s="565">
        <f>'Cost Share Summary'!AH13</f>
        <v>0</v>
      </c>
      <c r="N8" s="567">
        <f>'Cost Share Summary'!AI13</f>
        <v>0</v>
      </c>
      <c r="O8" s="567">
        <f>'Cost Share Summary'!AJ13</f>
        <v>0</v>
      </c>
      <c r="P8" s="565">
        <f>'Cost Share Summary'!AK13</f>
        <v>0</v>
      </c>
      <c r="Q8" s="567">
        <f>'Cost Share Summary'!AL13</f>
        <v>0</v>
      </c>
      <c r="R8" s="567">
        <f>'Cost Share Summary'!AM13</f>
        <v>0</v>
      </c>
      <c r="S8" s="565">
        <f>D8+G8+J8+M8+P8</f>
        <v>0</v>
      </c>
      <c r="T8" s="567">
        <f>E8+H8+K8+N8+Q8</f>
        <v>0</v>
      </c>
      <c r="U8" s="567">
        <f>F8+I8+L8+O8+R8</f>
        <v>0</v>
      </c>
      <c r="V8" s="59"/>
      <c r="W8" s="800"/>
      <c r="X8" s="800"/>
      <c r="Y8" s="800"/>
      <c r="Z8" s="569">
        <f>'Cost Share Summary'!AU13</f>
        <v>0</v>
      </c>
      <c r="AA8" s="569">
        <f>'Cost Share Summary'!AV13</f>
        <v>0</v>
      </c>
      <c r="AB8" s="569">
        <f>'Cost Share Summary'!AW13</f>
        <v>0</v>
      </c>
      <c r="AC8" s="569">
        <f>'Cost Share Summary'!AX13</f>
        <v>0</v>
      </c>
      <c r="AD8" s="569">
        <f>'Cost Share Summary'!AY13</f>
        <v>0</v>
      </c>
      <c r="AE8" s="569">
        <f>Z8+AA8+AB8+AC8+AD8</f>
        <v>0</v>
      </c>
    </row>
    <row r="9" spans="1:31" ht="15.6">
      <c r="A9" s="759" t="str">
        <f>IF(ISBLANK('BP1'!$B$18),"Senior Personnel 4",""&amp;'BP1'!$B$18)</f>
        <v>Senior Personnel 4</v>
      </c>
      <c r="B9" s="760"/>
      <c r="C9" s="761"/>
      <c r="D9" s="564" t="s">
        <v>2</v>
      </c>
      <c r="E9" s="566" t="s">
        <v>194</v>
      </c>
      <c r="F9" s="566" t="s">
        <v>195</v>
      </c>
      <c r="G9" s="564" t="s">
        <v>2</v>
      </c>
      <c r="H9" s="566" t="s">
        <v>194</v>
      </c>
      <c r="I9" s="566" t="s">
        <v>195</v>
      </c>
      <c r="J9" s="564" t="s">
        <v>2</v>
      </c>
      <c r="K9" s="566" t="s">
        <v>194</v>
      </c>
      <c r="L9" s="566" t="s">
        <v>195</v>
      </c>
      <c r="M9" s="564" t="s">
        <v>2</v>
      </c>
      <c r="N9" s="566" t="s">
        <v>194</v>
      </c>
      <c r="O9" s="566" t="s">
        <v>195</v>
      </c>
      <c r="P9" s="564" t="s">
        <v>2</v>
      </c>
      <c r="Q9" s="566" t="s">
        <v>194</v>
      </c>
      <c r="R9" s="566" t="s">
        <v>195</v>
      </c>
      <c r="S9" s="564" t="s">
        <v>2</v>
      </c>
      <c r="T9" s="566" t="s">
        <v>194</v>
      </c>
      <c r="U9" s="566" t="s">
        <v>195</v>
      </c>
      <c r="V9" s="59"/>
      <c r="W9" s="800" t="str">
        <f>IF(ISBLANK('BP1'!$B$18),"Senior Personnel 4",""&amp;'BP1'!$B$18)</f>
        <v>Senior Personnel 4</v>
      </c>
      <c r="X9" s="800"/>
      <c r="Y9" s="800"/>
      <c r="Z9" s="568" t="s">
        <v>284</v>
      </c>
      <c r="AA9" s="568" t="s">
        <v>284</v>
      </c>
      <c r="AB9" s="568" t="s">
        <v>284</v>
      </c>
      <c r="AC9" s="568" t="s">
        <v>284</v>
      </c>
      <c r="AD9" s="568" t="s">
        <v>284</v>
      </c>
      <c r="AE9" s="568" t="s">
        <v>284</v>
      </c>
    </row>
    <row r="10" spans="1:31" ht="15.6">
      <c r="A10" s="762"/>
      <c r="B10" s="763"/>
      <c r="C10" s="764"/>
      <c r="D10" s="565">
        <f>'Cost Share Summary'!Y15</f>
        <v>0</v>
      </c>
      <c r="E10" s="567">
        <f>'Cost Share Summary'!Z15</f>
        <v>0</v>
      </c>
      <c r="F10" s="567">
        <f>'Cost Share Summary'!AA15</f>
        <v>0</v>
      </c>
      <c r="G10" s="565">
        <f>'Cost Share Summary'!AB15</f>
        <v>0</v>
      </c>
      <c r="H10" s="567">
        <f>'Cost Share Summary'!AC15</f>
        <v>0</v>
      </c>
      <c r="I10" s="567">
        <f>'Cost Share Summary'!AD15</f>
        <v>0</v>
      </c>
      <c r="J10" s="565">
        <f>'Cost Share Summary'!AE15</f>
        <v>0</v>
      </c>
      <c r="K10" s="567">
        <f>'Cost Share Summary'!AF15</f>
        <v>0</v>
      </c>
      <c r="L10" s="567">
        <f>'Cost Share Summary'!AG15</f>
        <v>0</v>
      </c>
      <c r="M10" s="565">
        <f>'Cost Share Summary'!AH15</f>
        <v>0</v>
      </c>
      <c r="N10" s="567">
        <f>'Cost Share Summary'!AI15</f>
        <v>0</v>
      </c>
      <c r="O10" s="567">
        <f>'Cost Share Summary'!AJ15</f>
        <v>0</v>
      </c>
      <c r="P10" s="565">
        <f>'Cost Share Summary'!AK15</f>
        <v>0</v>
      </c>
      <c r="Q10" s="567">
        <f>'Cost Share Summary'!AL15</f>
        <v>0</v>
      </c>
      <c r="R10" s="567">
        <f>'Cost Share Summary'!AM15</f>
        <v>0</v>
      </c>
      <c r="S10" s="565">
        <f>D10+G10+J10+M10+P10</f>
        <v>0</v>
      </c>
      <c r="T10" s="567">
        <f>E10+H10+K10+N10+Q10</f>
        <v>0</v>
      </c>
      <c r="U10" s="567">
        <f>F10+I10+L10+O10+R10</f>
        <v>0</v>
      </c>
      <c r="V10" s="59"/>
      <c r="W10" s="800"/>
      <c r="X10" s="800"/>
      <c r="Y10" s="800"/>
      <c r="Z10" s="569">
        <f>'Cost Share Summary'!AU15</f>
        <v>0</v>
      </c>
      <c r="AA10" s="569">
        <f>'Cost Share Summary'!AV15</f>
        <v>0</v>
      </c>
      <c r="AB10" s="569">
        <f>'Cost Share Summary'!AW15</f>
        <v>0</v>
      </c>
      <c r="AC10" s="569">
        <f>'Cost Share Summary'!AX15</f>
        <v>0</v>
      </c>
      <c r="AD10" s="569">
        <f>'Cost Share Summary'!AY15</f>
        <v>0</v>
      </c>
      <c r="AE10" s="569">
        <f>Z10+AA10+AB10+AC10+AD10</f>
        <v>0</v>
      </c>
    </row>
    <row r="11" spans="1:31" ht="15.6">
      <c r="A11" s="759" t="str">
        <f>IF(ISBLANK('BP1'!$B$19),"Senior Personnel 5",""&amp;'BP1'!$B$19)</f>
        <v>Senior Personnel 5</v>
      </c>
      <c r="B11" s="760"/>
      <c r="C11" s="761"/>
      <c r="D11" s="564" t="s">
        <v>2</v>
      </c>
      <c r="E11" s="566" t="s">
        <v>194</v>
      </c>
      <c r="F11" s="566" t="s">
        <v>195</v>
      </c>
      <c r="G11" s="564" t="s">
        <v>2</v>
      </c>
      <c r="H11" s="566" t="s">
        <v>194</v>
      </c>
      <c r="I11" s="566" t="s">
        <v>195</v>
      </c>
      <c r="J11" s="564" t="s">
        <v>2</v>
      </c>
      <c r="K11" s="566" t="s">
        <v>194</v>
      </c>
      <c r="L11" s="566" t="s">
        <v>195</v>
      </c>
      <c r="M11" s="564" t="s">
        <v>2</v>
      </c>
      <c r="N11" s="566" t="s">
        <v>194</v>
      </c>
      <c r="O11" s="566" t="s">
        <v>195</v>
      </c>
      <c r="P11" s="564" t="s">
        <v>2</v>
      </c>
      <c r="Q11" s="566" t="s">
        <v>194</v>
      </c>
      <c r="R11" s="566" t="s">
        <v>195</v>
      </c>
      <c r="S11" s="564" t="s">
        <v>2</v>
      </c>
      <c r="T11" s="566" t="s">
        <v>194</v>
      </c>
      <c r="U11" s="566" t="s">
        <v>195</v>
      </c>
      <c r="V11" s="59"/>
      <c r="W11" s="800" t="str">
        <f>IF(ISBLANK('BP1'!$B$19),"Senior Personnel 5",""&amp;'BP1'!$B$19)</f>
        <v>Senior Personnel 5</v>
      </c>
      <c r="X11" s="800"/>
      <c r="Y11" s="800"/>
      <c r="Z11" s="568" t="s">
        <v>284</v>
      </c>
      <c r="AA11" s="568" t="s">
        <v>284</v>
      </c>
      <c r="AB11" s="568" t="s">
        <v>284</v>
      </c>
      <c r="AC11" s="568" t="s">
        <v>284</v>
      </c>
      <c r="AD11" s="568" t="s">
        <v>284</v>
      </c>
      <c r="AE11" s="568" t="s">
        <v>284</v>
      </c>
    </row>
    <row r="12" spans="1:31" ht="15.6">
      <c r="A12" s="762"/>
      <c r="B12" s="763"/>
      <c r="C12" s="764"/>
      <c r="D12" s="565">
        <f>'Cost Share Summary'!Y17</f>
        <v>0</v>
      </c>
      <c r="E12" s="567">
        <f>'Cost Share Summary'!Z17</f>
        <v>0</v>
      </c>
      <c r="F12" s="567">
        <f>'Cost Share Summary'!AA17</f>
        <v>0</v>
      </c>
      <c r="G12" s="565">
        <f>'Cost Share Summary'!AB17</f>
        <v>0</v>
      </c>
      <c r="H12" s="567">
        <f>'Cost Share Summary'!AC17</f>
        <v>0</v>
      </c>
      <c r="I12" s="567">
        <f>'Cost Share Summary'!AD17</f>
        <v>0</v>
      </c>
      <c r="J12" s="565">
        <f>'Cost Share Summary'!AE17</f>
        <v>0</v>
      </c>
      <c r="K12" s="567">
        <f>'Cost Share Summary'!AF17</f>
        <v>0</v>
      </c>
      <c r="L12" s="567">
        <f>'Cost Share Summary'!AG17</f>
        <v>0</v>
      </c>
      <c r="M12" s="565">
        <f>'Cost Share Summary'!AH17</f>
        <v>0</v>
      </c>
      <c r="N12" s="567">
        <f>'Cost Share Summary'!AI17</f>
        <v>0</v>
      </c>
      <c r="O12" s="567">
        <f>'Cost Share Summary'!AJ17</f>
        <v>0</v>
      </c>
      <c r="P12" s="565">
        <f>'Cost Share Summary'!AK17</f>
        <v>0</v>
      </c>
      <c r="Q12" s="567">
        <f>'Cost Share Summary'!AL17</f>
        <v>0</v>
      </c>
      <c r="R12" s="567">
        <f>'Cost Share Summary'!AM17</f>
        <v>0</v>
      </c>
      <c r="S12" s="565">
        <f>D12+G12+J12+M12+P12</f>
        <v>0</v>
      </c>
      <c r="T12" s="567">
        <f>E12+H12+K12+N12+Q12</f>
        <v>0</v>
      </c>
      <c r="U12" s="567">
        <f>F12+I12+L12+O12+R12</f>
        <v>0</v>
      </c>
      <c r="V12" s="59"/>
      <c r="W12" s="800"/>
      <c r="X12" s="800"/>
      <c r="Y12" s="800"/>
      <c r="Z12" s="569">
        <f>'Cost Share Summary'!AU17</f>
        <v>0</v>
      </c>
      <c r="AA12" s="569">
        <f>'Cost Share Summary'!AV17</f>
        <v>0</v>
      </c>
      <c r="AB12" s="569">
        <f>'Cost Share Summary'!AW17</f>
        <v>0</v>
      </c>
      <c r="AC12" s="569">
        <f>'Cost Share Summary'!AX17</f>
        <v>0</v>
      </c>
      <c r="AD12" s="569">
        <f>'Cost Share Summary'!AY17</f>
        <v>0</v>
      </c>
      <c r="AE12" s="569">
        <f>Z12+AA12+AB12+AC12+AD12</f>
        <v>0</v>
      </c>
    </row>
    <row r="13" spans="1:31" ht="15.6">
      <c r="A13" s="759" t="str">
        <f>IF(ISBLANK('BP1'!$B$20),"Senior Personnel 6",""&amp;'BP1'!$B$20)</f>
        <v>Senior Personnel 6</v>
      </c>
      <c r="B13" s="760"/>
      <c r="C13" s="761"/>
      <c r="D13" s="564" t="s">
        <v>2</v>
      </c>
      <c r="E13" s="566" t="s">
        <v>194</v>
      </c>
      <c r="F13" s="566" t="s">
        <v>195</v>
      </c>
      <c r="G13" s="564" t="s">
        <v>2</v>
      </c>
      <c r="H13" s="566" t="s">
        <v>194</v>
      </c>
      <c r="I13" s="566" t="s">
        <v>195</v>
      </c>
      <c r="J13" s="564" t="s">
        <v>2</v>
      </c>
      <c r="K13" s="566" t="s">
        <v>194</v>
      </c>
      <c r="L13" s="566" t="s">
        <v>195</v>
      </c>
      <c r="M13" s="564" t="s">
        <v>2</v>
      </c>
      <c r="N13" s="566" t="s">
        <v>194</v>
      </c>
      <c r="O13" s="566" t="s">
        <v>195</v>
      </c>
      <c r="P13" s="564" t="s">
        <v>2</v>
      </c>
      <c r="Q13" s="566" t="s">
        <v>194</v>
      </c>
      <c r="R13" s="566" t="s">
        <v>195</v>
      </c>
      <c r="S13" s="564" t="s">
        <v>2</v>
      </c>
      <c r="T13" s="566" t="s">
        <v>194</v>
      </c>
      <c r="U13" s="566" t="s">
        <v>195</v>
      </c>
      <c r="V13" s="59"/>
      <c r="W13" s="800" t="str">
        <f>IF(ISBLANK('BP1'!$B$20),"Senior Personnel 6",""&amp;'BP1'!$B$20)</f>
        <v>Senior Personnel 6</v>
      </c>
      <c r="X13" s="800"/>
      <c r="Y13" s="800"/>
      <c r="Z13" s="568" t="s">
        <v>284</v>
      </c>
      <c r="AA13" s="568" t="s">
        <v>284</v>
      </c>
      <c r="AB13" s="568" t="s">
        <v>284</v>
      </c>
      <c r="AC13" s="568" t="s">
        <v>284</v>
      </c>
      <c r="AD13" s="568" t="s">
        <v>284</v>
      </c>
      <c r="AE13" s="568" t="s">
        <v>284</v>
      </c>
    </row>
    <row r="14" spans="1:31" ht="15.6">
      <c r="A14" s="762"/>
      <c r="B14" s="763"/>
      <c r="C14" s="764"/>
      <c r="D14" s="565">
        <f>'Cost Share Summary'!Y19</f>
        <v>0</v>
      </c>
      <c r="E14" s="567">
        <f>'Cost Share Summary'!Z19</f>
        <v>0</v>
      </c>
      <c r="F14" s="567">
        <f>'Cost Share Summary'!AA19</f>
        <v>0</v>
      </c>
      <c r="G14" s="565">
        <f>'Cost Share Summary'!AB19</f>
        <v>0</v>
      </c>
      <c r="H14" s="567">
        <f>'Cost Share Summary'!AC19</f>
        <v>0</v>
      </c>
      <c r="I14" s="567">
        <f>'Cost Share Summary'!AD19</f>
        <v>0</v>
      </c>
      <c r="J14" s="565">
        <f>'Cost Share Summary'!AE19</f>
        <v>0</v>
      </c>
      <c r="K14" s="567">
        <f>'Cost Share Summary'!AF19</f>
        <v>0</v>
      </c>
      <c r="L14" s="567">
        <f>'Cost Share Summary'!AG19</f>
        <v>0</v>
      </c>
      <c r="M14" s="565">
        <f>'Cost Share Summary'!AH19</f>
        <v>0</v>
      </c>
      <c r="N14" s="567">
        <f>'Cost Share Summary'!AI19</f>
        <v>0</v>
      </c>
      <c r="O14" s="567">
        <f>'Cost Share Summary'!AJ19</f>
        <v>0</v>
      </c>
      <c r="P14" s="565">
        <f>'Cost Share Summary'!AK19</f>
        <v>0</v>
      </c>
      <c r="Q14" s="567">
        <f>'Cost Share Summary'!AL19</f>
        <v>0</v>
      </c>
      <c r="R14" s="567">
        <f>'Cost Share Summary'!AM19</f>
        <v>0</v>
      </c>
      <c r="S14" s="565">
        <f>D14+G14+J14+M14+P14</f>
        <v>0</v>
      </c>
      <c r="T14" s="567">
        <f>E14+H14+K14+N14+Q14</f>
        <v>0</v>
      </c>
      <c r="U14" s="567">
        <f>F14+I14+L14+O14+R14</f>
        <v>0</v>
      </c>
      <c r="V14" s="59"/>
      <c r="W14" s="800"/>
      <c r="X14" s="800"/>
      <c r="Y14" s="800"/>
      <c r="Z14" s="569">
        <f>'Cost Share Summary'!AU19</f>
        <v>0</v>
      </c>
      <c r="AA14" s="569">
        <f>'Cost Share Summary'!AV19</f>
        <v>0</v>
      </c>
      <c r="AB14" s="569">
        <f>'Cost Share Summary'!AW19</f>
        <v>0</v>
      </c>
      <c r="AC14" s="569">
        <f>'Cost Share Summary'!AX19</f>
        <v>0</v>
      </c>
      <c r="AD14" s="569">
        <f>'Cost Share Summary'!AY19</f>
        <v>0</v>
      </c>
      <c r="AE14" s="569">
        <f>Z14+AA14+AB14+AC14+AD14</f>
        <v>0</v>
      </c>
    </row>
    <row r="15" spans="1:31" ht="15.6">
      <c r="A15" s="759" t="str">
        <f>IF(ISBLANK('BP1'!$B$21),"Senior Personnel 7",""&amp;'BP1'!$B$21)</f>
        <v>Senior Personnel 7</v>
      </c>
      <c r="B15" s="760"/>
      <c r="C15" s="761"/>
      <c r="D15" s="564" t="s">
        <v>2</v>
      </c>
      <c r="E15" s="566" t="s">
        <v>194</v>
      </c>
      <c r="F15" s="566" t="s">
        <v>195</v>
      </c>
      <c r="G15" s="564" t="s">
        <v>2</v>
      </c>
      <c r="H15" s="566" t="s">
        <v>194</v>
      </c>
      <c r="I15" s="566" t="s">
        <v>195</v>
      </c>
      <c r="J15" s="564" t="s">
        <v>2</v>
      </c>
      <c r="K15" s="566" t="s">
        <v>194</v>
      </c>
      <c r="L15" s="566" t="s">
        <v>195</v>
      </c>
      <c r="M15" s="564" t="s">
        <v>2</v>
      </c>
      <c r="N15" s="566" t="s">
        <v>194</v>
      </c>
      <c r="O15" s="566" t="s">
        <v>195</v>
      </c>
      <c r="P15" s="564" t="s">
        <v>2</v>
      </c>
      <c r="Q15" s="566" t="s">
        <v>194</v>
      </c>
      <c r="R15" s="566" t="s">
        <v>195</v>
      </c>
      <c r="S15" s="564" t="s">
        <v>2</v>
      </c>
      <c r="T15" s="566" t="s">
        <v>194</v>
      </c>
      <c r="U15" s="566" t="s">
        <v>195</v>
      </c>
      <c r="V15" s="59"/>
      <c r="W15" s="800" t="str">
        <f>IF(ISBLANK('BP1'!$B$21),"Senior Personnel 7",""&amp;'BP1'!$B$21)</f>
        <v>Senior Personnel 7</v>
      </c>
      <c r="X15" s="800"/>
      <c r="Y15" s="800"/>
      <c r="Z15" s="568" t="s">
        <v>284</v>
      </c>
      <c r="AA15" s="568" t="s">
        <v>284</v>
      </c>
      <c r="AB15" s="568" t="s">
        <v>284</v>
      </c>
      <c r="AC15" s="568" t="s">
        <v>284</v>
      </c>
      <c r="AD15" s="568" t="s">
        <v>284</v>
      </c>
      <c r="AE15" s="568" t="s">
        <v>284</v>
      </c>
    </row>
    <row r="16" spans="1:31" ht="15.6">
      <c r="A16" s="762"/>
      <c r="B16" s="763"/>
      <c r="C16" s="764"/>
      <c r="D16" s="565">
        <f>'Cost Share Summary'!Y21</f>
        <v>0</v>
      </c>
      <c r="E16" s="567">
        <f>'Cost Share Summary'!Z21</f>
        <v>0</v>
      </c>
      <c r="F16" s="567">
        <f>'Cost Share Summary'!AA21</f>
        <v>0</v>
      </c>
      <c r="G16" s="565">
        <f>'Cost Share Summary'!AB21</f>
        <v>0</v>
      </c>
      <c r="H16" s="567">
        <f>'Cost Share Summary'!AC21</f>
        <v>0</v>
      </c>
      <c r="I16" s="567">
        <f>'Cost Share Summary'!AD21</f>
        <v>0</v>
      </c>
      <c r="J16" s="565">
        <f>'Cost Share Summary'!AE21</f>
        <v>0</v>
      </c>
      <c r="K16" s="567">
        <f>'Cost Share Summary'!AF21</f>
        <v>0</v>
      </c>
      <c r="L16" s="567">
        <f>'Cost Share Summary'!AG21</f>
        <v>0</v>
      </c>
      <c r="M16" s="565">
        <f>'Cost Share Summary'!AH21</f>
        <v>0</v>
      </c>
      <c r="N16" s="567">
        <f>'Cost Share Summary'!AI21</f>
        <v>0</v>
      </c>
      <c r="O16" s="567">
        <f>'Cost Share Summary'!AJ21</f>
        <v>0</v>
      </c>
      <c r="P16" s="565">
        <f>'Cost Share Summary'!AK21</f>
        <v>0</v>
      </c>
      <c r="Q16" s="567">
        <f>'Cost Share Summary'!AL21</f>
        <v>0</v>
      </c>
      <c r="R16" s="567">
        <f>'Cost Share Summary'!AM21</f>
        <v>0</v>
      </c>
      <c r="S16" s="565">
        <f>D16+G16+J16+M16+P16</f>
        <v>0</v>
      </c>
      <c r="T16" s="567">
        <f>E16+H16+K16+N16+Q16</f>
        <v>0</v>
      </c>
      <c r="U16" s="567">
        <f>F16+I16+L16+O16+R16</f>
        <v>0</v>
      </c>
      <c r="V16" s="59"/>
      <c r="W16" s="800"/>
      <c r="X16" s="800"/>
      <c r="Y16" s="800"/>
      <c r="Z16" s="569">
        <f>'Cost Share Summary'!AU21</f>
        <v>0</v>
      </c>
      <c r="AA16" s="569">
        <f>'Cost Share Summary'!AV21</f>
        <v>0</v>
      </c>
      <c r="AB16" s="569">
        <f>'Cost Share Summary'!AW21</f>
        <v>0</v>
      </c>
      <c r="AC16" s="569">
        <f>'Cost Share Summary'!AX21</f>
        <v>0</v>
      </c>
      <c r="AD16" s="569">
        <f>'Cost Share Summary'!AY21</f>
        <v>0</v>
      </c>
      <c r="AE16" s="569">
        <f>Z16+AA16+AB16+AC16+AD16</f>
        <v>0</v>
      </c>
    </row>
    <row r="17" spans="1:31" ht="15.6">
      <c r="A17" s="759" t="str">
        <f>IF(ISBLANK('BP1'!$B$22),"Senior Personnel 8",""&amp;'BP1'!$B$22)</f>
        <v>Senior Personnel 8</v>
      </c>
      <c r="B17" s="760"/>
      <c r="C17" s="761"/>
      <c r="D17" s="564" t="s">
        <v>2</v>
      </c>
      <c r="E17" s="566" t="s">
        <v>194</v>
      </c>
      <c r="F17" s="566" t="s">
        <v>195</v>
      </c>
      <c r="G17" s="564" t="s">
        <v>2</v>
      </c>
      <c r="H17" s="566" t="s">
        <v>194</v>
      </c>
      <c r="I17" s="566" t="s">
        <v>195</v>
      </c>
      <c r="J17" s="564" t="s">
        <v>2</v>
      </c>
      <c r="K17" s="566" t="s">
        <v>194</v>
      </c>
      <c r="L17" s="566" t="s">
        <v>195</v>
      </c>
      <c r="M17" s="564" t="s">
        <v>2</v>
      </c>
      <c r="N17" s="566" t="s">
        <v>194</v>
      </c>
      <c r="O17" s="566" t="s">
        <v>195</v>
      </c>
      <c r="P17" s="564" t="s">
        <v>2</v>
      </c>
      <c r="Q17" s="566" t="s">
        <v>194</v>
      </c>
      <c r="R17" s="566" t="s">
        <v>195</v>
      </c>
      <c r="S17" s="564" t="s">
        <v>2</v>
      </c>
      <c r="T17" s="566" t="s">
        <v>194</v>
      </c>
      <c r="U17" s="566" t="s">
        <v>195</v>
      </c>
      <c r="V17" s="59"/>
      <c r="W17" s="800" t="str">
        <f>IF(ISBLANK('BP1'!$B$22),"Senior Personnel 8",""&amp;'BP1'!$B$22)</f>
        <v>Senior Personnel 8</v>
      </c>
      <c r="X17" s="800"/>
      <c r="Y17" s="800"/>
      <c r="Z17" s="568" t="s">
        <v>284</v>
      </c>
      <c r="AA17" s="568" t="s">
        <v>284</v>
      </c>
      <c r="AB17" s="568" t="s">
        <v>284</v>
      </c>
      <c r="AC17" s="568" t="s">
        <v>284</v>
      </c>
      <c r="AD17" s="568" t="s">
        <v>284</v>
      </c>
      <c r="AE17" s="568" t="s">
        <v>284</v>
      </c>
    </row>
    <row r="18" spans="1:31" ht="15.6">
      <c r="A18" s="762"/>
      <c r="B18" s="763"/>
      <c r="C18" s="764"/>
      <c r="D18" s="565">
        <f>'Cost Share Summary'!Y23</f>
        <v>0</v>
      </c>
      <c r="E18" s="567">
        <f>'Cost Share Summary'!Z23</f>
        <v>0</v>
      </c>
      <c r="F18" s="567">
        <f>'Cost Share Summary'!AA23</f>
        <v>0</v>
      </c>
      <c r="G18" s="565">
        <f>'Cost Share Summary'!AB23</f>
        <v>0</v>
      </c>
      <c r="H18" s="567">
        <f>'Cost Share Summary'!AC23</f>
        <v>0</v>
      </c>
      <c r="I18" s="567">
        <f>'Cost Share Summary'!AD23</f>
        <v>0</v>
      </c>
      <c r="J18" s="565">
        <f>'Cost Share Summary'!AE23</f>
        <v>0</v>
      </c>
      <c r="K18" s="567">
        <f>'Cost Share Summary'!AF23</f>
        <v>0</v>
      </c>
      <c r="L18" s="567">
        <f>'Cost Share Summary'!AG23</f>
        <v>0</v>
      </c>
      <c r="M18" s="565">
        <f>'Cost Share Summary'!AH23</f>
        <v>0</v>
      </c>
      <c r="N18" s="567">
        <f>'Cost Share Summary'!AI23</f>
        <v>0</v>
      </c>
      <c r="O18" s="567">
        <f>'Cost Share Summary'!AJ23</f>
        <v>0</v>
      </c>
      <c r="P18" s="565">
        <f>'Cost Share Summary'!AK23</f>
        <v>0</v>
      </c>
      <c r="Q18" s="567">
        <f>'Cost Share Summary'!AL23</f>
        <v>0</v>
      </c>
      <c r="R18" s="567">
        <f>'Cost Share Summary'!AM23</f>
        <v>0</v>
      </c>
      <c r="S18" s="565">
        <f>D18+G18+J18+M18+P18</f>
        <v>0</v>
      </c>
      <c r="T18" s="567">
        <f>E18+H18+K18+N18+Q18</f>
        <v>0</v>
      </c>
      <c r="U18" s="567">
        <f>F18+I18+L18+O18+R18</f>
        <v>0</v>
      </c>
      <c r="V18" s="59"/>
      <c r="W18" s="800"/>
      <c r="X18" s="800"/>
      <c r="Y18" s="800"/>
      <c r="Z18" s="569">
        <f>'Cost Share Summary'!AU23</f>
        <v>0</v>
      </c>
      <c r="AA18" s="569">
        <f>'Cost Share Summary'!AV23</f>
        <v>0</v>
      </c>
      <c r="AB18" s="569">
        <f>'Cost Share Summary'!AW23</f>
        <v>0</v>
      </c>
      <c r="AC18" s="569">
        <f>'Cost Share Summary'!AX23</f>
        <v>0</v>
      </c>
      <c r="AD18" s="569">
        <f>'Cost Share Summary'!AY23</f>
        <v>0</v>
      </c>
      <c r="AE18" s="569">
        <f>Z18+AA18+AB18+AC18+AD18</f>
        <v>0</v>
      </c>
    </row>
    <row r="19" spans="1:31" ht="15.6">
      <c r="A19" s="759" t="str">
        <f>IF(ISBLANK('BP1'!$B$23),"Senior Personnel 9",""&amp;'BP1'!$B$23)</f>
        <v>Senior Personnel 9</v>
      </c>
      <c r="B19" s="760"/>
      <c r="C19" s="761"/>
      <c r="D19" s="564" t="s">
        <v>2</v>
      </c>
      <c r="E19" s="566" t="s">
        <v>194</v>
      </c>
      <c r="F19" s="566" t="s">
        <v>195</v>
      </c>
      <c r="G19" s="564" t="s">
        <v>2</v>
      </c>
      <c r="H19" s="566" t="s">
        <v>194</v>
      </c>
      <c r="I19" s="566" t="s">
        <v>195</v>
      </c>
      <c r="J19" s="564" t="s">
        <v>2</v>
      </c>
      <c r="K19" s="566" t="s">
        <v>194</v>
      </c>
      <c r="L19" s="566" t="s">
        <v>195</v>
      </c>
      <c r="M19" s="564" t="s">
        <v>2</v>
      </c>
      <c r="N19" s="566" t="s">
        <v>194</v>
      </c>
      <c r="O19" s="566" t="s">
        <v>195</v>
      </c>
      <c r="P19" s="564" t="s">
        <v>2</v>
      </c>
      <c r="Q19" s="566" t="s">
        <v>194</v>
      </c>
      <c r="R19" s="566" t="s">
        <v>195</v>
      </c>
      <c r="S19" s="564" t="s">
        <v>2</v>
      </c>
      <c r="T19" s="566" t="s">
        <v>194</v>
      </c>
      <c r="U19" s="566" t="s">
        <v>195</v>
      </c>
      <c r="V19" s="59"/>
      <c r="W19" s="800" t="str">
        <f>IF(ISBLANK('BP1'!$B$23),"Senior Personnel 9",""&amp;'BP1'!$B$23)</f>
        <v>Senior Personnel 9</v>
      </c>
      <c r="X19" s="800"/>
      <c r="Y19" s="800"/>
      <c r="Z19" s="568" t="s">
        <v>284</v>
      </c>
      <c r="AA19" s="568" t="s">
        <v>284</v>
      </c>
      <c r="AB19" s="568" t="s">
        <v>284</v>
      </c>
      <c r="AC19" s="568" t="s">
        <v>284</v>
      </c>
      <c r="AD19" s="568" t="s">
        <v>284</v>
      </c>
      <c r="AE19" s="568" t="s">
        <v>284</v>
      </c>
    </row>
    <row r="20" spans="1:31" ht="15.6">
      <c r="A20" s="762"/>
      <c r="B20" s="763"/>
      <c r="C20" s="764"/>
      <c r="D20" s="565">
        <f>'Cost Share Summary'!Y25</f>
        <v>0</v>
      </c>
      <c r="E20" s="567">
        <f>'Cost Share Summary'!Z25</f>
        <v>0</v>
      </c>
      <c r="F20" s="567">
        <f>'Cost Share Summary'!AA25</f>
        <v>0</v>
      </c>
      <c r="G20" s="565">
        <f>'Cost Share Summary'!AB25</f>
        <v>0</v>
      </c>
      <c r="H20" s="567">
        <f>'Cost Share Summary'!AC25</f>
        <v>0</v>
      </c>
      <c r="I20" s="567">
        <f>'Cost Share Summary'!AD25</f>
        <v>0</v>
      </c>
      <c r="J20" s="565">
        <f>'Cost Share Summary'!AE25</f>
        <v>0</v>
      </c>
      <c r="K20" s="567">
        <f>'Cost Share Summary'!AF25</f>
        <v>0</v>
      </c>
      <c r="L20" s="567">
        <f>'Cost Share Summary'!AG25</f>
        <v>0</v>
      </c>
      <c r="M20" s="565">
        <f>'Cost Share Summary'!AH25</f>
        <v>0</v>
      </c>
      <c r="N20" s="567">
        <f>'Cost Share Summary'!AI25</f>
        <v>0</v>
      </c>
      <c r="O20" s="567">
        <f>'Cost Share Summary'!AJ25</f>
        <v>0</v>
      </c>
      <c r="P20" s="565">
        <f>'Cost Share Summary'!AK25</f>
        <v>0</v>
      </c>
      <c r="Q20" s="567">
        <f>'Cost Share Summary'!AL25</f>
        <v>0</v>
      </c>
      <c r="R20" s="567">
        <f>'Cost Share Summary'!AM25</f>
        <v>0</v>
      </c>
      <c r="S20" s="565">
        <f>D20+G20+J20+M20+P20</f>
        <v>0</v>
      </c>
      <c r="T20" s="567">
        <f>E20+H20+K20+N20+Q20</f>
        <v>0</v>
      </c>
      <c r="U20" s="567">
        <f>F20+I20+L20+O20+R20</f>
        <v>0</v>
      </c>
      <c r="V20" s="59"/>
      <c r="W20" s="800"/>
      <c r="X20" s="800"/>
      <c r="Y20" s="800"/>
      <c r="Z20" s="569">
        <f>'Cost Share Summary'!AU25</f>
        <v>0</v>
      </c>
      <c r="AA20" s="569">
        <f>'Cost Share Summary'!AV25</f>
        <v>0</v>
      </c>
      <c r="AB20" s="569">
        <f>'Cost Share Summary'!AW25</f>
        <v>0</v>
      </c>
      <c r="AC20" s="569">
        <f>'Cost Share Summary'!AX25</f>
        <v>0</v>
      </c>
      <c r="AD20" s="569">
        <f>'Cost Share Summary'!AY25</f>
        <v>0</v>
      </c>
      <c r="AE20" s="569">
        <f>Z20+AA20+AB20+AC20+AD20</f>
        <v>0</v>
      </c>
    </row>
    <row r="21" spans="1:31" ht="15.6">
      <c r="A21" s="759" t="str">
        <f>IF(ISBLANK('BP1'!$B$24),"Senior Personnel 10",""&amp;'BP1'!$B$24)</f>
        <v>Senior Personnel 10</v>
      </c>
      <c r="B21" s="760"/>
      <c r="C21" s="761"/>
      <c r="D21" s="564" t="s">
        <v>2</v>
      </c>
      <c r="E21" s="566" t="s">
        <v>194</v>
      </c>
      <c r="F21" s="566" t="s">
        <v>195</v>
      </c>
      <c r="G21" s="564" t="s">
        <v>2</v>
      </c>
      <c r="H21" s="566" t="s">
        <v>194</v>
      </c>
      <c r="I21" s="566" t="s">
        <v>195</v>
      </c>
      <c r="J21" s="564" t="s">
        <v>2</v>
      </c>
      <c r="K21" s="566" t="s">
        <v>194</v>
      </c>
      <c r="L21" s="566" t="s">
        <v>195</v>
      </c>
      <c r="M21" s="564" t="s">
        <v>2</v>
      </c>
      <c r="N21" s="566" t="s">
        <v>194</v>
      </c>
      <c r="O21" s="566" t="s">
        <v>195</v>
      </c>
      <c r="P21" s="564" t="s">
        <v>2</v>
      </c>
      <c r="Q21" s="566" t="s">
        <v>194</v>
      </c>
      <c r="R21" s="566" t="s">
        <v>195</v>
      </c>
      <c r="S21" s="564" t="s">
        <v>2</v>
      </c>
      <c r="T21" s="566" t="s">
        <v>194</v>
      </c>
      <c r="U21" s="566" t="s">
        <v>195</v>
      </c>
      <c r="V21" s="59"/>
      <c r="W21" s="800" t="str">
        <f>IF(ISBLANK('BP1'!$B$24),"Senior Personnel 10",""&amp;'BP1'!$B$24)</f>
        <v>Senior Personnel 10</v>
      </c>
      <c r="X21" s="800"/>
      <c r="Y21" s="800"/>
      <c r="Z21" s="568" t="s">
        <v>284</v>
      </c>
      <c r="AA21" s="568" t="s">
        <v>284</v>
      </c>
      <c r="AB21" s="568" t="s">
        <v>284</v>
      </c>
      <c r="AC21" s="568" t="s">
        <v>284</v>
      </c>
      <c r="AD21" s="568" t="s">
        <v>284</v>
      </c>
      <c r="AE21" s="568" t="s">
        <v>284</v>
      </c>
    </row>
    <row r="22" spans="1:31" ht="15.6">
      <c r="A22" s="762"/>
      <c r="B22" s="763"/>
      <c r="C22" s="764"/>
      <c r="D22" s="565">
        <f>'Cost Share Summary'!Y27</f>
        <v>0</v>
      </c>
      <c r="E22" s="567">
        <f>'Cost Share Summary'!Z27</f>
        <v>0</v>
      </c>
      <c r="F22" s="567">
        <f>'Cost Share Summary'!AA27</f>
        <v>0</v>
      </c>
      <c r="G22" s="565">
        <f>'Cost Share Summary'!AB27</f>
        <v>0</v>
      </c>
      <c r="H22" s="567">
        <f>'Cost Share Summary'!AC27</f>
        <v>0</v>
      </c>
      <c r="I22" s="567">
        <f>'Cost Share Summary'!AD27</f>
        <v>0</v>
      </c>
      <c r="J22" s="565">
        <f>'Cost Share Summary'!AE27</f>
        <v>0</v>
      </c>
      <c r="K22" s="567">
        <f>'Cost Share Summary'!AF27</f>
        <v>0</v>
      </c>
      <c r="L22" s="567">
        <f>'Cost Share Summary'!AG27</f>
        <v>0</v>
      </c>
      <c r="M22" s="565">
        <f>'Cost Share Summary'!AH27</f>
        <v>0</v>
      </c>
      <c r="N22" s="567">
        <f>'Cost Share Summary'!AI27</f>
        <v>0</v>
      </c>
      <c r="O22" s="567">
        <f>'Cost Share Summary'!AJ27</f>
        <v>0</v>
      </c>
      <c r="P22" s="565">
        <f>'Cost Share Summary'!AK27</f>
        <v>0</v>
      </c>
      <c r="Q22" s="567">
        <f>'Cost Share Summary'!AL27</f>
        <v>0</v>
      </c>
      <c r="R22" s="567">
        <f>'Cost Share Summary'!AM27</f>
        <v>0</v>
      </c>
      <c r="S22" s="565">
        <f>D22+G22+J22+M22+P22</f>
        <v>0</v>
      </c>
      <c r="T22" s="567">
        <f>E22+H22+K22+N22+Q22</f>
        <v>0</v>
      </c>
      <c r="U22" s="567">
        <f>F22+I22+L22+O22+R22</f>
        <v>0</v>
      </c>
      <c r="V22" s="59"/>
      <c r="W22" s="800"/>
      <c r="X22" s="800"/>
      <c r="Y22" s="800"/>
      <c r="Z22" s="569">
        <f>'Cost Share Summary'!AU27</f>
        <v>0</v>
      </c>
      <c r="AA22" s="569">
        <f>'Cost Share Summary'!AV27</f>
        <v>0</v>
      </c>
      <c r="AB22" s="569">
        <f>'Cost Share Summary'!AW27</f>
        <v>0</v>
      </c>
      <c r="AC22" s="569">
        <f>'Cost Share Summary'!AX27</f>
        <v>0</v>
      </c>
      <c r="AD22" s="569">
        <f>'Cost Share Summary'!AY27</f>
        <v>0</v>
      </c>
      <c r="AE22" s="569">
        <f>Z22+AA22+AB22+AC22+AD22</f>
        <v>0</v>
      </c>
    </row>
    <row r="23" spans="1:31" ht="15.6">
      <c r="A23" s="759" t="str">
        <f>IF(ISBLANK('BP1'!$B$25),"Senior Personnel 11",""&amp;'BP1'!$B$25)</f>
        <v>Senior Personnel 11</v>
      </c>
      <c r="B23" s="760"/>
      <c r="C23" s="761"/>
      <c r="D23" s="564" t="s">
        <v>2</v>
      </c>
      <c r="E23" s="566" t="s">
        <v>194</v>
      </c>
      <c r="F23" s="566" t="s">
        <v>195</v>
      </c>
      <c r="G23" s="564" t="s">
        <v>2</v>
      </c>
      <c r="H23" s="566" t="s">
        <v>194</v>
      </c>
      <c r="I23" s="566" t="s">
        <v>195</v>
      </c>
      <c r="J23" s="564" t="s">
        <v>2</v>
      </c>
      <c r="K23" s="566" t="s">
        <v>194</v>
      </c>
      <c r="L23" s="566" t="s">
        <v>195</v>
      </c>
      <c r="M23" s="564" t="s">
        <v>2</v>
      </c>
      <c r="N23" s="566" t="s">
        <v>194</v>
      </c>
      <c r="O23" s="566" t="s">
        <v>195</v>
      </c>
      <c r="P23" s="564" t="s">
        <v>2</v>
      </c>
      <c r="Q23" s="566" t="s">
        <v>194</v>
      </c>
      <c r="R23" s="566" t="s">
        <v>195</v>
      </c>
      <c r="S23" s="564" t="s">
        <v>2</v>
      </c>
      <c r="T23" s="566" t="s">
        <v>194</v>
      </c>
      <c r="U23" s="566" t="s">
        <v>195</v>
      </c>
      <c r="V23" s="59"/>
      <c r="W23" s="800" t="str">
        <f>IF(ISBLANK('BP1'!$B$25),"Senior Personnel 11",""&amp;'BP1'!$B$25)</f>
        <v>Senior Personnel 11</v>
      </c>
      <c r="X23" s="800"/>
      <c r="Y23" s="800"/>
      <c r="Z23" s="568" t="s">
        <v>284</v>
      </c>
      <c r="AA23" s="568" t="s">
        <v>284</v>
      </c>
      <c r="AB23" s="568" t="s">
        <v>284</v>
      </c>
      <c r="AC23" s="568" t="s">
        <v>284</v>
      </c>
      <c r="AD23" s="568" t="s">
        <v>284</v>
      </c>
      <c r="AE23" s="568" t="s">
        <v>284</v>
      </c>
    </row>
    <row r="24" spans="1:31" ht="15.6">
      <c r="A24" s="762"/>
      <c r="B24" s="763"/>
      <c r="C24" s="764"/>
      <c r="D24" s="565">
        <f>'Cost Share Summary'!Y29</f>
        <v>0</v>
      </c>
      <c r="E24" s="567">
        <f>'Cost Share Summary'!Z29</f>
        <v>0</v>
      </c>
      <c r="F24" s="567">
        <f>'Cost Share Summary'!AA29</f>
        <v>0</v>
      </c>
      <c r="G24" s="565">
        <f>'Cost Share Summary'!AB29</f>
        <v>0</v>
      </c>
      <c r="H24" s="567">
        <f>'Cost Share Summary'!AC29</f>
        <v>0</v>
      </c>
      <c r="I24" s="567">
        <f>'Cost Share Summary'!AD29</f>
        <v>0</v>
      </c>
      <c r="J24" s="565">
        <f>'Cost Share Summary'!AE29</f>
        <v>0</v>
      </c>
      <c r="K24" s="567">
        <f>'Cost Share Summary'!AF29</f>
        <v>0</v>
      </c>
      <c r="L24" s="567">
        <f>'Cost Share Summary'!AG29</f>
        <v>0</v>
      </c>
      <c r="M24" s="565">
        <f>'Cost Share Summary'!AH29</f>
        <v>0</v>
      </c>
      <c r="N24" s="567">
        <f>'Cost Share Summary'!AI29</f>
        <v>0</v>
      </c>
      <c r="O24" s="567">
        <f>'Cost Share Summary'!AJ29</f>
        <v>0</v>
      </c>
      <c r="P24" s="565">
        <f>'Cost Share Summary'!AK29</f>
        <v>0</v>
      </c>
      <c r="Q24" s="567">
        <f>'Cost Share Summary'!AL29</f>
        <v>0</v>
      </c>
      <c r="R24" s="567">
        <f>'Cost Share Summary'!AM29</f>
        <v>0</v>
      </c>
      <c r="S24" s="565">
        <f>D24+G24+J24+M24+P24</f>
        <v>0</v>
      </c>
      <c r="T24" s="567">
        <f>E24+H24+K24+N24+Q24</f>
        <v>0</v>
      </c>
      <c r="U24" s="567">
        <f>F24+I24+L24+O24+R24</f>
        <v>0</v>
      </c>
      <c r="V24" s="59"/>
      <c r="W24" s="800"/>
      <c r="X24" s="800"/>
      <c r="Y24" s="800"/>
      <c r="Z24" s="569">
        <f>'Cost Share Summary'!AU29</f>
        <v>0</v>
      </c>
      <c r="AA24" s="569">
        <f>'Cost Share Summary'!AV29</f>
        <v>0</v>
      </c>
      <c r="AB24" s="569">
        <f>'Cost Share Summary'!AW29</f>
        <v>0</v>
      </c>
      <c r="AC24" s="569">
        <f>'Cost Share Summary'!AX29</f>
        <v>0</v>
      </c>
      <c r="AD24" s="569">
        <f>'Cost Share Summary'!AY29</f>
        <v>0</v>
      </c>
      <c r="AE24" s="569">
        <f>Z24+AA24+AB24+AC24+AD24</f>
        <v>0</v>
      </c>
    </row>
    <row r="25" spans="1:31" ht="15.6">
      <c r="A25" s="759" t="str">
        <f>IF(ISBLANK('BP1'!$B$26),"Senior Personnel 12",""&amp;'BP1'!$B$26)</f>
        <v>Senior Personnel 12</v>
      </c>
      <c r="B25" s="760"/>
      <c r="C25" s="761"/>
      <c r="D25" s="564" t="s">
        <v>2</v>
      </c>
      <c r="E25" s="566" t="s">
        <v>194</v>
      </c>
      <c r="F25" s="566" t="s">
        <v>195</v>
      </c>
      <c r="G25" s="564" t="s">
        <v>2</v>
      </c>
      <c r="H25" s="566" t="s">
        <v>194</v>
      </c>
      <c r="I25" s="566" t="s">
        <v>195</v>
      </c>
      <c r="J25" s="564" t="s">
        <v>2</v>
      </c>
      <c r="K25" s="566" t="s">
        <v>194</v>
      </c>
      <c r="L25" s="566" t="s">
        <v>195</v>
      </c>
      <c r="M25" s="564" t="s">
        <v>2</v>
      </c>
      <c r="N25" s="566" t="s">
        <v>194</v>
      </c>
      <c r="O25" s="566" t="s">
        <v>195</v>
      </c>
      <c r="P25" s="564" t="s">
        <v>2</v>
      </c>
      <c r="Q25" s="566" t="s">
        <v>194</v>
      </c>
      <c r="R25" s="566" t="s">
        <v>195</v>
      </c>
      <c r="S25" s="564" t="s">
        <v>2</v>
      </c>
      <c r="T25" s="566" t="s">
        <v>194</v>
      </c>
      <c r="U25" s="566" t="s">
        <v>195</v>
      </c>
      <c r="V25" s="59"/>
      <c r="W25" s="800" t="str">
        <f>IF(ISBLANK('BP1'!$B$26),"Senior Personnel 12",""&amp;'BP1'!$B$26)</f>
        <v>Senior Personnel 12</v>
      </c>
      <c r="X25" s="800"/>
      <c r="Y25" s="800"/>
      <c r="Z25" s="568" t="s">
        <v>284</v>
      </c>
      <c r="AA25" s="568" t="s">
        <v>284</v>
      </c>
      <c r="AB25" s="568" t="s">
        <v>284</v>
      </c>
      <c r="AC25" s="568" t="s">
        <v>284</v>
      </c>
      <c r="AD25" s="568" t="s">
        <v>284</v>
      </c>
      <c r="AE25" s="568" t="s">
        <v>284</v>
      </c>
    </row>
    <row r="26" spans="1:31" ht="15.6">
      <c r="A26" s="762"/>
      <c r="B26" s="763"/>
      <c r="C26" s="764"/>
      <c r="D26" s="565">
        <f>'Cost Share Summary'!Y31</f>
        <v>0</v>
      </c>
      <c r="E26" s="567">
        <f>'Cost Share Summary'!Z31</f>
        <v>0</v>
      </c>
      <c r="F26" s="567">
        <f>'Cost Share Summary'!AA31</f>
        <v>0</v>
      </c>
      <c r="G26" s="565">
        <f>'Cost Share Summary'!AB31</f>
        <v>0</v>
      </c>
      <c r="H26" s="567">
        <f>'Cost Share Summary'!AC31</f>
        <v>0</v>
      </c>
      <c r="I26" s="567">
        <f>'Cost Share Summary'!AD31</f>
        <v>0</v>
      </c>
      <c r="J26" s="565">
        <f>'Cost Share Summary'!AE31</f>
        <v>0</v>
      </c>
      <c r="K26" s="567">
        <f>'Cost Share Summary'!AF31</f>
        <v>0</v>
      </c>
      <c r="L26" s="567">
        <f>'Cost Share Summary'!AG31</f>
        <v>0</v>
      </c>
      <c r="M26" s="565">
        <f>'Cost Share Summary'!AH31</f>
        <v>0</v>
      </c>
      <c r="N26" s="567">
        <f>'Cost Share Summary'!AI31</f>
        <v>0</v>
      </c>
      <c r="O26" s="567">
        <f>'Cost Share Summary'!AJ31</f>
        <v>0</v>
      </c>
      <c r="P26" s="565">
        <f>'Cost Share Summary'!AK31</f>
        <v>0</v>
      </c>
      <c r="Q26" s="567">
        <f>'Cost Share Summary'!AL31</f>
        <v>0</v>
      </c>
      <c r="R26" s="567">
        <f>'Cost Share Summary'!AM31</f>
        <v>0</v>
      </c>
      <c r="S26" s="565">
        <f>D26+G26+J26+M26+P26</f>
        <v>0</v>
      </c>
      <c r="T26" s="567">
        <f>E26+H26+K26+N26+Q26</f>
        <v>0</v>
      </c>
      <c r="U26" s="567">
        <f>F26+I26+L26+O26+R26</f>
        <v>0</v>
      </c>
      <c r="V26" s="59"/>
      <c r="W26" s="800"/>
      <c r="X26" s="800"/>
      <c r="Y26" s="800"/>
      <c r="Z26" s="569">
        <f>'Cost Share Summary'!AU31</f>
        <v>0</v>
      </c>
      <c r="AA26" s="569">
        <f>'Cost Share Summary'!AV31</f>
        <v>0</v>
      </c>
      <c r="AB26" s="569">
        <f>'Cost Share Summary'!AW31</f>
        <v>0</v>
      </c>
      <c r="AC26" s="569">
        <f>'Cost Share Summary'!AX31</f>
        <v>0</v>
      </c>
      <c r="AD26" s="569">
        <f>'Cost Share Summary'!AY31</f>
        <v>0</v>
      </c>
      <c r="AE26" s="569">
        <f>Z26+AA26+AB26+AC26+AD26</f>
        <v>0</v>
      </c>
    </row>
    <row r="27" spans="1:31" ht="15.6">
      <c r="A27" s="759" t="str">
        <f>IF(ISBLANK('BP1'!$B$27),"Senior Personnel 13",""&amp;'BP1'!$B$27)</f>
        <v>Senior Personnel 13</v>
      </c>
      <c r="B27" s="760"/>
      <c r="C27" s="761"/>
      <c r="D27" s="564" t="s">
        <v>2</v>
      </c>
      <c r="E27" s="566" t="s">
        <v>194</v>
      </c>
      <c r="F27" s="566" t="s">
        <v>195</v>
      </c>
      <c r="G27" s="564" t="s">
        <v>2</v>
      </c>
      <c r="H27" s="566" t="s">
        <v>194</v>
      </c>
      <c r="I27" s="566" t="s">
        <v>195</v>
      </c>
      <c r="J27" s="564" t="s">
        <v>2</v>
      </c>
      <c r="K27" s="566" t="s">
        <v>194</v>
      </c>
      <c r="L27" s="566" t="s">
        <v>195</v>
      </c>
      <c r="M27" s="564" t="s">
        <v>2</v>
      </c>
      <c r="N27" s="566" t="s">
        <v>194</v>
      </c>
      <c r="O27" s="566" t="s">
        <v>195</v>
      </c>
      <c r="P27" s="564" t="s">
        <v>2</v>
      </c>
      <c r="Q27" s="566" t="s">
        <v>194</v>
      </c>
      <c r="R27" s="566" t="s">
        <v>195</v>
      </c>
      <c r="S27" s="564" t="s">
        <v>2</v>
      </c>
      <c r="T27" s="566" t="s">
        <v>194</v>
      </c>
      <c r="U27" s="566" t="s">
        <v>195</v>
      </c>
      <c r="V27" s="59"/>
      <c r="W27" s="800" t="str">
        <f>IF(ISBLANK('BP1'!$B$27),"Senior Personnel 13",""&amp;'BP1'!$B$27)</f>
        <v>Senior Personnel 13</v>
      </c>
      <c r="X27" s="800"/>
      <c r="Y27" s="800"/>
      <c r="Z27" s="568" t="s">
        <v>284</v>
      </c>
      <c r="AA27" s="568" t="s">
        <v>284</v>
      </c>
      <c r="AB27" s="568" t="s">
        <v>284</v>
      </c>
      <c r="AC27" s="568" t="s">
        <v>284</v>
      </c>
      <c r="AD27" s="568" t="s">
        <v>284</v>
      </c>
      <c r="AE27" s="568" t="s">
        <v>284</v>
      </c>
    </row>
    <row r="28" spans="1:31" ht="15.6">
      <c r="A28" s="762"/>
      <c r="B28" s="763"/>
      <c r="C28" s="764"/>
      <c r="D28" s="565">
        <f>'Cost Share Summary'!Y33</f>
        <v>0</v>
      </c>
      <c r="E28" s="567">
        <f>'Cost Share Summary'!Z33</f>
        <v>0</v>
      </c>
      <c r="F28" s="567">
        <f>'Cost Share Summary'!AA33</f>
        <v>0</v>
      </c>
      <c r="G28" s="565">
        <f>'Cost Share Summary'!AB33</f>
        <v>0</v>
      </c>
      <c r="H28" s="567">
        <f>'Cost Share Summary'!AC33</f>
        <v>0</v>
      </c>
      <c r="I28" s="567">
        <f>'Cost Share Summary'!AD33</f>
        <v>0</v>
      </c>
      <c r="J28" s="565">
        <f>'Cost Share Summary'!AE33</f>
        <v>0</v>
      </c>
      <c r="K28" s="567">
        <f>'Cost Share Summary'!AF33</f>
        <v>0</v>
      </c>
      <c r="L28" s="567">
        <f>'Cost Share Summary'!AG33</f>
        <v>0</v>
      </c>
      <c r="M28" s="565">
        <f>'Cost Share Summary'!AH33</f>
        <v>0</v>
      </c>
      <c r="N28" s="567">
        <f>'Cost Share Summary'!AI33</f>
        <v>0</v>
      </c>
      <c r="O28" s="567">
        <f>'Cost Share Summary'!AJ33</f>
        <v>0</v>
      </c>
      <c r="P28" s="565">
        <f>'Cost Share Summary'!AK33</f>
        <v>0</v>
      </c>
      <c r="Q28" s="567">
        <f>'Cost Share Summary'!AL33</f>
        <v>0</v>
      </c>
      <c r="R28" s="567">
        <f>'Cost Share Summary'!AM33</f>
        <v>0</v>
      </c>
      <c r="S28" s="565">
        <f>D28+G28+J28+M28+P28</f>
        <v>0</v>
      </c>
      <c r="T28" s="567">
        <f>E28+H28+K28+N28+Q28</f>
        <v>0</v>
      </c>
      <c r="U28" s="567">
        <f>F28+I28+L28+O28+R28</f>
        <v>0</v>
      </c>
      <c r="V28" s="59"/>
      <c r="W28" s="800"/>
      <c r="X28" s="800"/>
      <c r="Y28" s="800"/>
      <c r="Z28" s="569">
        <f>'Cost Share Summary'!AU33</f>
        <v>0</v>
      </c>
      <c r="AA28" s="569">
        <f>'Cost Share Summary'!AV33</f>
        <v>0</v>
      </c>
      <c r="AB28" s="569">
        <f>'Cost Share Summary'!AW33</f>
        <v>0</v>
      </c>
      <c r="AC28" s="569">
        <f>'Cost Share Summary'!AX33</f>
        <v>0</v>
      </c>
      <c r="AD28" s="569">
        <f>'Cost Share Summary'!AY33</f>
        <v>0</v>
      </c>
      <c r="AE28" s="569">
        <f>Z28+AA28+AB28+AC28+AD28</f>
        <v>0</v>
      </c>
    </row>
    <row r="29" spans="1:31" ht="15.6">
      <c r="A29" s="759" t="str">
        <f>IF(ISBLANK('BP1'!$B$28),"Senior Personnel 14",""&amp;'BP1'!$B$28)</f>
        <v>Senior Personnel 14</v>
      </c>
      <c r="B29" s="760"/>
      <c r="C29" s="761"/>
      <c r="D29" s="564" t="s">
        <v>2</v>
      </c>
      <c r="E29" s="566" t="s">
        <v>194</v>
      </c>
      <c r="F29" s="566" t="s">
        <v>195</v>
      </c>
      <c r="G29" s="564" t="s">
        <v>2</v>
      </c>
      <c r="H29" s="566" t="s">
        <v>194</v>
      </c>
      <c r="I29" s="566" t="s">
        <v>195</v>
      </c>
      <c r="J29" s="564" t="s">
        <v>2</v>
      </c>
      <c r="K29" s="566" t="s">
        <v>194</v>
      </c>
      <c r="L29" s="566" t="s">
        <v>195</v>
      </c>
      <c r="M29" s="564" t="s">
        <v>2</v>
      </c>
      <c r="N29" s="566" t="s">
        <v>194</v>
      </c>
      <c r="O29" s="566" t="s">
        <v>195</v>
      </c>
      <c r="P29" s="564" t="s">
        <v>2</v>
      </c>
      <c r="Q29" s="566" t="s">
        <v>194</v>
      </c>
      <c r="R29" s="566" t="s">
        <v>195</v>
      </c>
      <c r="S29" s="564" t="s">
        <v>2</v>
      </c>
      <c r="T29" s="566" t="s">
        <v>194</v>
      </c>
      <c r="U29" s="566" t="s">
        <v>195</v>
      </c>
      <c r="V29" s="59"/>
      <c r="W29" s="800" t="str">
        <f>IF(ISBLANK('BP1'!$B$28),"Senior Personnel 14",""&amp;'BP1'!$B$28)</f>
        <v>Senior Personnel 14</v>
      </c>
      <c r="X29" s="800"/>
      <c r="Y29" s="800"/>
      <c r="Z29" s="568" t="s">
        <v>284</v>
      </c>
      <c r="AA29" s="568" t="s">
        <v>284</v>
      </c>
      <c r="AB29" s="568" t="s">
        <v>284</v>
      </c>
      <c r="AC29" s="568" t="s">
        <v>284</v>
      </c>
      <c r="AD29" s="568" t="s">
        <v>284</v>
      </c>
      <c r="AE29" s="568" t="s">
        <v>284</v>
      </c>
    </row>
    <row r="30" spans="1:31" ht="15.6">
      <c r="A30" s="762"/>
      <c r="B30" s="763"/>
      <c r="C30" s="764"/>
      <c r="D30" s="565">
        <f>'Cost Share Summary'!Y35</f>
        <v>0</v>
      </c>
      <c r="E30" s="567">
        <f>'Cost Share Summary'!Z35</f>
        <v>0</v>
      </c>
      <c r="F30" s="567">
        <f>'Cost Share Summary'!AA35</f>
        <v>0</v>
      </c>
      <c r="G30" s="565">
        <f>'Cost Share Summary'!AB35</f>
        <v>0</v>
      </c>
      <c r="H30" s="567">
        <f>'Cost Share Summary'!AC35</f>
        <v>0</v>
      </c>
      <c r="I30" s="567">
        <f>'Cost Share Summary'!AD35</f>
        <v>0</v>
      </c>
      <c r="J30" s="565">
        <f>'Cost Share Summary'!AE35</f>
        <v>0</v>
      </c>
      <c r="K30" s="567">
        <f>'Cost Share Summary'!AF35</f>
        <v>0</v>
      </c>
      <c r="L30" s="567">
        <f>'Cost Share Summary'!AG35</f>
        <v>0</v>
      </c>
      <c r="M30" s="565">
        <f>'Cost Share Summary'!AH35</f>
        <v>0</v>
      </c>
      <c r="N30" s="567">
        <f>'Cost Share Summary'!AI35</f>
        <v>0</v>
      </c>
      <c r="O30" s="567">
        <f>'Cost Share Summary'!AJ35</f>
        <v>0</v>
      </c>
      <c r="P30" s="565">
        <f>'Cost Share Summary'!AK35</f>
        <v>0</v>
      </c>
      <c r="Q30" s="567">
        <f>'Cost Share Summary'!AL35</f>
        <v>0</v>
      </c>
      <c r="R30" s="567">
        <f>'Cost Share Summary'!AM35</f>
        <v>0</v>
      </c>
      <c r="S30" s="565">
        <f>D30+G30+J30+M30+P30</f>
        <v>0</v>
      </c>
      <c r="T30" s="567">
        <f>E30+H30+K30+N30+Q30</f>
        <v>0</v>
      </c>
      <c r="U30" s="567">
        <f>F30+I30+L30+O30+R30</f>
        <v>0</v>
      </c>
      <c r="V30" s="59"/>
      <c r="W30" s="800"/>
      <c r="X30" s="800"/>
      <c r="Y30" s="800"/>
      <c r="Z30" s="569">
        <f>'Cost Share Summary'!AU35</f>
        <v>0</v>
      </c>
      <c r="AA30" s="569">
        <f>'Cost Share Summary'!AV35</f>
        <v>0</v>
      </c>
      <c r="AB30" s="569">
        <f>'Cost Share Summary'!AW35</f>
        <v>0</v>
      </c>
      <c r="AC30" s="569">
        <f>'Cost Share Summary'!AX35</f>
        <v>0</v>
      </c>
      <c r="AD30" s="569">
        <f>'Cost Share Summary'!AY35</f>
        <v>0</v>
      </c>
      <c r="AE30" s="569">
        <f>Z30+AA30+AB30+AC30+AD30</f>
        <v>0</v>
      </c>
    </row>
    <row r="31" spans="1:31" ht="15.6">
      <c r="A31" s="759" t="str">
        <f>IF(ISBLANK('BP1'!$B$29),"Senior Personnel 15",""&amp;'BP1'!$B$29)</f>
        <v>Senior Personnel 15</v>
      </c>
      <c r="B31" s="760"/>
      <c r="C31" s="761"/>
      <c r="D31" s="564" t="s">
        <v>2</v>
      </c>
      <c r="E31" s="566" t="s">
        <v>194</v>
      </c>
      <c r="F31" s="566" t="s">
        <v>195</v>
      </c>
      <c r="G31" s="564" t="s">
        <v>2</v>
      </c>
      <c r="H31" s="566" t="s">
        <v>194</v>
      </c>
      <c r="I31" s="566" t="s">
        <v>195</v>
      </c>
      <c r="J31" s="564" t="s">
        <v>2</v>
      </c>
      <c r="K31" s="566" t="s">
        <v>194</v>
      </c>
      <c r="L31" s="566" t="s">
        <v>195</v>
      </c>
      <c r="M31" s="564" t="s">
        <v>2</v>
      </c>
      <c r="N31" s="566" t="s">
        <v>194</v>
      </c>
      <c r="O31" s="566" t="s">
        <v>195</v>
      </c>
      <c r="P31" s="564" t="s">
        <v>2</v>
      </c>
      <c r="Q31" s="566" t="s">
        <v>194</v>
      </c>
      <c r="R31" s="566" t="s">
        <v>195</v>
      </c>
      <c r="S31" s="564" t="s">
        <v>2</v>
      </c>
      <c r="T31" s="566" t="s">
        <v>194</v>
      </c>
      <c r="U31" s="566" t="s">
        <v>195</v>
      </c>
      <c r="V31" s="59"/>
      <c r="W31" s="800" t="str">
        <f>IF(ISBLANK('BP1'!$B$29),"Senior Personnel 15",""&amp;'BP1'!$B$29)</f>
        <v>Senior Personnel 15</v>
      </c>
      <c r="X31" s="800"/>
      <c r="Y31" s="800"/>
      <c r="Z31" s="568" t="s">
        <v>284</v>
      </c>
      <c r="AA31" s="568" t="s">
        <v>284</v>
      </c>
      <c r="AB31" s="568" t="s">
        <v>284</v>
      </c>
      <c r="AC31" s="568" t="s">
        <v>284</v>
      </c>
      <c r="AD31" s="568" t="s">
        <v>284</v>
      </c>
      <c r="AE31" s="568" t="s">
        <v>284</v>
      </c>
    </row>
    <row r="32" spans="1:31" ht="15.6">
      <c r="A32" s="762"/>
      <c r="B32" s="763"/>
      <c r="C32" s="764"/>
      <c r="D32" s="565">
        <f>'Cost Share Summary'!Y37</f>
        <v>0</v>
      </c>
      <c r="E32" s="567">
        <f>'Cost Share Summary'!Z37</f>
        <v>0</v>
      </c>
      <c r="F32" s="567">
        <f>'Cost Share Summary'!AA37</f>
        <v>0</v>
      </c>
      <c r="G32" s="565">
        <f>'Cost Share Summary'!AB37</f>
        <v>0</v>
      </c>
      <c r="H32" s="567">
        <f>'Cost Share Summary'!AC37</f>
        <v>0</v>
      </c>
      <c r="I32" s="567">
        <f>'Cost Share Summary'!AD37</f>
        <v>0</v>
      </c>
      <c r="J32" s="565">
        <f>'Cost Share Summary'!AE37</f>
        <v>0</v>
      </c>
      <c r="K32" s="567">
        <f>'Cost Share Summary'!AF37</f>
        <v>0</v>
      </c>
      <c r="L32" s="567">
        <f>'Cost Share Summary'!AG37</f>
        <v>0</v>
      </c>
      <c r="M32" s="565">
        <f>'Cost Share Summary'!AH37</f>
        <v>0</v>
      </c>
      <c r="N32" s="567">
        <f>'Cost Share Summary'!AI37</f>
        <v>0</v>
      </c>
      <c r="O32" s="567">
        <f>'Cost Share Summary'!AJ37</f>
        <v>0</v>
      </c>
      <c r="P32" s="565">
        <f>'Cost Share Summary'!AK37</f>
        <v>0</v>
      </c>
      <c r="Q32" s="567">
        <f>'Cost Share Summary'!AL37</f>
        <v>0</v>
      </c>
      <c r="R32" s="567">
        <f>'Cost Share Summary'!AM37</f>
        <v>0</v>
      </c>
      <c r="S32" s="565">
        <f>D32+G32+J32+M32+P32</f>
        <v>0</v>
      </c>
      <c r="T32" s="567">
        <f>E32+H32+K32+N32+Q32</f>
        <v>0</v>
      </c>
      <c r="U32" s="567">
        <f>F32+I32+L32+O32+R32</f>
        <v>0</v>
      </c>
      <c r="V32" s="59"/>
      <c r="W32" s="800"/>
      <c r="X32" s="800"/>
      <c r="Y32" s="800"/>
      <c r="Z32" s="569">
        <f>'Cost Share Summary'!AU37</f>
        <v>0</v>
      </c>
      <c r="AA32" s="569">
        <f>'Cost Share Summary'!AV37</f>
        <v>0</v>
      </c>
      <c r="AB32" s="569">
        <f>'Cost Share Summary'!AW37</f>
        <v>0</v>
      </c>
      <c r="AC32" s="569">
        <f>'Cost Share Summary'!AX37</f>
        <v>0</v>
      </c>
      <c r="AD32" s="569">
        <f>'Cost Share Summary'!AY37</f>
        <v>0</v>
      </c>
      <c r="AE32" s="569">
        <f>Z32+AA32+AB32+AC32+AD32</f>
        <v>0</v>
      </c>
    </row>
    <row r="33" spans="1:31" ht="16.2" thickBo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row>
    <row r="34" spans="1:31" ht="16.2" thickBot="1">
      <c r="A34" s="808" t="s">
        <v>197</v>
      </c>
      <c r="B34" s="809"/>
      <c r="C34" s="809"/>
      <c r="D34" s="809"/>
      <c r="E34" s="809"/>
      <c r="F34" s="809"/>
      <c r="G34" s="809"/>
      <c r="H34" s="809"/>
      <c r="I34" s="809"/>
      <c r="J34" s="809"/>
      <c r="K34" s="809"/>
      <c r="L34" s="809"/>
      <c r="M34" s="809"/>
      <c r="N34" s="809"/>
      <c r="O34" s="809"/>
      <c r="P34" s="809"/>
      <c r="Q34" s="809"/>
      <c r="R34" s="809"/>
      <c r="S34" s="809"/>
      <c r="T34" s="809"/>
      <c r="U34" s="810"/>
      <c r="V34" s="59"/>
      <c r="W34" s="802" t="s">
        <v>505</v>
      </c>
      <c r="X34" s="803"/>
      <c r="Y34" s="803"/>
      <c r="Z34" s="803"/>
      <c r="AA34" s="803"/>
      <c r="AB34" s="803"/>
      <c r="AC34" s="803"/>
      <c r="AD34" s="803"/>
      <c r="AE34" s="804"/>
    </row>
    <row r="35" spans="1:31" ht="15.6">
      <c r="A35" s="772" t="s">
        <v>223</v>
      </c>
      <c r="B35" s="772"/>
      <c r="C35" s="772"/>
      <c r="D35" s="783" t="s">
        <v>420</v>
      </c>
      <c r="E35" s="784"/>
      <c r="F35" s="785"/>
      <c r="G35" s="783" t="s">
        <v>421</v>
      </c>
      <c r="H35" s="784"/>
      <c r="I35" s="785"/>
      <c r="J35" s="783" t="s">
        <v>422</v>
      </c>
      <c r="K35" s="784"/>
      <c r="L35" s="785"/>
      <c r="M35" s="786" t="s">
        <v>423</v>
      </c>
      <c r="N35" s="786"/>
      <c r="O35" s="786"/>
      <c r="P35" s="783" t="s">
        <v>424</v>
      </c>
      <c r="Q35" s="784"/>
      <c r="R35" s="785"/>
      <c r="S35" s="783" t="s">
        <v>93</v>
      </c>
      <c r="T35" s="784"/>
      <c r="U35" s="785"/>
      <c r="V35" s="59"/>
      <c r="W35" s="805" t="s">
        <v>223</v>
      </c>
      <c r="X35" s="805"/>
      <c r="Y35" s="805"/>
      <c r="Z35" s="362" t="s">
        <v>447</v>
      </c>
      <c r="AA35" s="362" t="s">
        <v>448</v>
      </c>
      <c r="AB35" s="362" t="s">
        <v>449</v>
      </c>
      <c r="AC35" s="362" t="s">
        <v>450</v>
      </c>
      <c r="AD35" s="363" t="s">
        <v>451</v>
      </c>
      <c r="AE35" s="362" t="s">
        <v>93</v>
      </c>
    </row>
    <row r="36" spans="1:31" ht="15.6">
      <c r="A36" s="758" t="str">
        <f>'BP1'!$D$32</f>
        <v>Postdoctoral Scholar</v>
      </c>
      <c r="B36" s="758"/>
      <c r="C36" s="758"/>
      <c r="D36" s="564" t="s">
        <v>2</v>
      </c>
      <c r="E36" s="566" t="s">
        <v>194</v>
      </c>
      <c r="F36" s="566" t="s">
        <v>195</v>
      </c>
      <c r="G36" s="564" t="s">
        <v>2</v>
      </c>
      <c r="H36" s="566" t="s">
        <v>194</v>
      </c>
      <c r="I36" s="566" t="s">
        <v>195</v>
      </c>
      <c r="J36" s="564" t="s">
        <v>2</v>
      </c>
      <c r="K36" s="566" t="s">
        <v>194</v>
      </c>
      <c r="L36" s="566" t="s">
        <v>195</v>
      </c>
      <c r="M36" s="564" t="s">
        <v>2</v>
      </c>
      <c r="N36" s="566" t="s">
        <v>194</v>
      </c>
      <c r="O36" s="566" t="s">
        <v>195</v>
      </c>
      <c r="P36" s="564" t="s">
        <v>2</v>
      </c>
      <c r="Q36" s="566" t="s">
        <v>194</v>
      </c>
      <c r="R36" s="566" t="s">
        <v>195</v>
      </c>
      <c r="S36" s="564" t="s">
        <v>2</v>
      </c>
      <c r="T36" s="566" t="s">
        <v>194</v>
      </c>
      <c r="U36" s="566" t="s">
        <v>195</v>
      </c>
      <c r="V36" s="59"/>
      <c r="W36" s="794" t="str">
        <f>'BP1'!$D$32</f>
        <v>Postdoctoral Scholar</v>
      </c>
      <c r="X36" s="795"/>
      <c r="Y36" s="796"/>
      <c r="Z36" s="568" t="s">
        <v>284</v>
      </c>
      <c r="AA36" s="568" t="s">
        <v>284</v>
      </c>
      <c r="AB36" s="568" t="s">
        <v>284</v>
      </c>
      <c r="AC36" s="568" t="s">
        <v>284</v>
      </c>
      <c r="AD36" s="568" t="s">
        <v>284</v>
      </c>
      <c r="AE36" s="568" t="s">
        <v>284</v>
      </c>
    </row>
    <row r="37" spans="1:31" ht="15.6">
      <c r="A37" s="758"/>
      <c r="B37" s="758"/>
      <c r="C37" s="758"/>
      <c r="D37" s="565">
        <f>'Cost Share Summary'!Y42</f>
        <v>0</v>
      </c>
      <c r="E37" s="567">
        <f>'Cost Share Summary'!Z42</f>
        <v>0</v>
      </c>
      <c r="F37" s="567">
        <f>'Cost Share Summary'!AA42</f>
        <v>0</v>
      </c>
      <c r="G37" s="565">
        <f>'Cost Share Summary'!AB42</f>
        <v>0</v>
      </c>
      <c r="H37" s="567">
        <f>'Cost Share Summary'!AC42</f>
        <v>0</v>
      </c>
      <c r="I37" s="567">
        <f>'Cost Share Summary'!AD42</f>
        <v>0</v>
      </c>
      <c r="J37" s="565">
        <f>'Cost Share Summary'!AE42</f>
        <v>0</v>
      </c>
      <c r="K37" s="567">
        <f>'Cost Share Summary'!AF42</f>
        <v>0</v>
      </c>
      <c r="L37" s="567">
        <f>'Cost Share Summary'!AG42</f>
        <v>0</v>
      </c>
      <c r="M37" s="565">
        <f>'Cost Share Summary'!AH42</f>
        <v>0</v>
      </c>
      <c r="N37" s="567">
        <f>'Cost Share Summary'!AI42</f>
        <v>0</v>
      </c>
      <c r="O37" s="567">
        <f>'Cost Share Summary'!AJ42</f>
        <v>0</v>
      </c>
      <c r="P37" s="565">
        <f>'Cost Share Summary'!AK42</f>
        <v>0</v>
      </c>
      <c r="Q37" s="567">
        <f>'Cost Share Summary'!AL42</f>
        <v>0</v>
      </c>
      <c r="R37" s="567">
        <f>'Cost Share Summary'!AM42</f>
        <v>0</v>
      </c>
      <c r="S37" s="565">
        <f>D37+G37+J37+M37+P37</f>
        <v>0</v>
      </c>
      <c r="T37" s="567">
        <f>E37+H37+K37+N37+Q37</f>
        <v>0</v>
      </c>
      <c r="U37" s="567">
        <f>F37+I37+L37+O37+R37</f>
        <v>0</v>
      </c>
      <c r="V37" s="59"/>
      <c r="W37" s="797"/>
      <c r="X37" s="798"/>
      <c r="Y37" s="799"/>
      <c r="Z37" s="569">
        <f>'Cost Share Summary'!AU42</f>
        <v>0</v>
      </c>
      <c r="AA37" s="569">
        <f>'Cost Share Summary'!AV42</f>
        <v>0</v>
      </c>
      <c r="AB37" s="569">
        <f>'Cost Share Summary'!AW42</f>
        <v>0</v>
      </c>
      <c r="AC37" s="569">
        <f>'Cost Share Summary'!AX42</f>
        <v>0</v>
      </c>
      <c r="AD37" s="569">
        <f>'Cost Share Summary'!AY42</f>
        <v>0</v>
      </c>
      <c r="AE37" s="569">
        <f>Z37+AA37+AB37+AC37+AD37</f>
        <v>0</v>
      </c>
    </row>
    <row r="38" spans="1:31" ht="15.6">
      <c r="A38" s="758" t="str">
        <f>'BP1'!$D$33</f>
        <v>Other Professional</v>
      </c>
      <c r="B38" s="758"/>
      <c r="C38" s="758"/>
      <c r="D38" s="564" t="s">
        <v>2</v>
      </c>
      <c r="E38" s="566" t="s">
        <v>194</v>
      </c>
      <c r="F38" s="566" t="s">
        <v>195</v>
      </c>
      <c r="G38" s="564" t="s">
        <v>2</v>
      </c>
      <c r="H38" s="566" t="s">
        <v>194</v>
      </c>
      <c r="I38" s="566" t="s">
        <v>195</v>
      </c>
      <c r="J38" s="564" t="s">
        <v>2</v>
      </c>
      <c r="K38" s="566" t="s">
        <v>194</v>
      </c>
      <c r="L38" s="566" t="s">
        <v>195</v>
      </c>
      <c r="M38" s="564" t="s">
        <v>2</v>
      </c>
      <c r="N38" s="566" t="s">
        <v>194</v>
      </c>
      <c r="O38" s="566" t="s">
        <v>195</v>
      </c>
      <c r="P38" s="564" t="s">
        <v>2</v>
      </c>
      <c r="Q38" s="566" t="s">
        <v>194</v>
      </c>
      <c r="R38" s="566" t="s">
        <v>195</v>
      </c>
      <c r="S38" s="564" t="s">
        <v>2</v>
      </c>
      <c r="T38" s="566" t="s">
        <v>194</v>
      </c>
      <c r="U38" s="566" t="s">
        <v>195</v>
      </c>
      <c r="V38" s="59"/>
      <c r="W38" s="794" t="str">
        <f>'BP1'!$D$33</f>
        <v>Other Professional</v>
      </c>
      <c r="X38" s="795"/>
      <c r="Y38" s="796"/>
      <c r="Z38" s="568" t="s">
        <v>284</v>
      </c>
      <c r="AA38" s="568" t="s">
        <v>284</v>
      </c>
      <c r="AB38" s="568" t="s">
        <v>284</v>
      </c>
      <c r="AC38" s="568" t="s">
        <v>284</v>
      </c>
      <c r="AD38" s="568" t="s">
        <v>284</v>
      </c>
      <c r="AE38" s="568" t="s">
        <v>284</v>
      </c>
    </row>
    <row r="39" spans="1:31" ht="15.6">
      <c r="A39" s="758"/>
      <c r="B39" s="758"/>
      <c r="C39" s="758"/>
      <c r="D39" s="565">
        <f>'Cost Share Summary'!Y44</f>
        <v>0</v>
      </c>
      <c r="E39" s="567">
        <f>'Cost Share Summary'!Z44</f>
        <v>0</v>
      </c>
      <c r="F39" s="567">
        <f>'Cost Share Summary'!AA44</f>
        <v>0</v>
      </c>
      <c r="G39" s="565">
        <f>'Cost Share Summary'!AB44</f>
        <v>0</v>
      </c>
      <c r="H39" s="567">
        <f>'Cost Share Summary'!AC44</f>
        <v>0</v>
      </c>
      <c r="I39" s="567">
        <f>'Cost Share Summary'!AD44</f>
        <v>0</v>
      </c>
      <c r="J39" s="565">
        <f>'Cost Share Summary'!AE44</f>
        <v>0</v>
      </c>
      <c r="K39" s="567">
        <f>'Cost Share Summary'!AF44</f>
        <v>0</v>
      </c>
      <c r="L39" s="567">
        <f>'Cost Share Summary'!AG44</f>
        <v>0</v>
      </c>
      <c r="M39" s="565">
        <f>'Cost Share Summary'!AH44</f>
        <v>0</v>
      </c>
      <c r="N39" s="567">
        <f>'Cost Share Summary'!AI44</f>
        <v>0</v>
      </c>
      <c r="O39" s="567">
        <f>'Cost Share Summary'!AJ44</f>
        <v>0</v>
      </c>
      <c r="P39" s="565">
        <f>'Cost Share Summary'!AK44</f>
        <v>0</v>
      </c>
      <c r="Q39" s="567">
        <f>'Cost Share Summary'!AL44</f>
        <v>0</v>
      </c>
      <c r="R39" s="567">
        <f>'Cost Share Summary'!AM44</f>
        <v>0</v>
      </c>
      <c r="S39" s="565">
        <f>D39+G39+J39+M39+P39</f>
        <v>0</v>
      </c>
      <c r="T39" s="567">
        <f>E39+H39+K39+N39+Q39</f>
        <v>0</v>
      </c>
      <c r="U39" s="567">
        <f>F39+I39+L39+O39+R39</f>
        <v>0</v>
      </c>
      <c r="V39" s="59"/>
      <c r="W39" s="797"/>
      <c r="X39" s="798"/>
      <c r="Y39" s="799"/>
      <c r="Z39" s="569">
        <f>'Cost Share Summary'!AU44</f>
        <v>0</v>
      </c>
      <c r="AA39" s="569">
        <f>'Cost Share Summary'!AV44</f>
        <v>0</v>
      </c>
      <c r="AB39" s="569">
        <f>'Cost Share Summary'!AW44</f>
        <v>0</v>
      </c>
      <c r="AC39" s="569">
        <f>'Cost Share Summary'!AX44</f>
        <v>0</v>
      </c>
      <c r="AD39" s="569">
        <f>'Cost Share Summary'!AY44</f>
        <v>0</v>
      </c>
      <c r="AE39" s="569">
        <f>Z39+AA39+AB39+AC39+AD39</f>
        <v>0</v>
      </c>
    </row>
    <row r="40" spans="1:31" ht="15.6">
      <c r="A40" s="758" t="str">
        <f>'BP1'!$D$34</f>
        <v>Other Professional</v>
      </c>
      <c r="B40" s="758"/>
      <c r="C40" s="758"/>
      <c r="D40" s="564" t="s">
        <v>2</v>
      </c>
      <c r="E40" s="566" t="s">
        <v>194</v>
      </c>
      <c r="F40" s="566" t="s">
        <v>195</v>
      </c>
      <c r="G40" s="564" t="s">
        <v>2</v>
      </c>
      <c r="H40" s="566" t="s">
        <v>194</v>
      </c>
      <c r="I40" s="566" t="s">
        <v>195</v>
      </c>
      <c r="J40" s="564" t="s">
        <v>2</v>
      </c>
      <c r="K40" s="566" t="s">
        <v>194</v>
      </c>
      <c r="L40" s="566" t="s">
        <v>195</v>
      </c>
      <c r="M40" s="564" t="s">
        <v>2</v>
      </c>
      <c r="N40" s="566" t="s">
        <v>194</v>
      </c>
      <c r="O40" s="566" t="s">
        <v>195</v>
      </c>
      <c r="P40" s="564" t="s">
        <v>2</v>
      </c>
      <c r="Q40" s="566" t="s">
        <v>194</v>
      </c>
      <c r="R40" s="566" t="s">
        <v>195</v>
      </c>
      <c r="S40" s="564" t="s">
        <v>2</v>
      </c>
      <c r="T40" s="566" t="s">
        <v>194</v>
      </c>
      <c r="U40" s="566" t="s">
        <v>195</v>
      </c>
      <c r="V40" s="59"/>
      <c r="W40" s="794" t="str">
        <f>'BP1'!$D$34</f>
        <v>Other Professional</v>
      </c>
      <c r="X40" s="795"/>
      <c r="Y40" s="796"/>
      <c r="Z40" s="568" t="s">
        <v>284</v>
      </c>
      <c r="AA40" s="568" t="s">
        <v>284</v>
      </c>
      <c r="AB40" s="568" t="s">
        <v>284</v>
      </c>
      <c r="AC40" s="568" t="s">
        <v>284</v>
      </c>
      <c r="AD40" s="568" t="s">
        <v>284</v>
      </c>
      <c r="AE40" s="568" t="s">
        <v>284</v>
      </c>
    </row>
    <row r="41" spans="1:31" ht="15.6">
      <c r="A41" s="758"/>
      <c r="B41" s="758"/>
      <c r="C41" s="758"/>
      <c r="D41" s="565">
        <f>'Cost Share Summary'!Y46</f>
        <v>0</v>
      </c>
      <c r="E41" s="567">
        <f>'Cost Share Summary'!Z46</f>
        <v>0</v>
      </c>
      <c r="F41" s="567">
        <f>'Cost Share Summary'!AA46</f>
        <v>0</v>
      </c>
      <c r="G41" s="565">
        <f>'Cost Share Summary'!AB46</f>
        <v>0</v>
      </c>
      <c r="H41" s="567">
        <f>'Cost Share Summary'!AC46</f>
        <v>0</v>
      </c>
      <c r="I41" s="567">
        <f>'Cost Share Summary'!AD46</f>
        <v>0</v>
      </c>
      <c r="J41" s="565">
        <f>'Cost Share Summary'!AE46</f>
        <v>0</v>
      </c>
      <c r="K41" s="567">
        <f>'Cost Share Summary'!AF46</f>
        <v>0</v>
      </c>
      <c r="L41" s="567">
        <f>'Cost Share Summary'!AG46</f>
        <v>0</v>
      </c>
      <c r="M41" s="565">
        <f>'Cost Share Summary'!AH46</f>
        <v>0</v>
      </c>
      <c r="N41" s="567">
        <f>'Cost Share Summary'!AI46</f>
        <v>0</v>
      </c>
      <c r="O41" s="567">
        <f>'Cost Share Summary'!AJ46</f>
        <v>0</v>
      </c>
      <c r="P41" s="565">
        <f>'Cost Share Summary'!AK46</f>
        <v>0</v>
      </c>
      <c r="Q41" s="567">
        <f>'Cost Share Summary'!AL46</f>
        <v>0</v>
      </c>
      <c r="R41" s="567">
        <f>'Cost Share Summary'!AM46</f>
        <v>0</v>
      </c>
      <c r="S41" s="565">
        <f>D41+G41+J41+M41+P41</f>
        <v>0</v>
      </c>
      <c r="T41" s="567">
        <f>E41+H41+K41+N41+Q41</f>
        <v>0</v>
      </c>
      <c r="U41" s="567">
        <f>F41+I41+L41+O41+R41</f>
        <v>0</v>
      </c>
      <c r="V41" s="59"/>
      <c r="W41" s="797"/>
      <c r="X41" s="798"/>
      <c r="Y41" s="799"/>
      <c r="Z41" s="569">
        <f>'Cost Share Summary'!AU46</f>
        <v>0</v>
      </c>
      <c r="AA41" s="569">
        <f>'Cost Share Summary'!AV46</f>
        <v>0</v>
      </c>
      <c r="AB41" s="569">
        <f>'Cost Share Summary'!AW46</f>
        <v>0</v>
      </c>
      <c r="AC41" s="569">
        <f>'Cost Share Summary'!AX46</f>
        <v>0</v>
      </c>
      <c r="AD41" s="569">
        <f>'Cost Share Summary'!AY46</f>
        <v>0</v>
      </c>
      <c r="AE41" s="569">
        <f>Z41+AA41+AB41+AC41+AD41</f>
        <v>0</v>
      </c>
    </row>
    <row r="42" spans="1:31" ht="15.6">
      <c r="A42" s="758" t="str">
        <f>'BP1'!$D$35</f>
        <v>Other Professional</v>
      </c>
      <c r="B42" s="758"/>
      <c r="C42" s="758"/>
      <c r="D42" s="564" t="s">
        <v>2</v>
      </c>
      <c r="E42" s="566" t="s">
        <v>194</v>
      </c>
      <c r="F42" s="566" t="s">
        <v>195</v>
      </c>
      <c r="G42" s="564" t="s">
        <v>2</v>
      </c>
      <c r="H42" s="566" t="s">
        <v>194</v>
      </c>
      <c r="I42" s="566" t="s">
        <v>195</v>
      </c>
      <c r="J42" s="564" t="s">
        <v>2</v>
      </c>
      <c r="K42" s="566" t="s">
        <v>194</v>
      </c>
      <c r="L42" s="566" t="s">
        <v>195</v>
      </c>
      <c r="M42" s="564" t="s">
        <v>2</v>
      </c>
      <c r="N42" s="566" t="s">
        <v>194</v>
      </c>
      <c r="O42" s="566" t="s">
        <v>195</v>
      </c>
      <c r="P42" s="564" t="s">
        <v>2</v>
      </c>
      <c r="Q42" s="566" t="s">
        <v>194</v>
      </c>
      <c r="R42" s="566" t="s">
        <v>195</v>
      </c>
      <c r="S42" s="564" t="s">
        <v>2</v>
      </c>
      <c r="T42" s="566" t="s">
        <v>194</v>
      </c>
      <c r="U42" s="566" t="s">
        <v>195</v>
      </c>
      <c r="V42" s="59"/>
      <c r="W42" s="794" t="str">
        <f>'BP1'!$D$35</f>
        <v>Other Professional</v>
      </c>
      <c r="X42" s="795"/>
      <c r="Y42" s="796"/>
      <c r="Z42" s="568" t="s">
        <v>284</v>
      </c>
      <c r="AA42" s="568" t="s">
        <v>284</v>
      </c>
      <c r="AB42" s="568" t="s">
        <v>284</v>
      </c>
      <c r="AC42" s="568" t="s">
        <v>284</v>
      </c>
      <c r="AD42" s="568" t="s">
        <v>284</v>
      </c>
      <c r="AE42" s="568" t="s">
        <v>284</v>
      </c>
    </row>
    <row r="43" spans="1:31" ht="15.6">
      <c r="A43" s="758"/>
      <c r="B43" s="758"/>
      <c r="C43" s="758"/>
      <c r="D43" s="565">
        <f>'Cost Share Summary'!Y48</f>
        <v>0</v>
      </c>
      <c r="E43" s="567">
        <f>'Cost Share Summary'!Z48</f>
        <v>0</v>
      </c>
      <c r="F43" s="567">
        <f>'Cost Share Summary'!AA48</f>
        <v>0</v>
      </c>
      <c r="G43" s="565">
        <f>'Cost Share Summary'!AB48</f>
        <v>0</v>
      </c>
      <c r="H43" s="567">
        <f>'Cost Share Summary'!AC48</f>
        <v>0</v>
      </c>
      <c r="I43" s="567">
        <f>'Cost Share Summary'!AD48</f>
        <v>0</v>
      </c>
      <c r="J43" s="565">
        <f>'Cost Share Summary'!AE48</f>
        <v>0</v>
      </c>
      <c r="K43" s="567">
        <f>'Cost Share Summary'!AF48</f>
        <v>0</v>
      </c>
      <c r="L43" s="567">
        <f>'Cost Share Summary'!AG48</f>
        <v>0</v>
      </c>
      <c r="M43" s="565">
        <f>'Cost Share Summary'!AH48</f>
        <v>0</v>
      </c>
      <c r="N43" s="567">
        <f>'Cost Share Summary'!AI48</f>
        <v>0</v>
      </c>
      <c r="O43" s="567">
        <f>'Cost Share Summary'!AJ48</f>
        <v>0</v>
      </c>
      <c r="P43" s="565">
        <f>'Cost Share Summary'!AK48</f>
        <v>0</v>
      </c>
      <c r="Q43" s="567">
        <f>'Cost Share Summary'!AL48</f>
        <v>0</v>
      </c>
      <c r="R43" s="567">
        <f>'Cost Share Summary'!AM48</f>
        <v>0</v>
      </c>
      <c r="S43" s="565">
        <f>D43+G43+J43+M43+P43</f>
        <v>0</v>
      </c>
      <c r="T43" s="567">
        <f>E43+H43+K43+N43+Q43</f>
        <v>0</v>
      </c>
      <c r="U43" s="567">
        <f>F43+I43+L43+O43+R43</f>
        <v>0</v>
      </c>
      <c r="V43" s="59"/>
      <c r="W43" s="797"/>
      <c r="X43" s="798"/>
      <c r="Y43" s="799"/>
      <c r="Z43" s="569">
        <f>'Cost Share Summary'!AU48</f>
        <v>0</v>
      </c>
      <c r="AA43" s="569">
        <f>'Cost Share Summary'!AV48</f>
        <v>0</v>
      </c>
      <c r="AB43" s="569">
        <f>'Cost Share Summary'!AW48</f>
        <v>0</v>
      </c>
      <c r="AC43" s="569">
        <f>'Cost Share Summary'!AX48</f>
        <v>0</v>
      </c>
      <c r="AD43" s="569">
        <f>'Cost Share Summary'!AY48</f>
        <v>0</v>
      </c>
      <c r="AE43" s="569">
        <f>Z43+AA43+AB43+AC43+AD43</f>
        <v>0</v>
      </c>
    </row>
    <row r="44" spans="1:31" ht="15.6">
      <c r="A44" s="758" t="str">
        <f>'BP1'!$D$36</f>
        <v>Other Professional</v>
      </c>
      <c r="B44" s="758"/>
      <c r="C44" s="758"/>
      <c r="D44" s="564" t="s">
        <v>2</v>
      </c>
      <c r="E44" s="566" t="s">
        <v>194</v>
      </c>
      <c r="F44" s="566" t="s">
        <v>195</v>
      </c>
      <c r="G44" s="564" t="s">
        <v>2</v>
      </c>
      <c r="H44" s="566" t="s">
        <v>194</v>
      </c>
      <c r="I44" s="566" t="s">
        <v>195</v>
      </c>
      <c r="J44" s="564" t="s">
        <v>2</v>
      </c>
      <c r="K44" s="566" t="s">
        <v>194</v>
      </c>
      <c r="L44" s="566" t="s">
        <v>195</v>
      </c>
      <c r="M44" s="564" t="s">
        <v>2</v>
      </c>
      <c r="N44" s="566" t="s">
        <v>194</v>
      </c>
      <c r="O44" s="566" t="s">
        <v>195</v>
      </c>
      <c r="P44" s="564" t="s">
        <v>2</v>
      </c>
      <c r="Q44" s="566" t="s">
        <v>194</v>
      </c>
      <c r="R44" s="566" t="s">
        <v>195</v>
      </c>
      <c r="S44" s="564" t="s">
        <v>2</v>
      </c>
      <c r="T44" s="566" t="s">
        <v>194</v>
      </c>
      <c r="U44" s="566" t="s">
        <v>195</v>
      </c>
      <c r="V44" s="59"/>
      <c r="W44" s="794" t="str">
        <f>'BP1'!$D$36</f>
        <v>Other Professional</v>
      </c>
      <c r="X44" s="795"/>
      <c r="Y44" s="796"/>
      <c r="Z44" s="568" t="s">
        <v>284</v>
      </c>
      <c r="AA44" s="568" t="s">
        <v>284</v>
      </c>
      <c r="AB44" s="568" t="s">
        <v>284</v>
      </c>
      <c r="AC44" s="568" t="s">
        <v>284</v>
      </c>
      <c r="AD44" s="568" t="s">
        <v>284</v>
      </c>
      <c r="AE44" s="568" t="s">
        <v>284</v>
      </c>
    </row>
    <row r="45" spans="1:31" ht="15.6">
      <c r="A45" s="758"/>
      <c r="B45" s="758"/>
      <c r="C45" s="758"/>
      <c r="D45" s="565">
        <f>'Cost Share Summary'!Y50</f>
        <v>0</v>
      </c>
      <c r="E45" s="567">
        <f>'Cost Share Summary'!Z50</f>
        <v>0</v>
      </c>
      <c r="F45" s="567">
        <f>'Cost Share Summary'!AA50</f>
        <v>0</v>
      </c>
      <c r="G45" s="565">
        <f>'Cost Share Summary'!AB50</f>
        <v>0</v>
      </c>
      <c r="H45" s="567">
        <f>'Cost Share Summary'!AC50</f>
        <v>0</v>
      </c>
      <c r="I45" s="567">
        <f>'Cost Share Summary'!AD50</f>
        <v>0</v>
      </c>
      <c r="J45" s="565">
        <f>'Cost Share Summary'!AE50</f>
        <v>0</v>
      </c>
      <c r="K45" s="567">
        <f>'Cost Share Summary'!AF50</f>
        <v>0</v>
      </c>
      <c r="L45" s="567">
        <f>'Cost Share Summary'!AG50</f>
        <v>0</v>
      </c>
      <c r="M45" s="565">
        <f>'Cost Share Summary'!AH50</f>
        <v>0</v>
      </c>
      <c r="N45" s="567">
        <f>'Cost Share Summary'!AI50</f>
        <v>0</v>
      </c>
      <c r="O45" s="567">
        <f>'Cost Share Summary'!AJ50</f>
        <v>0</v>
      </c>
      <c r="P45" s="565">
        <f>'Cost Share Summary'!AK50</f>
        <v>0</v>
      </c>
      <c r="Q45" s="567">
        <f>'Cost Share Summary'!AL50</f>
        <v>0</v>
      </c>
      <c r="R45" s="567">
        <f>'Cost Share Summary'!AM50</f>
        <v>0</v>
      </c>
      <c r="S45" s="565">
        <f>D45+G45+J45+M45+P45</f>
        <v>0</v>
      </c>
      <c r="T45" s="567">
        <f>E45+H45+K45+N45+Q45</f>
        <v>0</v>
      </c>
      <c r="U45" s="567">
        <f>F45+I45+L45+O45+R45</f>
        <v>0</v>
      </c>
      <c r="V45" s="59"/>
      <c r="W45" s="797"/>
      <c r="X45" s="798"/>
      <c r="Y45" s="799"/>
      <c r="Z45" s="569">
        <f>'Cost Share Summary'!AU50</f>
        <v>0</v>
      </c>
      <c r="AA45" s="569">
        <f>'Cost Share Summary'!AV50</f>
        <v>0</v>
      </c>
      <c r="AB45" s="569">
        <f>'Cost Share Summary'!AW50</f>
        <v>0</v>
      </c>
      <c r="AC45" s="569">
        <f>'Cost Share Summary'!AX50</f>
        <v>0</v>
      </c>
      <c r="AD45" s="569">
        <f>'Cost Share Summary'!AY50</f>
        <v>0</v>
      </c>
      <c r="AE45" s="569">
        <f>Z45+AA45+AB45+AC45+AD45</f>
        <v>0</v>
      </c>
    </row>
    <row r="46" spans="1:31" ht="15.6">
      <c r="A46" s="758" t="str">
        <f>'BP1'!$D$37</f>
        <v>Other Professional</v>
      </c>
      <c r="B46" s="758"/>
      <c r="C46" s="758"/>
      <c r="D46" s="564" t="s">
        <v>2</v>
      </c>
      <c r="E46" s="566" t="s">
        <v>194</v>
      </c>
      <c r="F46" s="566" t="s">
        <v>195</v>
      </c>
      <c r="G46" s="564" t="s">
        <v>2</v>
      </c>
      <c r="H46" s="566" t="s">
        <v>194</v>
      </c>
      <c r="I46" s="566" t="s">
        <v>195</v>
      </c>
      <c r="J46" s="564" t="s">
        <v>2</v>
      </c>
      <c r="K46" s="566" t="s">
        <v>194</v>
      </c>
      <c r="L46" s="566" t="s">
        <v>195</v>
      </c>
      <c r="M46" s="564" t="s">
        <v>2</v>
      </c>
      <c r="N46" s="566" t="s">
        <v>194</v>
      </c>
      <c r="O46" s="566" t="s">
        <v>195</v>
      </c>
      <c r="P46" s="564" t="s">
        <v>2</v>
      </c>
      <c r="Q46" s="566" t="s">
        <v>194</v>
      </c>
      <c r="R46" s="566" t="s">
        <v>195</v>
      </c>
      <c r="S46" s="564" t="s">
        <v>2</v>
      </c>
      <c r="T46" s="566" t="s">
        <v>194</v>
      </c>
      <c r="U46" s="566" t="s">
        <v>195</v>
      </c>
      <c r="V46" s="59"/>
      <c r="W46" s="794" t="str">
        <f>'BP1'!$D$37</f>
        <v>Other Professional</v>
      </c>
      <c r="X46" s="795"/>
      <c r="Y46" s="796"/>
      <c r="Z46" s="568" t="s">
        <v>284</v>
      </c>
      <c r="AA46" s="568" t="s">
        <v>284</v>
      </c>
      <c r="AB46" s="568" t="s">
        <v>284</v>
      </c>
      <c r="AC46" s="568" t="s">
        <v>284</v>
      </c>
      <c r="AD46" s="568" t="s">
        <v>284</v>
      </c>
      <c r="AE46" s="568" t="s">
        <v>284</v>
      </c>
    </row>
    <row r="47" spans="1:31" ht="15.6">
      <c r="A47" s="758"/>
      <c r="B47" s="758"/>
      <c r="C47" s="758"/>
      <c r="D47" s="565">
        <f>'Cost Share Summary'!Y52</f>
        <v>0</v>
      </c>
      <c r="E47" s="567">
        <f>'Cost Share Summary'!Z52</f>
        <v>0</v>
      </c>
      <c r="F47" s="567">
        <f>'Cost Share Summary'!AA52</f>
        <v>0</v>
      </c>
      <c r="G47" s="565">
        <f>'Cost Share Summary'!AB52</f>
        <v>0</v>
      </c>
      <c r="H47" s="567">
        <f>'Cost Share Summary'!AC52</f>
        <v>0</v>
      </c>
      <c r="I47" s="567">
        <f>'Cost Share Summary'!AD52</f>
        <v>0</v>
      </c>
      <c r="J47" s="565">
        <f>'Cost Share Summary'!AE52</f>
        <v>0</v>
      </c>
      <c r="K47" s="567">
        <f>'Cost Share Summary'!AF52</f>
        <v>0</v>
      </c>
      <c r="L47" s="567">
        <f>'Cost Share Summary'!AG52</f>
        <v>0</v>
      </c>
      <c r="M47" s="565">
        <f>'Cost Share Summary'!AH52</f>
        <v>0</v>
      </c>
      <c r="N47" s="567">
        <f>'Cost Share Summary'!AI52</f>
        <v>0</v>
      </c>
      <c r="O47" s="567">
        <f>'Cost Share Summary'!AJ52</f>
        <v>0</v>
      </c>
      <c r="P47" s="565">
        <f>'Cost Share Summary'!AK52</f>
        <v>0</v>
      </c>
      <c r="Q47" s="567">
        <f>'Cost Share Summary'!AL52</f>
        <v>0</v>
      </c>
      <c r="R47" s="567">
        <f>'Cost Share Summary'!AM52</f>
        <v>0</v>
      </c>
      <c r="S47" s="565">
        <f>D47+G47+J47+M47+P47</f>
        <v>0</v>
      </c>
      <c r="T47" s="567">
        <f>E47+H47+K47+N47+Q47</f>
        <v>0</v>
      </c>
      <c r="U47" s="567">
        <f>F47+I47+L47+O47+R47</f>
        <v>0</v>
      </c>
      <c r="V47" s="59"/>
      <c r="W47" s="797"/>
      <c r="X47" s="798"/>
      <c r="Y47" s="799"/>
      <c r="Z47" s="569">
        <f>'Cost Share Summary'!AU52</f>
        <v>0</v>
      </c>
      <c r="AA47" s="569">
        <f>'Cost Share Summary'!AV52</f>
        <v>0</v>
      </c>
      <c r="AB47" s="569">
        <f>'Cost Share Summary'!AW52</f>
        <v>0</v>
      </c>
      <c r="AC47" s="569">
        <f>'Cost Share Summary'!AX52</f>
        <v>0</v>
      </c>
      <c r="AD47" s="569">
        <f>'Cost Share Summary'!AY52</f>
        <v>0</v>
      </c>
      <c r="AE47" s="569">
        <f>Z47+AA47+AB47+AC47+AD47</f>
        <v>0</v>
      </c>
    </row>
    <row r="48" spans="1:31" ht="15.6">
      <c r="A48" s="758" t="str">
        <f>'BP1'!$D$38</f>
        <v>Graduate Student</v>
      </c>
      <c r="B48" s="758"/>
      <c r="C48" s="758"/>
      <c r="D48" s="564" t="s">
        <v>2</v>
      </c>
      <c r="E48" s="566" t="s">
        <v>194</v>
      </c>
      <c r="F48" s="566" t="s">
        <v>195</v>
      </c>
      <c r="G48" s="564" t="s">
        <v>2</v>
      </c>
      <c r="H48" s="566" t="s">
        <v>194</v>
      </c>
      <c r="I48" s="566" t="s">
        <v>195</v>
      </c>
      <c r="J48" s="564" t="s">
        <v>2</v>
      </c>
      <c r="K48" s="566" t="s">
        <v>194</v>
      </c>
      <c r="L48" s="566" t="s">
        <v>195</v>
      </c>
      <c r="M48" s="564" t="s">
        <v>2</v>
      </c>
      <c r="N48" s="566" t="s">
        <v>194</v>
      </c>
      <c r="O48" s="566" t="s">
        <v>195</v>
      </c>
      <c r="P48" s="564" t="s">
        <v>2</v>
      </c>
      <c r="Q48" s="566" t="s">
        <v>194</v>
      </c>
      <c r="R48" s="566" t="s">
        <v>195</v>
      </c>
      <c r="S48" s="564" t="s">
        <v>2</v>
      </c>
      <c r="T48" s="566" t="s">
        <v>194</v>
      </c>
      <c r="U48" s="566" t="s">
        <v>195</v>
      </c>
      <c r="V48" s="59"/>
      <c r="W48" s="794" t="str">
        <f>'BP1'!$D$38</f>
        <v>Graduate Student</v>
      </c>
      <c r="X48" s="795"/>
      <c r="Y48" s="796"/>
      <c r="Z48" s="568" t="s">
        <v>284</v>
      </c>
      <c r="AA48" s="568" t="s">
        <v>284</v>
      </c>
      <c r="AB48" s="568" t="s">
        <v>284</v>
      </c>
      <c r="AC48" s="568" t="s">
        <v>284</v>
      </c>
      <c r="AD48" s="568" t="s">
        <v>284</v>
      </c>
      <c r="AE48" s="568" t="s">
        <v>284</v>
      </c>
    </row>
    <row r="49" spans="1:31" ht="15.6">
      <c r="A49" s="758"/>
      <c r="B49" s="758"/>
      <c r="C49" s="758"/>
      <c r="D49" s="565">
        <f>'Cost Share Summary'!Y54</f>
        <v>0</v>
      </c>
      <c r="E49" s="567">
        <f>'Cost Share Summary'!Z54</f>
        <v>0</v>
      </c>
      <c r="F49" s="567">
        <f>'Cost Share Summary'!AA54</f>
        <v>0</v>
      </c>
      <c r="G49" s="565">
        <f>'Cost Share Summary'!AB54</f>
        <v>0</v>
      </c>
      <c r="H49" s="567">
        <f>'Cost Share Summary'!AC54</f>
        <v>0</v>
      </c>
      <c r="I49" s="567">
        <f>'Cost Share Summary'!AD54</f>
        <v>0</v>
      </c>
      <c r="J49" s="565">
        <f>'Cost Share Summary'!AE54</f>
        <v>0</v>
      </c>
      <c r="K49" s="567">
        <f>'Cost Share Summary'!AF54</f>
        <v>0</v>
      </c>
      <c r="L49" s="567">
        <f>'Cost Share Summary'!AG54</f>
        <v>0</v>
      </c>
      <c r="M49" s="565">
        <f>'Cost Share Summary'!AH54</f>
        <v>0</v>
      </c>
      <c r="N49" s="567">
        <f>'Cost Share Summary'!AI54</f>
        <v>0</v>
      </c>
      <c r="O49" s="567">
        <f>'Cost Share Summary'!AJ54</f>
        <v>0</v>
      </c>
      <c r="P49" s="565">
        <f>'Cost Share Summary'!AK54</f>
        <v>0</v>
      </c>
      <c r="Q49" s="567">
        <f>'Cost Share Summary'!AL54</f>
        <v>0</v>
      </c>
      <c r="R49" s="567">
        <f>'Cost Share Summary'!AM54</f>
        <v>0</v>
      </c>
      <c r="S49" s="565">
        <f>D49+G49+J49+M49+P49</f>
        <v>0</v>
      </c>
      <c r="T49" s="567">
        <f>E49+H49+K49+N49+Q49</f>
        <v>0</v>
      </c>
      <c r="U49" s="567">
        <f>F49+I49+L49+O49+R49</f>
        <v>0</v>
      </c>
      <c r="V49" s="59"/>
      <c r="W49" s="797"/>
      <c r="X49" s="798"/>
      <c r="Y49" s="799"/>
      <c r="Z49" s="569">
        <f>'Cost Share Summary'!AU54</f>
        <v>0</v>
      </c>
      <c r="AA49" s="569">
        <f>'Cost Share Summary'!AV54</f>
        <v>0</v>
      </c>
      <c r="AB49" s="569">
        <f>'Cost Share Summary'!AW54</f>
        <v>0</v>
      </c>
      <c r="AC49" s="569">
        <f>'Cost Share Summary'!AX54</f>
        <v>0</v>
      </c>
      <c r="AD49" s="569">
        <f>'Cost Share Summary'!AY54</f>
        <v>0</v>
      </c>
      <c r="AE49" s="569">
        <f>Z49+AA49+AB49+AC49+AD49</f>
        <v>0</v>
      </c>
    </row>
    <row r="50" spans="1:31" ht="15.6">
      <c r="A50" s="758" t="str">
        <f>'BP1'!$D$39</f>
        <v>Undergraduate Student</v>
      </c>
      <c r="B50" s="758"/>
      <c r="C50" s="758"/>
      <c r="D50" s="564" t="s">
        <v>2</v>
      </c>
      <c r="E50" s="566" t="s">
        <v>194</v>
      </c>
      <c r="F50" s="566" t="s">
        <v>195</v>
      </c>
      <c r="G50" s="564" t="s">
        <v>2</v>
      </c>
      <c r="H50" s="566" t="s">
        <v>194</v>
      </c>
      <c r="I50" s="566" t="s">
        <v>195</v>
      </c>
      <c r="J50" s="564" t="s">
        <v>2</v>
      </c>
      <c r="K50" s="566" t="s">
        <v>194</v>
      </c>
      <c r="L50" s="566" t="s">
        <v>195</v>
      </c>
      <c r="M50" s="564" t="s">
        <v>2</v>
      </c>
      <c r="N50" s="566" t="s">
        <v>194</v>
      </c>
      <c r="O50" s="566" t="s">
        <v>195</v>
      </c>
      <c r="P50" s="564" t="s">
        <v>2</v>
      </c>
      <c r="Q50" s="566" t="s">
        <v>194</v>
      </c>
      <c r="R50" s="566" t="s">
        <v>195</v>
      </c>
      <c r="S50" s="564" t="s">
        <v>2</v>
      </c>
      <c r="T50" s="566" t="s">
        <v>194</v>
      </c>
      <c r="U50" s="566" t="s">
        <v>195</v>
      </c>
      <c r="V50" s="59"/>
      <c r="W50" s="801" t="str">
        <f>'BP1'!$D$39</f>
        <v>Undergraduate Student</v>
      </c>
      <c r="X50" s="801"/>
      <c r="Y50" s="801"/>
      <c r="Z50" s="568" t="s">
        <v>284</v>
      </c>
      <c r="AA50" s="568" t="s">
        <v>284</v>
      </c>
      <c r="AB50" s="568" t="s">
        <v>284</v>
      </c>
      <c r="AC50" s="568" t="s">
        <v>284</v>
      </c>
      <c r="AD50" s="568" t="s">
        <v>284</v>
      </c>
      <c r="AE50" s="568" t="s">
        <v>284</v>
      </c>
    </row>
    <row r="51" spans="1:31" ht="15.6">
      <c r="A51" s="758"/>
      <c r="B51" s="758"/>
      <c r="C51" s="758"/>
      <c r="D51" s="565">
        <f>'Cost Share Summary'!Y56</f>
        <v>0</v>
      </c>
      <c r="E51" s="567">
        <f>'Cost Share Summary'!Z56</f>
        <v>0</v>
      </c>
      <c r="F51" s="567">
        <f>'Cost Share Summary'!AA56</f>
        <v>0</v>
      </c>
      <c r="G51" s="565">
        <f>'Cost Share Summary'!AB56</f>
        <v>0</v>
      </c>
      <c r="H51" s="567">
        <f>'Cost Share Summary'!AC56</f>
        <v>0</v>
      </c>
      <c r="I51" s="567">
        <f>'Cost Share Summary'!AD56</f>
        <v>0</v>
      </c>
      <c r="J51" s="565">
        <f>'Cost Share Summary'!AE56</f>
        <v>0</v>
      </c>
      <c r="K51" s="567">
        <f>'Cost Share Summary'!AF56</f>
        <v>0</v>
      </c>
      <c r="L51" s="567">
        <f>'Cost Share Summary'!AG56</f>
        <v>0</v>
      </c>
      <c r="M51" s="565">
        <f>'Cost Share Summary'!AH56</f>
        <v>0</v>
      </c>
      <c r="N51" s="567">
        <f>'Cost Share Summary'!AI56</f>
        <v>0</v>
      </c>
      <c r="O51" s="567">
        <f>'Cost Share Summary'!AJ56</f>
        <v>0</v>
      </c>
      <c r="P51" s="565">
        <f>'Cost Share Summary'!AK56</f>
        <v>0</v>
      </c>
      <c r="Q51" s="567">
        <f>'Cost Share Summary'!AL56</f>
        <v>0</v>
      </c>
      <c r="R51" s="567">
        <f>'Cost Share Summary'!AM56</f>
        <v>0</v>
      </c>
      <c r="S51" s="565">
        <f>D51+G51+J51+M51+P51</f>
        <v>0</v>
      </c>
      <c r="T51" s="567">
        <f>E51+H51+K51+N51+Q51</f>
        <v>0</v>
      </c>
      <c r="U51" s="567">
        <f>F51+I51+L51+O51+R51</f>
        <v>0</v>
      </c>
      <c r="V51" s="59"/>
      <c r="W51" s="801"/>
      <c r="X51" s="801"/>
      <c r="Y51" s="801"/>
      <c r="Z51" s="569">
        <f>'Cost Share Summary'!AU56</f>
        <v>0</v>
      </c>
      <c r="AA51" s="569">
        <f>'Cost Share Summary'!AV56</f>
        <v>0</v>
      </c>
      <c r="AB51" s="569">
        <f>'Cost Share Summary'!AW56</f>
        <v>0</v>
      </c>
      <c r="AC51" s="569">
        <f>'Cost Share Summary'!AX56</f>
        <v>0</v>
      </c>
      <c r="AD51" s="569">
        <f>'Cost Share Summary'!AY56</f>
        <v>0</v>
      </c>
      <c r="AE51" s="569">
        <f>Z51+AA51+AB51+AC51+AD51</f>
        <v>0</v>
      </c>
    </row>
    <row r="52" spans="1:31" ht="15.6">
      <c r="A52" s="758" t="str">
        <f>'BP1'!$D$40</f>
        <v>Other (Carrying Statutory Benefits)</v>
      </c>
      <c r="B52" s="758"/>
      <c r="C52" s="758"/>
      <c r="D52" s="564" t="s">
        <v>2</v>
      </c>
      <c r="E52" s="566" t="s">
        <v>194</v>
      </c>
      <c r="F52" s="566" t="s">
        <v>195</v>
      </c>
      <c r="G52" s="564" t="s">
        <v>2</v>
      </c>
      <c r="H52" s="566" t="s">
        <v>194</v>
      </c>
      <c r="I52" s="566" t="s">
        <v>195</v>
      </c>
      <c r="J52" s="564" t="s">
        <v>2</v>
      </c>
      <c r="K52" s="566" t="s">
        <v>194</v>
      </c>
      <c r="L52" s="566" t="s">
        <v>195</v>
      </c>
      <c r="M52" s="564" t="s">
        <v>2</v>
      </c>
      <c r="N52" s="566" t="s">
        <v>194</v>
      </c>
      <c r="O52" s="566" t="s">
        <v>195</v>
      </c>
      <c r="P52" s="564" t="s">
        <v>2</v>
      </c>
      <c r="Q52" s="566" t="s">
        <v>194</v>
      </c>
      <c r="R52" s="566" t="s">
        <v>195</v>
      </c>
      <c r="S52" s="564" t="s">
        <v>2</v>
      </c>
      <c r="T52" s="566" t="s">
        <v>194</v>
      </c>
      <c r="U52" s="566" t="s">
        <v>195</v>
      </c>
      <c r="V52" s="59"/>
      <c r="W52" s="794" t="str">
        <f>'BP1'!$D$40</f>
        <v>Other (Carrying Statutory Benefits)</v>
      </c>
      <c r="X52" s="795"/>
      <c r="Y52" s="796"/>
      <c r="Z52" s="568" t="s">
        <v>284</v>
      </c>
      <c r="AA52" s="568" t="s">
        <v>284</v>
      </c>
      <c r="AB52" s="568" t="s">
        <v>284</v>
      </c>
      <c r="AC52" s="568" t="s">
        <v>284</v>
      </c>
      <c r="AD52" s="568" t="s">
        <v>284</v>
      </c>
      <c r="AE52" s="568" t="s">
        <v>284</v>
      </c>
    </row>
    <row r="53" spans="1:31" ht="15.6">
      <c r="A53" s="758"/>
      <c r="B53" s="758"/>
      <c r="C53" s="758"/>
      <c r="D53" s="565">
        <f>'Cost Share Summary'!Y58</f>
        <v>0</v>
      </c>
      <c r="E53" s="567">
        <f>'Cost Share Summary'!Z58</f>
        <v>0</v>
      </c>
      <c r="F53" s="567">
        <f>'Cost Share Summary'!AA58</f>
        <v>0</v>
      </c>
      <c r="G53" s="565">
        <f>'Cost Share Summary'!AB58</f>
        <v>0</v>
      </c>
      <c r="H53" s="567">
        <f>'Cost Share Summary'!AC58</f>
        <v>0</v>
      </c>
      <c r="I53" s="567">
        <f>'Cost Share Summary'!AD58</f>
        <v>0</v>
      </c>
      <c r="J53" s="565">
        <f>'Cost Share Summary'!AE58</f>
        <v>0</v>
      </c>
      <c r="K53" s="567">
        <f>'Cost Share Summary'!AF58</f>
        <v>0</v>
      </c>
      <c r="L53" s="567">
        <f>'Cost Share Summary'!AG58</f>
        <v>0</v>
      </c>
      <c r="M53" s="565">
        <f>'Cost Share Summary'!AH58</f>
        <v>0</v>
      </c>
      <c r="N53" s="567">
        <f>'Cost Share Summary'!AI58</f>
        <v>0</v>
      </c>
      <c r="O53" s="567">
        <f>'Cost Share Summary'!AJ58</f>
        <v>0</v>
      </c>
      <c r="P53" s="565">
        <f>'Cost Share Summary'!AK58</f>
        <v>0</v>
      </c>
      <c r="Q53" s="567">
        <f>'Cost Share Summary'!AL58</f>
        <v>0</v>
      </c>
      <c r="R53" s="567">
        <f>'Cost Share Summary'!AM58</f>
        <v>0</v>
      </c>
      <c r="S53" s="565">
        <f>D53+G53+J53+M53+P53</f>
        <v>0</v>
      </c>
      <c r="T53" s="567">
        <f>E53+H53+K53+N53+Q53</f>
        <v>0</v>
      </c>
      <c r="U53" s="567">
        <f>F53+I53+L53+O53+R53</f>
        <v>0</v>
      </c>
      <c r="V53" s="59"/>
      <c r="W53" s="797"/>
      <c r="X53" s="798"/>
      <c r="Y53" s="799"/>
      <c r="Z53" s="569">
        <f>'Cost Share Summary'!AU58</f>
        <v>0</v>
      </c>
      <c r="AA53" s="569">
        <f>'Cost Share Summary'!AV58</f>
        <v>0</v>
      </c>
      <c r="AB53" s="569">
        <f>'Cost Share Summary'!AW58</f>
        <v>0</v>
      </c>
      <c r="AC53" s="569">
        <f>'Cost Share Summary'!AX58</f>
        <v>0</v>
      </c>
      <c r="AD53" s="569">
        <f>'Cost Share Summary'!AY58</f>
        <v>0</v>
      </c>
      <c r="AE53" s="569">
        <f>Z53+AA53+AB53+AC53+AD53</f>
        <v>0</v>
      </c>
    </row>
  </sheetData>
  <mergeCells count="68">
    <mergeCell ref="A1:U1"/>
    <mergeCell ref="W1:AE1"/>
    <mergeCell ref="A2:C2"/>
    <mergeCell ref="D2:F2"/>
    <mergeCell ref="G2:I2"/>
    <mergeCell ref="J2:L2"/>
    <mergeCell ref="M2:O2"/>
    <mergeCell ref="P2:R2"/>
    <mergeCell ref="S2:U2"/>
    <mergeCell ref="W2:Y2"/>
    <mergeCell ref="A3:C4"/>
    <mergeCell ref="W3:Y4"/>
    <mergeCell ref="A5:C6"/>
    <mergeCell ref="W5:Y6"/>
    <mergeCell ref="A7:C8"/>
    <mergeCell ref="W7:Y8"/>
    <mergeCell ref="A9:C10"/>
    <mergeCell ref="W9:Y10"/>
    <mergeCell ref="A11:C12"/>
    <mergeCell ref="W11:Y12"/>
    <mergeCell ref="A13:C14"/>
    <mergeCell ref="W13:Y14"/>
    <mergeCell ref="A19:C20"/>
    <mergeCell ref="W19:Y20"/>
    <mergeCell ref="A21:C22"/>
    <mergeCell ref="W21:Y22"/>
    <mergeCell ref="A15:C16"/>
    <mergeCell ref="W15:Y16"/>
    <mergeCell ref="A17:C18"/>
    <mergeCell ref="W17:Y18"/>
    <mergeCell ref="A23:C24"/>
    <mergeCell ref="W23:Y24"/>
    <mergeCell ref="A25:C26"/>
    <mergeCell ref="W25:Y26"/>
    <mergeCell ref="A27:C28"/>
    <mergeCell ref="W27:Y28"/>
    <mergeCell ref="A29:C30"/>
    <mergeCell ref="W29:Y30"/>
    <mergeCell ref="A31:C32"/>
    <mergeCell ref="W31:Y32"/>
    <mergeCell ref="A34:U34"/>
    <mergeCell ref="W34:AE34"/>
    <mergeCell ref="S35:U35"/>
    <mergeCell ref="W35:Y35"/>
    <mergeCell ref="A36:C37"/>
    <mergeCell ref="W36:Y37"/>
    <mergeCell ref="A38:C39"/>
    <mergeCell ref="W38:Y39"/>
    <mergeCell ref="A35:C35"/>
    <mergeCell ref="D35:F35"/>
    <mergeCell ref="G35:I35"/>
    <mergeCell ref="J35:L35"/>
    <mergeCell ref="M35:O35"/>
    <mergeCell ref="P35:R35"/>
    <mergeCell ref="A40:C41"/>
    <mergeCell ref="W40:Y41"/>
    <mergeCell ref="A42:C43"/>
    <mergeCell ref="W42:Y43"/>
    <mergeCell ref="A44:C45"/>
    <mergeCell ref="W44:Y45"/>
    <mergeCell ref="A52:C53"/>
    <mergeCell ref="W52:Y53"/>
    <mergeCell ref="A46:C47"/>
    <mergeCell ref="W46:Y47"/>
    <mergeCell ref="A48:C49"/>
    <mergeCell ref="W48:Y49"/>
    <mergeCell ref="A50:C51"/>
    <mergeCell ref="W50:Y5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5BADFD8CF55549BCD5C24D5077EAC8" ma:contentTypeVersion="13" ma:contentTypeDescription="Create a new document." ma:contentTypeScope="" ma:versionID="8a847aaa267127e920e29be0edbf0cb1">
  <xsd:schema xmlns:xsd="http://www.w3.org/2001/XMLSchema" xmlns:xs="http://www.w3.org/2001/XMLSchema" xmlns:p="http://schemas.microsoft.com/office/2006/metadata/properties" xmlns:ns3="87ecda01-2ed8-486a-82e3-64d0c07e19e9" xmlns:ns4="98885606-5e59-4859-a898-3d9b717591f4" targetNamespace="http://schemas.microsoft.com/office/2006/metadata/properties" ma:root="true" ma:fieldsID="a611bcea934ac93179ba7e45ca9f0dea" ns3:_="" ns4:_="">
    <xsd:import namespace="87ecda01-2ed8-486a-82e3-64d0c07e19e9"/>
    <xsd:import namespace="98885606-5e59-4859-a898-3d9b717591f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cda01-2ed8-486a-82e3-64d0c07e19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5606-5e59-4859-a898-3d9b717591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D7200C-53D3-4414-8B14-C43CA9FD3E27}">
  <ds:schemaRefs>
    <ds:schemaRef ds:uri="http://schemas.microsoft.com/sharepoint/v3/contenttype/forms"/>
  </ds:schemaRefs>
</ds:datastoreItem>
</file>

<file path=customXml/itemProps2.xml><?xml version="1.0" encoding="utf-8"?>
<ds:datastoreItem xmlns:ds="http://schemas.openxmlformats.org/officeDocument/2006/customXml" ds:itemID="{41C91F9B-3E2E-45E2-A72C-A1672F03BD27}">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98885606-5e59-4859-a898-3d9b717591f4"/>
    <ds:schemaRef ds:uri="87ecda01-2ed8-486a-82e3-64d0c07e19e9"/>
  </ds:schemaRefs>
</ds:datastoreItem>
</file>

<file path=customXml/itemProps3.xml><?xml version="1.0" encoding="utf-8"?>
<ds:datastoreItem xmlns:ds="http://schemas.openxmlformats.org/officeDocument/2006/customXml" ds:itemID="{10D939B4-E7C1-4009-B8A3-E2AD13577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ecda01-2ed8-486a-82e3-64d0c07e19e9"/>
    <ds:schemaRef ds:uri="98885606-5e59-4859-a898-3d9b71759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Summary of All Budget Periods</vt:lpstr>
      <vt:lpstr>Cost Share Summary</vt:lpstr>
      <vt:lpstr>BP1</vt:lpstr>
      <vt:lpstr>BP2</vt:lpstr>
      <vt:lpstr>BP3</vt:lpstr>
      <vt:lpstr>BP4</vt:lpstr>
      <vt:lpstr>BP5</vt:lpstr>
      <vt:lpstr>Cumulative Budget</vt:lpstr>
      <vt:lpstr>Effort Summary</vt:lpstr>
      <vt:lpstr>Budget Justification</vt:lpstr>
      <vt:lpstr>Subaward Calculator</vt:lpstr>
      <vt:lpstr>Travel Calculator</vt:lpstr>
      <vt:lpstr>Questionnaire - WIP</vt:lpstr>
      <vt:lpstr>Lists</vt:lpstr>
      <vt:lpstr>Appendix A-Boilerplate Language</vt:lpstr>
      <vt:lpstr>Appendix B-Effort Calculator</vt:lpstr>
      <vt:lpstr>Appendix C-Grants.gov Form Info</vt:lpstr>
      <vt:lpstr>Appendix D-Rate Tables</vt:lpstr>
      <vt:lpstr>Appendix E-Change Log</vt:lpstr>
      <vt:lpstr>EndDateList</vt:lpstr>
      <vt:lpstr>Federal</vt:lpstr>
      <vt:lpstr>FederalDoDContract</vt:lpstr>
      <vt:lpstr>FederalOffCampus</vt:lpstr>
      <vt:lpstr>FederalOnCampus</vt:lpstr>
      <vt:lpstr>NIH</vt:lpstr>
      <vt:lpstr>NIHSalCap</vt:lpstr>
      <vt:lpstr>NonFederal</vt:lpstr>
      <vt:lpstr>NonFederalOffCampus</vt:lpstr>
      <vt:lpstr>NonFederalOnCampus</vt:lpstr>
      <vt:lpstr>'Appendix A-Boilerplate Language'!Print_Area</vt:lpstr>
      <vt:lpstr>'Appendix B-Effort Calculator'!Print_Area</vt:lpstr>
      <vt:lpstr>'Appendix C-Grants.gov Form Info'!Print_Area</vt:lpstr>
      <vt:lpstr>'Appendix D-Rate Tables'!Print_Area</vt:lpstr>
      <vt:lpstr>'BP1'!Print_Area</vt:lpstr>
      <vt:lpstr>'BP2'!Print_Area</vt:lpstr>
      <vt:lpstr>'BP3'!Print_Area</vt:lpstr>
      <vt:lpstr>'BP4'!Print_Area</vt:lpstr>
      <vt:lpstr>'BP5'!Print_Area</vt:lpstr>
      <vt:lpstr>'Budget Justification'!Print_Area</vt:lpstr>
      <vt:lpstr>'Cost Share Summary'!Print_Area</vt:lpstr>
      <vt:lpstr>'Cumulative Budget'!Print_Area</vt:lpstr>
      <vt:lpstr>Lists!Print_Area</vt:lpstr>
      <vt:lpstr>'Subaward Calculator'!Print_Area</vt:lpstr>
      <vt:lpstr>'Summary of All Budget Periods'!Print_Area</vt:lpstr>
      <vt:lpstr>'Travel Calculator'!Print_Area</vt:lpstr>
      <vt:lpstr>StartDateList</vt:lpstr>
    </vt:vector>
  </TitlesOfParts>
  <Manager>Cathy Barrera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McCormick Budget Template</dc:title>
  <dc:subject>Budget Template</dc:subject>
  <dc:creator>Andrew Mark</dc:creator>
  <cp:lastModifiedBy>Andrew Mark</cp:lastModifiedBy>
  <cp:lastPrinted>2022-05-05T16:31:26Z</cp:lastPrinted>
  <dcterms:created xsi:type="dcterms:W3CDTF">2002-02-08T17:05:31Z</dcterms:created>
  <dcterms:modified xsi:type="dcterms:W3CDTF">2026-07-06T14:16:10Z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0x010100575BADFD8CF55549BCD5C24D5077EAC8</vt:lpwstr>
  </property>
</Properties>
</file>